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whfs01\shares$\Finance\OEB\Rates\2023 Rate Application\ICM\Working\To OEB\"/>
    </mc:Choice>
  </mc:AlternateContent>
  <workbookProtection workbookAlgorithmName="SHA-512" workbookHashValue="M/gcii8kAnjeyobB/o4HMgFiiDjARDROFffv1IQ7yf4pt04KCUEs8ZWWUsYobm+aKsYPQSfXJAzTidQUQbn8QQ==" workbookSaltValue="4YaWPA7cIb2ZUZqNxjDSXg==" workbookSpinCount="100000" lockStructure="1"/>
  <bookViews>
    <workbookView xWindow="-105" yWindow="-105" windowWidth="23250" windowHeight="12570" firstSheet="2" activeTab="2"/>
  </bookViews>
  <sheets>
    <sheet name="lists" sheetId="4" state="hidden" r:id="rId1"/>
    <sheet name="tempcopy" sheetId="12" state="hidden" r:id="rId2"/>
    <sheet name="1. Information Sheet" sheetId="3" r:id="rId3"/>
    <sheet name="2. Rate Class Selection" sheetId="5" r:id="rId4"/>
    <sheet name="3. Growth Factor - NUM_CALC1" sheetId="6" r:id="rId5"/>
    <sheet name="4. Growth Factor - NUM_CALC2" sheetId="7" r:id="rId6"/>
    <sheet name="5. Rev_Requ_Check" sheetId="8" r:id="rId7"/>
    <sheet name="6. Growth Factor - DEN_CALC" sheetId="9" r:id="rId8"/>
    <sheet name="7. Revenue Proportions" sheetId="10" r:id="rId9"/>
    <sheet name="8. Threshold Test" sheetId="11" r:id="rId10"/>
    <sheet name="9a. Proposed ACM Projects" sheetId="16" state="hidden" r:id="rId11"/>
    <sheet name="9b. Proposed ACM ICM Projects" sheetId="13" r:id="rId12"/>
    <sheet name="10. Incremental Capital Adj." sheetId="14" r:id="rId13"/>
    <sheet name="11. Rate Rider Calc" sheetId="15" r:id="rId14"/>
  </sheets>
  <externalReferences>
    <externalReference r:id="rId15"/>
    <externalReference r:id="rId16"/>
  </externalReferences>
  <definedNames>
    <definedName name="_xlnm._FilterDatabase" localSheetId="0" hidden="1">lists!$I$1:$I$123</definedName>
    <definedName name="BI_LDCLIST">'2. Rate Class Selection'!$B$19:$B$20</definedName>
    <definedName name="CustomerAdministration">lists!$Z$1:$Z$36</definedName>
    <definedName name="d" localSheetId="13">'8. Threshold Test'!$E$51</definedName>
    <definedName name="d" localSheetId="10">'8. Threshold Test'!$E$51</definedName>
    <definedName name="d">'8. Threshold Test'!$E$51</definedName>
    <definedName name="Fixed_Charges" localSheetId="13">lists!$I$1:$I$220</definedName>
    <definedName name="Fixed_Charges" localSheetId="3">lists!$I$1:$I$220</definedName>
    <definedName name="Fixed_Charges" localSheetId="10">lists!$I$1:$I$220</definedName>
    <definedName name="Fixed_Charges">lists!$I$1:$I$220</definedName>
    <definedName name="g" localSheetId="13">'8. Threshold Test'!$E$20</definedName>
    <definedName name="g" localSheetId="10">'8. Threshold Test'!$E$20</definedName>
    <definedName name="g">'8. Threshold Test'!$E$20</definedName>
    <definedName name="LastSheet" hidden="1">"Z1.0 OEB Control Sheet"</definedName>
    <definedName name="LDC_LIST">lists!$AM$1:$AM$88</definedName>
    <definedName name="LDCNAMES" localSheetId="10">lists!$AL$1:$AL$77</definedName>
    <definedName name="LDCNAMES">lists!$AL$1:$AL$74</definedName>
    <definedName name="LossFactors">lists!$L$2:$L$15</definedName>
    <definedName name="n">'8. Threshold Test'!$E$14</definedName>
    <definedName name="NonPayment">lists!$AA$1:$AA$71</definedName>
    <definedName name="PCI" localSheetId="13">'8. Threshold Test'!$E$16</definedName>
    <definedName name="PCI" localSheetId="10">'8. Threshold Test'!$E$16</definedName>
    <definedName name="PCI">'8. Threshold Test'!$E$16</definedName>
    <definedName name="_xlnm.Print_Area" localSheetId="2">'1. Information Sheet'!$A$1:$O$62</definedName>
    <definedName name="_xlnm.Print_Area" localSheetId="3">'2. Rate Class Selection'!$A$1:$N$32</definedName>
    <definedName name="_xlnm.Print_Area" localSheetId="6">'5. Rev_Requ_Check'!$A$1:$H$65</definedName>
    <definedName name="Rate_Class">lists!$A$2:$A$50</definedName>
    <definedName name="RB" localSheetId="13">'8. Threshold Test'!$E$49</definedName>
    <definedName name="RB" localSheetId="10">'8. Threshold Test'!$E$49</definedName>
    <definedName name="RB">'8. Threshold Test'!$E$49</definedName>
    <definedName name="Units" localSheetId="13">lists!$N$2:$N$5</definedName>
    <definedName name="Units" localSheetId="3">lists!$N$2:$N$5</definedName>
    <definedName name="Units" localSheetId="10">lists!$N$2:$N$5</definedName>
    <definedName name="Units">lists!$N$2:$N$5</definedName>
    <definedName name="Units1" localSheetId="13">lists!$O$2:$O$4</definedName>
    <definedName name="Units1" localSheetId="3">lists!$O$2:$O$4</definedName>
    <definedName name="Units1" localSheetId="10">lists!$O$2:$O$4</definedName>
    <definedName name="Units1">lists!$O$2:$O$4</definedName>
    <definedName name="Units2">lists!$P$2:$P$3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15" l="1"/>
  <c r="M22" i="15"/>
  <c r="L22" i="15"/>
  <c r="K22" i="15"/>
  <c r="M21" i="15"/>
  <c r="L21" i="15"/>
  <c r="K21" i="15"/>
  <c r="M20" i="15"/>
  <c r="L20" i="15"/>
  <c r="K20" i="15"/>
  <c r="M19" i="15"/>
  <c r="L19" i="15"/>
  <c r="K19" i="15"/>
  <c r="M18" i="15"/>
  <c r="L18" i="15"/>
  <c r="K18" i="15"/>
  <c r="M17" i="15"/>
  <c r="L17" i="15"/>
  <c r="K17" i="15"/>
  <c r="M22" i="10"/>
  <c r="I22" i="10"/>
  <c r="H22" i="10"/>
  <c r="L22" i="10" s="1"/>
  <c r="G22" i="10"/>
  <c r="E22" i="10"/>
  <c r="D22" i="10"/>
  <c r="C22" i="10"/>
  <c r="K22" i="10" s="1"/>
  <c r="I21" i="10"/>
  <c r="H21" i="10"/>
  <c r="G21" i="10"/>
  <c r="E21" i="10"/>
  <c r="M21" i="10" s="1"/>
  <c r="D21" i="10"/>
  <c r="C21" i="10"/>
  <c r="K20" i="10"/>
  <c r="I20" i="10"/>
  <c r="H20" i="10"/>
  <c r="G20" i="10"/>
  <c r="E20" i="10"/>
  <c r="D20" i="10"/>
  <c r="C20" i="10"/>
  <c r="I19" i="10"/>
  <c r="H19" i="10"/>
  <c r="G19" i="10"/>
  <c r="K19" i="10" s="1"/>
  <c r="E19" i="10"/>
  <c r="M19" i="10" s="1"/>
  <c r="D19" i="10"/>
  <c r="C19" i="10"/>
  <c r="I18" i="10"/>
  <c r="M18" i="10" s="1"/>
  <c r="H18" i="10"/>
  <c r="G18" i="10"/>
  <c r="E18" i="10"/>
  <c r="D18" i="10"/>
  <c r="C18" i="10"/>
  <c r="K18" i="10" s="1"/>
  <c r="I17" i="10"/>
  <c r="H17" i="10"/>
  <c r="G17" i="10"/>
  <c r="E17" i="10"/>
  <c r="D17" i="10"/>
  <c r="C17" i="10"/>
  <c r="E23" i="9"/>
  <c r="D23" i="9"/>
  <c r="C23" i="9"/>
  <c r="M22" i="9"/>
  <c r="K22" i="9"/>
  <c r="I22" i="9"/>
  <c r="H22" i="9"/>
  <c r="L22" i="9" s="1"/>
  <c r="G22" i="9"/>
  <c r="K21" i="9"/>
  <c r="I21" i="9"/>
  <c r="M21" i="9" s="1"/>
  <c r="H21" i="9"/>
  <c r="L21" i="9" s="1"/>
  <c r="G21" i="9"/>
  <c r="I20" i="9"/>
  <c r="M20" i="9" s="1"/>
  <c r="H20" i="9"/>
  <c r="L20" i="9" s="1"/>
  <c r="G20" i="9"/>
  <c r="K20" i="9" s="1"/>
  <c r="M19" i="9"/>
  <c r="K19" i="9"/>
  <c r="I19" i="9"/>
  <c r="H19" i="9"/>
  <c r="L19" i="9" s="1"/>
  <c r="G19" i="9"/>
  <c r="L18" i="9"/>
  <c r="I18" i="9"/>
  <c r="M18" i="9" s="1"/>
  <c r="H18" i="9"/>
  <c r="G18" i="9"/>
  <c r="K18" i="9" s="1"/>
  <c r="K17" i="9"/>
  <c r="I17" i="9"/>
  <c r="M17" i="9" s="1"/>
  <c r="H17" i="9"/>
  <c r="L17" i="9" s="1"/>
  <c r="G17" i="9"/>
  <c r="E5" i="12"/>
  <c r="D5" i="12"/>
  <c r="C5" i="12"/>
  <c r="I4" i="12"/>
  <c r="H4" i="12"/>
  <c r="G4" i="12"/>
  <c r="I3" i="12"/>
  <c r="H3" i="12"/>
  <c r="G3" i="12"/>
  <c r="I2" i="12"/>
  <c r="H2" i="12"/>
  <c r="G2" i="12"/>
  <c r="I1" i="12"/>
  <c r="H1" i="12"/>
  <c r="G1" i="12"/>
  <c r="I22" i="7"/>
  <c r="M22" i="7" s="1"/>
  <c r="H22" i="7"/>
  <c r="G22" i="7"/>
  <c r="E22" i="7"/>
  <c r="D22" i="7"/>
  <c r="C22" i="7"/>
  <c r="I21" i="7"/>
  <c r="H21" i="7"/>
  <c r="G21" i="7"/>
  <c r="E21" i="7"/>
  <c r="D21" i="7"/>
  <c r="C21" i="7"/>
  <c r="I20" i="7"/>
  <c r="M20" i="7" s="1"/>
  <c r="H20" i="7"/>
  <c r="L20" i="7" s="1"/>
  <c r="G20" i="7"/>
  <c r="E20" i="7"/>
  <c r="D20" i="7"/>
  <c r="C20" i="7"/>
  <c r="M19" i="7"/>
  <c r="I19" i="7"/>
  <c r="H19" i="7"/>
  <c r="G19" i="7"/>
  <c r="E19" i="7"/>
  <c r="D19" i="7"/>
  <c r="C19" i="7"/>
  <c r="L18" i="7"/>
  <c r="I18" i="7"/>
  <c r="H18" i="7"/>
  <c r="G18" i="7"/>
  <c r="K18" i="7" s="1"/>
  <c r="E18" i="7"/>
  <c r="M18" i="7" s="1"/>
  <c r="D18" i="7"/>
  <c r="C18" i="7"/>
  <c r="I17" i="7"/>
  <c r="M17" i="7" s="1"/>
  <c r="H17" i="7"/>
  <c r="G17" i="7"/>
  <c r="E17" i="7"/>
  <c r="D17" i="7"/>
  <c r="C17" i="7"/>
  <c r="K21" i="10" l="1"/>
  <c r="K23" i="10" s="1"/>
  <c r="K21" i="7"/>
  <c r="K20" i="7"/>
  <c r="K22" i="7"/>
  <c r="K23" i="7" s="1"/>
  <c r="C23" i="7"/>
  <c r="K19" i="7"/>
  <c r="K23" i="15"/>
  <c r="K17" i="10"/>
  <c r="K17" i="7"/>
  <c r="M21" i="7"/>
  <c r="N21" i="7" s="1"/>
  <c r="L20" i="10"/>
  <c r="N20" i="10" s="1"/>
  <c r="L18" i="10"/>
  <c r="M17" i="10"/>
  <c r="L19" i="10"/>
  <c r="N19" i="10" s="1"/>
  <c r="L21" i="10"/>
  <c r="L22" i="7"/>
  <c r="N22" i="7" s="1"/>
  <c r="L21" i="7"/>
  <c r="L23" i="15"/>
  <c r="M20" i="10"/>
  <c r="D23" i="7"/>
  <c r="L19" i="7"/>
  <c r="E23" i="7"/>
  <c r="L17" i="10"/>
  <c r="L17" i="7"/>
  <c r="N22" i="9"/>
  <c r="N22" i="10"/>
  <c r="N21" i="9"/>
  <c r="N20" i="9"/>
  <c r="N20" i="7"/>
  <c r="P20" i="7" s="1"/>
  <c r="M23" i="9"/>
  <c r="L23" i="9"/>
  <c r="N19" i="9"/>
  <c r="N19" i="7"/>
  <c r="P19" i="7" s="1"/>
  <c r="M23" i="10"/>
  <c r="N18" i="9"/>
  <c r="N18" i="10"/>
  <c r="N18" i="7"/>
  <c r="P18" i="7" s="1"/>
  <c r="N17" i="7"/>
  <c r="N17" i="10"/>
  <c r="K23" i="9"/>
  <c r="N17" i="9"/>
  <c r="N21" i="10" l="1"/>
  <c r="N23" i="10" s="1"/>
  <c r="M23" i="7"/>
  <c r="L23" i="10"/>
  <c r="L23" i="7"/>
  <c r="R22" i="7"/>
  <c r="Q22" i="7"/>
  <c r="P22" i="7"/>
  <c r="Q21" i="7"/>
  <c r="R21" i="7"/>
  <c r="P21" i="7"/>
  <c r="Q20" i="7"/>
  <c r="R20" i="7"/>
  <c r="R19" i="7"/>
  <c r="Q19" i="7"/>
  <c r="R18" i="7"/>
  <c r="Q18" i="7"/>
  <c r="Q17" i="7"/>
  <c r="N23" i="7"/>
  <c r="R17" i="7"/>
  <c r="P17" i="7"/>
  <c r="N23" i="9"/>
  <c r="E19" i="11" s="1"/>
  <c r="S21" i="7" l="1"/>
  <c r="S19" i="7"/>
  <c r="E18" i="11"/>
  <c r="S18" i="7"/>
  <c r="S20" i="7"/>
  <c r="E65" i="8"/>
  <c r="S22" i="7"/>
  <c r="Q21" i="10"/>
  <c r="D21" i="15" s="1"/>
  <c r="R18" i="10"/>
  <c r="E18" i="15" s="1"/>
  <c r="S20" i="10"/>
  <c r="R20" i="10"/>
  <c r="E20" i="15" s="1"/>
  <c r="P18" i="10"/>
  <c r="C18" i="15" s="1"/>
  <c r="S18" i="10"/>
  <c r="R17" i="10"/>
  <c r="E17" i="15" s="1"/>
  <c r="P21" i="10"/>
  <c r="C21" i="15" s="1"/>
  <c r="Q18" i="10"/>
  <c r="D18" i="15" s="1"/>
  <c r="S19" i="10"/>
  <c r="Q20" i="10"/>
  <c r="D20" i="15" s="1"/>
  <c r="R22" i="10"/>
  <c r="E22" i="15" s="1"/>
  <c r="P20" i="10"/>
  <c r="C20" i="15" s="1"/>
  <c r="Q17" i="10"/>
  <c r="D17" i="15" s="1"/>
  <c r="P22" i="10"/>
  <c r="C22" i="15" s="1"/>
  <c r="P19" i="10"/>
  <c r="C19" i="15" s="1"/>
  <c r="Q22" i="10"/>
  <c r="D22" i="15" s="1"/>
  <c r="R19" i="10"/>
  <c r="E19" i="15" s="1"/>
  <c r="Q19" i="10"/>
  <c r="D19" i="15" s="1"/>
  <c r="S22" i="10"/>
  <c r="R21" i="10"/>
  <c r="E21" i="15" s="1"/>
  <c r="S21" i="10"/>
  <c r="P17" i="10"/>
  <c r="C17" i="15" s="1"/>
  <c r="S17" i="10"/>
  <c r="S17" i="7"/>
  <c r="S22" i="9"/>
  <c r="P22" i="9"/>
  <c r="R21" i="9"/>
  <c r="P18" i="9"/>
  <c r="R17" i="9"/>
  <c r="S21" i="9"/>
  <c r="Q21" i="9"/>
  <c r="Q17" i="9"/>
  <c r="R20" i="9"/>
  <c r="R22" i="9"/>
  <c r="S20" i="9"/>
  <c r="P21" i="9"/>
  <c r="Q19" i="9"/>
  <c r="R18" i="9"/>
  <c r="S19" i="9"/>
  <c r="Q20" i="9"/>
  <c r="P19" i="9"/>
  <c r="S18" i="9"/>
  <c r="P20" i="9"/>
  <c r="R19" i="9"/>
  <c r="Q22" i="9"/>
  <c r="Q18" i="9"/>
  <c r="P17" i="9"/>
  <c r="S17" i="9"/>
  <c r="S23" i="7" l="1"/>
  <c r="S23" i="10"/>
  <c r="S23" i="9"/>
  <c r="E23" i="15"/>
  <c r="C23" i="15"/>
  <c r="D23" i="15"/>
  <c r="L200" i="13" l="1"/>
  <c r="K200" i="13"/>
  <c r="J200" i="13"/>
  <c r="I200" i="13"/>
  <c r="H200" i="13"/>
  <c r="G200" i="13"/>
  <c r="F200" i="13"/>
  <c r="E200" i="13"/>
  <c r="D200" i="13"/>
  <c r="J176" i="13"/>
  <c r="G176" i="13"/>
  <c r="D176" i="13"/>
  <c r="O163" i="13"/>
  <c r="N163" i="13"/>
  <c r="M163" i="13"/>
  <c r="L163" i="13"/>
  <c r="K163" i="13"/>
  <c r="J163" i="13"/>
  <c r="I163" i="13"/>
  <c r="H163" i="13"/>
  <c r="G163" i="13"/>
  <c r="F163" i="13"/>
  <c r="E163" i="13"/>
  <c r="D163" i="13"/>
  <c r="M139" i="13"/>
  <c r="J139" i="13"/>
  <c r="G139" i="13"/>
  <c r="D139" i="13"/>
  <c r="J128" i="13"/>
  <c r="M89" i="13"/>
  <c r="M128" i="13" s="1"/>
  <c r="J89" i="13"/>
  <c r="O124" i="13"/>
  <c r="N124" i="13"/>
  <c r="M124" i="13"/>
  <c r="L124" i="13"/>
  <c r="K124" i="13"/>
  <c r="J124" i="13"/>
  <c r="M100" i="13"/>
  <c r="J100" i="13"/>
  <c r="C76" i="11"/>
  <c r="C77" i="11"/>
  <c r="C78" i="11"/>
  <c r="C79" i="11"/>
  <c r="C80" i="11"/>
  <c r="C81" i="11"/>
  <c r="C82" i="11"/>
  <c r="C83" i="11"/>
  <c r="C84" i="11"/>
  <c r="C85" i="11"/>
  <c r="C86" i="11"/>
  <c r="C87" i="11"/>
  <c r="C88" i="11"/>
  <c r="C89" i="11"/>
  <c r="C90" i="11"/>
  <c r="C91" i="11"/>
  <c r="C92" i="11"/>
  <c r="C93" i="11"/>
  <c r="G124" i="13"/>
  <c r="F23" i="14" l="1"/>
  <c r="D46" i="13" l="1"/>
  <c r="C25" i="14"/>
  <c r="G89" i="13" l="1"/>
  <c r="G128" i="13" s="1"/>
  <c r="D89" i="13" l="1"/>
  <c r="D128" i="13" s="1"/>
  <c r="B15" i="16" l="1"/>
  <c r="C15" i="16" s="1"/>
  <c r="B25" i="16"/>
  <c r="C25" i="16"/>
  <c r="M28" i="16"/>
  <c r="M29" i="16"/>
  <c r="M30" i="16"/>
  <c r="M31" i="16"/>
  <c r="M32" i="16"/>
  <c r="M33" i="16"/>
  <c r="M34" i="16"/>
  <c r="M35" i="16"/>
  <c r="M36" i="16"/>
  <c r="M37" i="16"/>
  <c r="M38" i="16"/>
  <c r="M39" i="16"/>
  <c r="M40" i="16"/>
  <c r="M41" i="16"/>
  <c r="M42" i="16"/>
  <c r="M43" i="16"/>
  <c r="M44" i="16"/>
  <c r="M45" i="16"/>
  <c r="M46" i="16"/>
  <c r="M47" i="16"/>
  <c r="C49" i="16"/>
  <c r="D49" i="16"/>
  <c r="E49" i="16"/>
  <c r="F49" i="16"/>
  <c r="G49" i="16"/>
  <c r="H49" i="16"/>
  <c r="I49" i="16"/>
  <c r="J49" i="16"/>
  <c r="K49" i="16"/>
  <c r="L49" i="16"/>
  <c r="B27" i="16" l="1"/>
  <c r="C27" i="16"/>
  <c r="D15" i="16"/>
  <c r="D27" i="16" l="1"/>
  <c r="E15" i="16"/>
  <c r="E23" i="14"/>
  <c r="E12" i="14"/>
  <c r="C47" i="14"/>
  <c r="C40" i="14"/>
  <c r="C39" i="14"/>
  <c r="C37" i="14"/>
  <c r="C36" i="14"/>
  <c r="F15" i="16" l="1"/>
  <c r="E27" i="16"/>
  <c r="J28" i="3"/>
  <c r="G15" i="16" l="1"/>
  <c r="F27" i="16"/>
  <c r="B90" i="14"/>
  <c r="C46" i="14"/>
  <c r="C44" i="14"/>
  <c r="I124" i="13"/>
  <c r="H124" i="13"/>
  <c r="F124" i="13"/>
  <c r="E124" i="13"/>
  <c r="D124" i="13"/>
  <c r="G100" i="13"/>
  <c r="D100" i="13"/>
  <c r="O85" i="13"/>
  <c r="N85" i="13"/>
  <c r="L85" i="13"/>
  <c r="K85" i="13"/>
  <c r="I85" i="13"/>
  <c r="F85" i="13"/>
  <c r="E85" i="13"/>
  <c r="D85" i="13"/>
  <c r="M85" i="13"/>
  <c r="J85" i="13"/>
  <c r="G85" i="13"/>
  <c r="M61" i="13"/>
  <c r="J61" i="13"/>
  <c r="G61" i="13"/>
  <c r="D61" i="13"/>
  <c r="O46" i="13"/>
  <c r="N46" i="13"/>
  <c r="L46" i="13"/>
  <c r="K46" i="13"/>
  <c r="I46" i="13"/>
  <c r="H46" i="13"/>
  <c r="J46" i="13"/>
  <c r="M46" i="13"/>
  <c r="G46" i="13"/>
  <c r="F46" i="13"/>
  <c r="C27" i="14"/>
  <c r="G27" i="16" l="1"/>
  <c r="H15" i="16"/>
  <c r="E46" i="13"/>
  <c r="H85" i="13"/>
  <c r="C26" i="14"/>
  <c r="I15" i="16" l="1"/>
  <c r="H27" i="16"/>
  <c r="J15" i="16" l="1"/>
  <c r="I27" i="16"/>
  <c r="K15" i="16" l="1"/>
  <c r="J27" i="16"/>
  <c r="L15" i="16" l="1"/>
  <c r="L27" i="16" s="1"/>
  <c r="K27" i="16"/>
  <c r="E20" i="11" l="1"/>
  <c r="E14" i="11"/>
  <c r="C9" i="11"/>
  <c r="C14" i="10"/>
  <c r="G15" i="6" l="1"/>
  <c r="E46" i="11" l="1"/>
  <c r="E45" i="11"/>
  <c r="E47" i="11" s="1"/>
  <c r="E36" i="11"/>
  <c r="E35" i="11"/>
  <c r="E34" i="11"/>
  <c r="E51" i="11" s="1"/>
  <c r="E33" i="11"/>
  <c r="E28" i="11"/>
  <c r="E27" i="11"/>
  <c r="E26" i="11"/>
  <c r="E25" i="11"/>
  <c r="E24" i="11"/>
  <c r="E23" i="11"/>
  <c r="E60" i="8"/>
  <c r="E55" i="8"/>
  <c r="C38" i="8"/>
  <c r="C45" i="14" s="1"/>
  <c r="E31" i="8"/>
  <c r="C23" i="8"/>
  <c r="E37" i="11" s="1"/>
  <c r="C16" i="8"/>
  <c r="E17" i="8" s="1"/>
  <c r="G14" i="9"/>
  <c r="E39" i="11" l="1"/>
  <c r="E29" i="11"/>
  <c r="E31" i="11" s="1"/>
  <c r="E24" i="8"/>
  <c r="E26" i="8" s="1"/>
  <c r="E33" i="8" s="1"/>
  <c r="G14" i="7"/>
  <c r="E41" i="11" l="1"/>
  <c r="E49" i="11" s="1"/>
  <c r="E38" i="8"/>
  <c r="E42" i="8" s="1"/>
  <c r="E36" i="8"/>
  <c r="E40" i="8" s="1"/>
  <c r="E37" i="8"/>
  <c r="E41" i="8" s="1"/>
  <c r="E43" i="8" l="1"/>
  <c r="E62" i="8" s="1"/>
  <c r="E18" i="14" s="1"/>
  <c r="F34" i="3"/>
  <c r="C15" i="13" s="1"/>
  <c r="D15" i="13" l="1"/>
  <c r="C23" i="13"/>
  <c r="C8" i="8"/>
  <c r="A12" i="7"/>
  <c r="E13" i="11"/>
  <c r="A32" i="3"/>
  <c r="C59" i="11" l="1"/>
  <c r="C71" i="11"/>
  <c r="C66" i="11"/>
  <c r="C70" i="11"/>
  <c r="C60" i="11"/>
  <c r="C54" i="11"/>
  <c r="C75" i="11" s="1"/>
  <c r="C58" i="11"/>
  <c r="C61" i="11"/>
  <c r="C67" i="11"/>
  <c r="C62" i="11"/>
  <c r="C55" i="11"/>
  <c r="C63" i="11"/>
  <c r="C64" i="11"/>
  <c r="C57" i="11"/>
  <c r="C65" i="11"/>
  <c r="C72" i="11"/>
  <c r="C69" i="11"/>
  <c r="C56" i="11"/>
  <c r="C68" i="11"/>
  <c r="G15" i="13"/>
  <c r="D23" i="13"/>
  <c r="AY17" i="4"/>
  <c r="AY15" i="4"/>
  <c r="AZ15" i="4" s="1"/>
  <c r="AZ16" i="4" s="1"/>
  <c r="AW15" i="4"/>
  <c r="AW16" i="4" s="1"/>
  <c r="BB14" i="4"/>
  <c r="AY11" i="4"/>
  <c r="AY9" i="4"/>
  <c r="AZ9" i="4" s="1"/>
  <c r="AW9" i="4"/>
  <c r="AW10" i="4" s="1"/>
  <c r="AW11" i="4" s="1"/>
  <c r="BB8" i="4"/>
  <c r="AY6" i="4"/>
  <c r="AX6" i="4"/>
  <c r="AZ6" i="4" s="1"/>
  <c r="AW6" i="4"/>
  <c r="AY4" i="4"/>
  <c r="AZ4" i="4" s="1"/>
  <c r="AX4" i="4"/>
  <c r="AW4" i="4"/>
  <c r="AY3" i="4"/>
  <c r="AX3" i="4"/>
  <c r="AZ3" i="4" s="1"/>
  <c r="BB3" i="4" s="1"/>
  <c r="BC3" i="4" s="1"/>
  <c r="AW3" i="4"/>
  <c r="AY2" i="4"/>
  <c r="AX2" i="4"/>
  <c r="AW2" i="4"/>
  <c r="C1" i="4"/>
  <c r="AZ2" i="4" l="1"/>
  <c r="BB6" i="4"/>
  <c r="BC6" i="4" s="1"/>
  <c r="AW5" i="4"/>
  <c r="BB4" i="4"/>
  <c r="BC4" i="4" s="1"/>
  <c r="J15" i="13"/>
  <c r="G23" i="13"/>
  <c r="AW17" i="4"/>
  <c r="AW18" i="4" s="1"/>
  <c r="BB9" i="4"/>
  <c r="BC9" i="4" s="1"/>
  <c r="AZ10" i="4"/>
  <c r="AZ17" i="4"/>
  <c r="BB16" i="4"/>
  <c r="BC16" i="4" s="1"/>
  <c r="BB2" i="4"/>
  <c r="BC2" i="4" s="1"/>
  <c r="AZ5" i="4"/>
  <c r="AW12" i="4"/>
  <c r="BB15" i="4"/>
  <c r="BC15" i="4" s="1"/>
  <c r="BB17" i="4" l="1"/>
  <c r="BC17" i="4" s="1"/>
  <c r="BB5" i="4"/>
  <c r="BC5" i="4" s="1"/>
  <c r="M15" i="13"/>
  <c r="J23" i="13"/>
  <c r="AZ11" i="4"/>
  <c r="BB11" i="4" s="1"/>
  <c r="BC11" i="4" s="1"/>
  <c r="BB10" i="4"/>
  <c r="BC10" i="4" s="1"/>
  <c r="AZ18" i="4"/>
  <c r="BB18" i="4" s="1"/>
  <c r="BC18" i="4" s="1"/>
  <c r="D54" i="13" l="1"/>
  <c r="M23" i="13"/>
  <c r="AZ12" i="4"/>
  <c r="BB12" i="4" s="1"/>
  <c r="BC12" i="4" s="1"/>
  <c r="G54" i="13" l="1"/>
  <c r="D62" i="13"/>
  <c r="F46" i="3"/>
  <c r="E16" i="11" s="1"/>
  <c r="F38" i="3"/>
  <c r="A30" i="3"/>
  <c r="A28" i="3"/>
  <c r="AA1" i="3"/>
  <c r="E55" i="11" l="1"/>
  <c r="E76" i="11" s="1"/>
  <c r="E60" i="11"/>
  <c r="E61" i="11"/>
  <c r="E82" i="11" s="1"/>
  <c r="E69" i="11"/>
  <c r="E90" i="11" s="1"/>
  <c r="M135" i="13" s="1"/>
  <c r="M137" i="13" s="1"/>
  <c r="M165" i="13" s="1"/>
  <c r="E64" i="11"/>
  <c r="E85" i="11" s="1"/>
  <c r="J96" i="13" s="1"/>
  <c r="J98" i="13" s="1"/>
  <c r="J126" i="13" s="1"/>
  <c r="E67" i="11"/>
  <c r="E88" i="11" s="1"/>
  <c r="G135" i="13" s="1"/>
  <c r="G137" i="13" s="1"/>
  <c r="G165" i="13" s="1"/>
  <c r="E72" i="11"/>
  <c r="E93" i="11" s="1"/>
  <c r="J172" i="13" s="1"/>
  <c r="J174" i="13" s="1"/>
  <c r="J202" i="13" s="1"/>
  <c r="E54" i="11"/>
  <c r="E75" i="11" s="1"/>
  <c r="E62" i="11"/>
  <c r="E83" i="11" s="1"/>
  <c r="E65" i="11"/>
  <c r="E86" i="11" s="1"/>
  <c r="M96" i="13" s="1"/>
  <c r="M98" i="13" s="1"/>
  <c r="M126" i="13" s="1"/>
  <c r="E71" i="11"/>
  <c r="E92" i="11" s="1"/>
  <c r="G172" i="13" s="1"/>
  <c r="G174" i="13" s="1"/>
  <c r="G202" i="13" s="1"/>
  <c r="E56" i="11"/>
  <c r="E77" i="11" s="1"/>
  <c r="E63" i="11"/>
  <c r="E84" i="11" s="1"/>
  <c r="E66" i="11"/>
  <c r="E87" i="11" s="1"/>
  <c r="D135" i="13" s="1"/>
  <c r="D137" i="13" s="1"/>
  <c r="D165" i="13" s="1"/>
  <c r="E68" i="11"/>
  <c r="E89" i="11" s="1"/>
  <c r="J135" i="13" s="1"/>
  <c r="J137" i="13" s="1"/>
  <c r="J165" i="13" s="1"/>
  <c r="E70" i="11"/>
  <c r="E91" i="11" s="1"/>
  <c r="D172" i="13" s="1"/>
  <c r="D174" i="13" s="1"/>
  <c r="D202" i="13" s="1"/>
  <c r="E57" i="11"/>
  <c r="E78" i="11" s="1"/>
  <c r="E58" i="11"/>
  <c r="E79" i="11" s="1"/>
  <c r="E59" i="11"/>
  <c r="E80" i="11" s="1"/>
  <c r="J54" i="13"/>
  <c r="G62" i="13"/>
  <c r="E81" i="11"/>
  <c r="F49" i="3"/>
  <c r="L18" i="16" l="1"/>
  <c r="L20" i="16" s="1"/>
  <c r="G96" i="13"/>
  <c r="G98" i="13" s="1"/>
  <c r="G126" i="13" s="1"/>
  <c r="K18" i="16"/>
  <c r="K22" i="16" s="1"/>
  <c r="K51" i="16" s="1"/>
  <c r="D96" i="13"/>
  <c r="D98" i="13" s="1"/>
  <c r="D126" i="13" s="1"/>
  <c r="J18" i="13"/>
  <c r="J20" i="13" s="1"/>
  <c r="J48" i="13" s="1"/>
  <c r="E18" i="16"/>
  <c r="D18" i="13"/>
  <c r="D20" i="13" s="1"/>
  <c r="D48" i="13" s="1"/>
  <c r="C18" i="16"/>
  <c r="G57" i="13"/>
  <c r="G59" i="13" s="1"/>
  <c r="G87" i="13" s="1"/>
  <c r="H18" i="16"/>
  <c r="J57" i="13"/>
  <c r="J59" i="13" s="1"/>
  <c r="J87" i="13" s="1"/>
  <c r="I18" i="16"/>
  <c r="D57" i="13"/>
  <c r="D59" i="13" s="1"/>
  <c r="D87" i="13" s="1"/>
  <c r="G18" i="16"/>
  <c r="M18" i="13"/>
  <c r="M20" i="13" s="1"/>
  <c r="M48" i="13" s="1"/>
  <c r="F18" i="16"/>
  <c r="M57" i="13"/>
  <c r="M59" i="13" s="1"/>
  <c r="M87" i="13" s="1"/>
  <c r="J18" i="16"/>
  <c r="G18" i="13"/>
  <c r="G20" i="13" s="1"/>
  <c r="G48" i="13" s="1"/>
  <c r="D18" i="16"/>
  <c r="M54" i="13"/>
  <c r="J62" i="13"/>
  <c r="C19" i="11"/>
  <c r="C14" i="9"/>
  <c r="A12" i="9"/>
  <c r="F48" i="3"/>
  <c r="I49" i="3"/>
  <c r="E25" i="14"/>
  <c r="L22" i="16" l="1"/>
  <c r="L51" i="16" s="1"/>
  <c r="K20" i="16"/>
  <c r="E27" i="14"/>
  <c r="E26" i="14"/>
  <c r="J20" i="16"/>
  <c r="J22" i="16"/>
  <c r="J51" i="16" s="1"/>
  <c r="I20" i="16"/>
  <c r="I22" i="16"/>
  <c r="I51" i="16" s="1"/>
  <c r="C22" i="16"/>
  <c r="C51" i="16" s="1"/>
  <c r="C20" i="16"/>
  <c r="D93" i="13"/>
  <c r="M62" i="13"/>
  <c r="D22" i="16"/>
  <c r="D51" i="16" s="1"/>
  <c r="D20" i="16"/>
  <c r="F20" i="16"/>
  <c r="F22" i="16"/>
  <c r="F51" i="16" s="1"/>
  <c r="G22" i="16"/>
  <c r="G51" i="16" s="1"/>
  <c r="G20" i="16"/>
  <c r="H20" i="16"/>
  <c r="H22" i="16"/>
  <c r="H51" i="16" s="1"/>
  <c r="E22" i="16"/>
  <c r="E51" i="16" s="1"/>
  <c r="E20" i="16"/>
  <c r="I48" i="3"/>
  <c r="C18" i="11"/>
  <c r="C15" i="6"/>
  <c r="A13" i="6"/>
  <c r="G93" i="13" l="1"/>
  <c r="D101" i="13"/>
  <c r="E32" i="14"/>
  <c r="E33" i="14"/>
  <c r="E55" i="14" s="1"/>
  <c r="E64" i="14"/>
  <c r="G14" i="10"/>
  <c r="C14" i="7"/>
  <c r="G101" i="13" l="1"/>
  <c r="J93" i="13"/>
  <c r="E34" i="14"/>
  <c r="E37" i="14" s="1"/>
  <c r="E40" i="14" s="1"/>
  <c r="E62" i="14"/>
  <c r="E89" i="14"/>
  <c r="J101" i="13" l="1"/>
  <c r="M93" i="13"/>
  <c r="E45" i="14"/>
  <c r="E47" i="14" s="1"/>
  <c r="E60" i="14" s="1"/>
  <c r="E66" i="14" s="1"/>
  <c r="E70" i="14" s="1"/>
  <c r="E72" i="14" s="1"/>
  <c r="E90" i="14" s="1"/>
  <c r="E36" i="14"/>
  <c r="E39" i="14" s="1"/>
  <c r="E42" i="14" s="1"/>
  <c r="D132" i="13" l="1"/>
  <c r="M101" i="13"/>
  <c r="E49" i="14"/>
  <c r="E88" i="14" s="1"/>
  <c r="E93" i="14" s="1"/>
  <c r="I24" i="15" s="1"/>
  <c r="D140" i="13" l="1"/>
  <c r="G132" i="13"/>
  <c r="G22" i="15"/>
  <c r="P22" i="15" s="1"/>
  <c r="H22" i="15"/>
  <c r="Q22" i="15" s="1"/>
  <c r="H21" i="15"/>
  <c r="Q21" i="15" s="1"/>
  <c r="F22" i="15"/>
  <c r="O22" i="15" s="1"/>
  <c r="F21" i="15"/>
  <c r="O21" i="15" s="1"/>
  <c r="G21" i="15"/>
  <c r="P21" i="15" s="1"/>
  <c r="G20" i="15"/>
  <c r="P20" i="15" s="1"/>
  <c r="H20" i="15"/>
  <c r="Q20" i="15" s="1"/>
  <c r="H19" i="15"/>
  <c r="Q19" i="15" s="1"/>
  <c r="F20" i="15"/>
  <c r="O20" i="15" s="1"/>
  <c r="F19" i="15"/>
  <c r="O19" i="15" s="1"/>
  <c r="G19" i="15"/>
  <c r="P19" i="15" s="1"/>
  <c r="G18" i="15"/>
  <c r="P18" i="15" s="1"/>
  <c r="H18" i="15"/>
  <c r="Q18" i="15" s="1"/>
  <c r="H17" i="15"/>
  <c r="F18" i="15"/>
  <c r="O18" i="15" s="1"/>
  <c r="F17" i="15"/>
  <c r="G17" i="15"/>
  <c r="G140" i="13" l="1"/>
  <c r="J132" i="13"/>
  <c r="H23" i="15"/>
  <c r="G23" i="15"/>
  <c r="I22" i="15"/>
  <c r="I20" i="15"/>
  <c r="I21" i="15"/>
  <c r="I18" i="15"/>
  <c r="I19" i="15"/>
  <c r="F23" i="15"/>
  <c r="I17" i="15"/>
  <c r="J140" i="13" l="1"/>
  <c r="M132" i="13"/>
  <c r="I23" i="15"/>
  <c r="O17" i="15"/>
  <c r="M140" i="13" l="1"/>
  <c r="D169" i="13"/>
  <c r="D177" i="13" l="1"/>
  <c r="G169" i="13"/>
  <c r="G177" i="13" l="1"/>
  <c r="J169" i="13"/>
  <c r="J177" i="13" s="1"/>
</calcChain>
</file>

<file path=xl/sharedStrings.xml><?xml version="1.0" encoding="utf-8"?>
<sst xmlns="http://schemas.openxmlformats.org/spreadsheetml/2006/main" count="1367" uniqueCount="911">
  <si>
    <t>a</t>
  </si>
  <si>
    <t>Note:  Depending on the selections made below, certain worksheets in this workbook will be hidden.</t>
  </si>
  <si>
    <t>Version</t>
  </si>
  <si>
    <t xml:space="preserve">Utility Name   </t>
  </si>
  <si>
    <t>Assigned EB Number</t>
  </si>
  <si>
    <t>Name of Contact and Title</t>
  </si>
  <si>
    <t xml:space="preserve">Phone Number   </t>
  </si>
  <si>
    <t xml:space="preserve">Email Address   </t>
  </si>
  <si>
    <t>Is this Capital Module being filed in a CoS or 
Price-Cap IR Application?</t>
  </si>
  <si>
    <t>Rate Year</t>
  </si>
  <si>
    <t>Last Rebasing Year:</t>
  </si>
  <si>
    <t>Last COS OEB Application Number</t>
  </si>
  <si>
    <t>The most recent complete year for which actual billing and load data exists</t>
  </si>
  <si>
    <t>Current IPI</t>
  </si>
  <si>
    <t>III</t>
  </si>
  <si>
    <t>Stretch Factor Value</t>
  </si>
  <si>
    <t>Price Cap Index</t>
  </si>
  <si>
    <t>Based on the inputs above, the growth factor utilized in the Materiality Threshold Calculation will be determined by:</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</si>
  <si>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</si>
  <si>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</si>
  <si>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</si>
  <si>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</si>
  <si>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</si>
  <si>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Embedded Distributor</t>
  </si>
  <si>
    <t>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t>
  </si>
  <si>
    <t>Loss Factors</t>
  </si>
  <si>
    <t>Units</t>
  </si>
  <si>
    <t>Units1</t>
  </si>
  <si>
    <t>Units2</t>
  </si>
  <si>
    <t>Account History</t>
  </si>
  <si>
    <t>Account set up charge/change of occupancy charge (plus credit agency costs if applicable)</t>
  </si>
  <si>
    <t>Total Loss Factor – Embedded Distributor – Hydro One Networks Inc.</t>
  </si>
  <si>
    <t>Algoma Power Inc.</t>
  </si>
  <si>
    <t>DISTRIBUTED GENERATION [DGEN]</t>
  </si>
  <si>
    <t>kW</t>
  </si>
  <si>
    <t>Sub-Total:  Delivery (Distribution and Retail Transmission)</t>
  </si>
  <si>
    <t>RESIDENTIAL R1</t>
  </si>
  <si>
    <t>General Service 3,000 to 4,999 kW</t>
  </si>
  <si>
    <t>Distribution Volumetric Rate</t>
  </si>
  <si>
    <t>Total Loss Factor – Primary Metered Customer</t>
  </si>
  <si>
    <t>$</t>
  </si>
  <si>
    <t>$/kWh</t>
  </si>
  <si>
    <t>Account set up charge/change of occupancy charge</t>
  </si>
  <si>
    <t>Administrative Billing Charge</t>
  </si>
  <si>
    <t>Atikokan Hydro Inc.</t>
  </si>
  <si>
    <t>EMBEDDED DISTRIBUTOR</t>
  </si>
  <si>
    <t xml:space="preserve">Wholesale Market Service Rate </t>
  </si>
  <si>
    <t>RESIDENTIAL R2</t>
  </si>
  <si>
    <t>General Service 1,000 to 4,999 kW</t>
  </si>
  <si>
    <t>Distribution Volumetric Rate - $/kW of contracted amount</t>
  </si>
  <si>
    <t>Total Loss Factor – Primary Metered Customer &lt; 5,000 kW</t>
  </si>
  <si>
    <t>$/kW</t>
  </si>
  <si>
    <t>%</t>
  </si>
  <si>
    <t>MSC</t>
  </si>
  <si>
    <t>Account set up charge/change of occupancy charge (plus credit agency costs if applicable – Residential)</t>
  </si>
  <si>
    <t>Bell Canada Pole Rentals</t>
  </si>
  <si>
    <t>Bluewater Power Distribution Corporation</t>
  </si>
  <si>
    <t>Rural or Remote Electricity Rate Protection Charge (RRRP)</t>
  </si>
  <si>
    <t>SEASONAL CUSTOMERS</t>
  </si>
  <si>
    <t>General Service Equal To Or Greater Than 1,500 kW - Interval Metered</t>
  </si>
  <si>
    <t>Distribution Wheeling Service Rate</t>
  </si>
  <si>
    <t>Total Loss Factor – Primary Metered Customer &gt; 5,000 kW</t>
  </si>
  <si>
    <t>$/kVA</t>
  </si>
  <si>
    <t>SM_Rate_Adder</t>
  </si>
  <si>
    <t>Clearance Pole Attachment charge $/pole/year</t>
  </si>
  <si>
    <t>FARMS - SINGLE PHASE ENERGY-BILLED [F1]</t>
  </si>
  <si>
    <t>kWh</t>
  </si>
  <si>
    <t>Standard Supply Service – Administration Charge (if applicable)</t>
  </si>
  <si>
    <t>STREET LIGHTING</t>
  </si>
  <si>
    <t>Electricity Rate</t>
  </si>
  <si>
    <t>Total Loss Factor – Secondary Metered Customer</t>
  </si>
  <si>
    <t>MSC_Rate_Rider_</t>
  </si>
  <si>
    <t>Arrears certificate</t>
  </si>
  <si>
    <t>Collection of account charge – no disconnection</t>
  </si>
  <si>
    <t>Brantford Power Inc.</t>
  </si>
  <si>
    <t>FARMS - THREE PHASE ENERGY-BILLED [F3]</t>
  </si>
  <si>
    <t>Sub-Total:  Regulatory</t>
  </si>
  <si>
    <t>RESIDENTIAL</t>
  </si>
  <si>
    <t>Electricity Rate - All Additional kWh</t>
  </si>
  <si>
    <t>Total Loss Factor – Secondary Metered Customer &lt; 5,000 kW</t>
  </si>
  <si>
    <t>VC</t>
  </si>
  <si>
    <t>Arrears certificate (credit reference)</t>
  </si>
  <si>
    <t>Collection of account charge – no disconnection – after regular hours</t>
  </si>
  <si>
    <t>Burlington Hydro Inc.</t>
  </si>
  <si>
    <t>GENERAL SERVICE - COMMERCIAL</t>
  </si>
  <si>
    <t>Debt Retirement Charge (DRC)</t>
  </si>
  <si>
    <t>GENERAL SERVICE LESS THAN 50 kW</t>
  </si>
  <si>
    <t>Electricity Rate - First 250 kWh</t>
  </si>
  <si>
    <t>GENERAL SERVICE - INSTITUTIONAL</t>
  </si>
  <si>
    <t>GENERAL SERVICE 50 TO 4,999 KW</t>
  </si>
  <si>
    <t>Electricity Rate -All Additional kWh</t>
  </si>
  <si>
    <t>Total Loss Factor – Secondary Metered Customer &gt; 5,000 kW</t>
  </si>
  <si>
    <t>VC_Rate_Rider_</t>
  </si>
  <si>
    <t>Charge to certify cheque</t>
  </si>
  <si>
    <t>Collection of account charge – no disconnection - during regular business hours</t>
  </si>
  <si>
    <t>Canadian Niagara Power Inc.</t>
  </si>
  <si>
    <t>GENERAL SERVICE 1,000 TO 2,999 KW</t>
  </si>
  <si>
    <t>Total Bill on RPP (before taxes)</t>
  </si>
  <si>
    <t>GENERAL SERVICE 50 TO 999 kW</t>
  </si>
  <si>
    <t>Electricity Rate First 1,000 kWh</t>
  </si>
  <si>
    <t>Distribution Loss Factor - Secondary Metered Customer &lt; 5,000 kW</t>
  </si>
  <si>
    <t>VC_GA_Rate_Rider_kW_</t>
  </si>
  <si>
    <t>Collection of Account Charge – No Disconnection</t>
  </si>
  <si>
    <t>Collection of account charge – no disconnection – during regular hours</t>
  </si>
  <si>
    <t>Centre Wellington Hydro Ltd.</t>
  </si>
  <si>
    <t>GENERAL SERVICE 1,000 TO 4,999 KW</t>
  </si>
  <si>
    <t>HST</t>
  </si>
  <si>
    <t>GENERAL SERVICE 1,000 TO 4,999 kW</t>
  </si>
  <si>
    <t>Electricity Rate First 25,000 kWh</t>
  </si>
  <si>
    <t>Distribution Loss Factor - Secondary Metered Customer &gt; 5,000 kW</t>
  </si>
  <si>
    <t>VC_LV_Rate</t>
  </si>
  <si>
    <t>Credit Card Convenience Charge</t>
  </si>
  <si>
    <t>Collection/Disconnection/Load Limiter/Reconnection – if in Community</t>
  </si>
  <si>
    <t>Chapleau Public Utilities Corporation</t>
  </si>
  <si>
    <t>GENERAL SERVICE 1,000 TO 4,999 KW - INTERVAL METERS</t>
  </si>
  <si>
    <t>Total Bill (including HST)</t>
  </si>
  <si>
    <t>LARGE USE</t>
  </si>
  <si>
    <t>Electricity Rate First 6,000 kWh</t>
  </si>
  <si>
    <t>Distribution Loss Factor - Primary Metered Customer &lt; 5,000 kW</t>
  </si>
  <si>
    <t>RTSR_Network</t>
  </si>
  <si>
    <t>Credit check (plus credit agency costs)</t>
  </si>
  <si>
    <t>GENERAL SERVICE 1,000 TO 4,999 KW (CO-GENERATION)</t>
  </si>
  <si>
    <t>Ontario Clean Energy Benefit (OCEB)</t>
  </si>
  <si>
    <t>UNMETERED SCATTERED LOAD</t>
  </si>
  <si>
    <t>Electricity Rate Next 1,500 kWh</t>
  </si>
  <si>
    <t>Distribution Loss Factor - Primary Metered Customer &gt; 5,000 kW</t>
  </si>
  <si>
    <t>RTSR_Connection</t>
  </si>
  <si>
    <t>Credit reference Letter</t>
  </si>
  <si>
    <t>Disconnect/Reconnect at meter – after regular hours</t>
  </si>
  <si>
    <t>Cooperative Hydro Embrun Inc.</t>
  </si>
  <si>
    <t>GENERAL SERVICE 1,500 TO 4,999 KW</t>
  </si>
  <si>
    <t>Total Bill on RPP (including OCEB)</t>
  </si>
  <si>
    <t>SENTINEL LIGHTING</t>
  </si>
  <si>
    <t>General Service 1,500 to 4,999 kW customer</t>
  </si>
  <si>
    <t>E.L.K. Energy Inc.</t>
  </si>
  <si>
    <t>GENERAL SERVICE 2,500 TO 4,999 KW</t>
  </si>
  <si>
    <t>General Service 50 to 1,499 kW customer</t>
  </si>
  <si>
    <t>Total Loss Factor - Embedded Distributor</t>
  </si>
  <si>
    <t>RTSR_Network_Interval</t>
  </si>
  <si>
    <t>Credit reference/credit check (plus credit agency costs – General Service)</t>
  </si>
  <si>
    <t>Disconnect/Reconnect at meter – during regular hours</t>
  </si>
  <si>
    <t>GENERAL SERVICE 3,000 TO 4,999 KW</t>
  </si>
  <si>
    <t>Total Bill on TOU (before taxes)</t>
  </si>
  <si>
    <t>STANDBY POWER</t>
  </si>
  <si>
    <t>General Service Large Use customer</t>
  </si>
  <si>
    <t>RTSR_Connection_Interval</t>
  </si>
  <si>
    <t>Credit Reference/credit check (plus credit agency costs)</t>
  </si>
  <si>
    <t>Disconnect/Reconnect at pole – after regular hours</t>
  </si>
  <si>
    <t>GENERAL SERVICE 3,000 TO 4,999 KW - INTERMEDIATE USE</t>
  </si>
  <si>
    <t>GENERAL SERVICE 50 TO 2,999 KW</t>
  </si>
  <si>
    <t>Green Energy Act Initiatives Funding Adder - effective until the date of the next 
      cost of service-based rate order</t>
  </si>
  <si>
    <t>RTSR_Network_Interval_GR1000kW</t>
  </si>
  <si>
    <t>Dispute Test – Commercial self contained -- MC</t>
  </si>
  <si>
    <t>Disconnect/Reconnect at pole – during regular hours</t>
  </si>
  <si>
    <t>GENERAL SERVICE 3,000 TO 4,999 KW - INTERVAL METERED</t>
  </si>
  <si>
    <t>Green Energy Act Plan Funding Adder</t>
  </si>
  <si>
    <t>RTSR_Connection_Interval_GR1000kW</t>
  </si>
  <si>
    <t>Dispute Test – Commercial TT -- MC</t>
  </si>
  <si>
    <t>Disconnect/Reconnect Charge – At Meter – After Hours</t>
  </si>
  <si>
    <t>GENERAL SERVICE 3,000 TO 4,999 KW - TIME OF USE</t>
  </si>
  <si>
    <t>Green Energy Act Plan Funding Adder - effective April 1, 2013 until March 31, 2014</t>
  </si>
  <si>
    <t>RTSR_Line_Connection</t>
  </si>
  <si>
    <t>Dispute Test – Residential</t>
  </si>
  <si>
    <t>Disconnect/Reconnect Charge – At Meter – During Regular Hours</t>
  </si>
  <si>
    <t>GENERAL SERVICE 50 TO 1,000 KW</t>
  </si>
  <si>
    <t>Total Bill on TOU (including OCEB)</t>
  </si>
  <si>
    <t>LARGE USE - REGULAR</t>
  </si>
  <si>
    <t>Green Energy Act Plan Funding Adder - effective April 1, 2014 until March 31, 2015</t>
  </si>
  <si>
    <t>RTSR_Transformer_Connection</t>
  </si>
  <si>
    <t>Duplicate Invoices for previous billing</t>
  </si>
  <si>
    <t>Disconnect/Reconnect Charge – At Pole – After Hours</t>
  </si>
  <si>
    <t>GENERAL SERVICE 50 TO 1,000 KW - INTERVAL METERS</t>
  </si>
  <si>
    <t>LARGE USE - 3TS</t>
  </si>
  <si>
    <t>ICM Rate Rider (2014) - in effect until the effective date of the next cost of service rates</t>
  </si>
  <si>
    <t>WMSR</t>
  </si>
  <si>
    <t>Easement Letter</t>
  </si>
  <si>
    <t>Disconnect/Reconnect Charge – At Pole – During Regular Hours</t>
  </si>
  <si>
    <t>ENWIN Utilities Ltd.</t>
  </si>
  <si>
    <t>GENERAL SERVICE 50 TO 1,000 KW - NON INTERVAL METERS</t>
  </si>
  <si>
    <t>LARGE USE - FORD ANNEX</t>
  </si>
  <si>
    <t>Low Voltage Service Charge</t>
  </si>
  <si>
    <t>RRRP</t>
  </si>
  <si>
    <t>Income Tax Letter</t>
  </si>
  <si>
    <t>Disconnect/Reconnect Charges for non payment of account - At Meter After Hours</t>
  </si>
  <si>
    <t>GENERAL SERVICE 50 TO 1,499 KW</t>
  </si>
  <si>
    <t>GENERAL SERVICE 50 TO 499 kW</t>
  </si>
  <si>
    <t>Low Voltage Service Rate</t>
  </si>
  <si>
    <t>SPC</t>
  </si>
  <si>
    <t>Interval Meter Interrogation</t>
  </si>
  <si>
    <t>Disconnect/Reconnect charges for non payment of account – at meter after regular hours</t>
  </si>
  <si>
    <t>GENERAL SERVICE 50 TO 1,499 KW - INTERVAL METERED</t>
  </si>
  <si>
    <t>GENERAL SERVICE 500 TO 4,999 kW</t>
  </si>
  <si>
    <t>Low Voltage Volumetric Rate</t>
  </si>
  <si>
    <t>DRC</t>
  </si>
  <si>
    <t>Interval meter request change</t>
  </si>
  <si>
    <t>Disconnect/Reconnect Charges for non payment of account - At Meter During Regular Hours</t>
  </si>
  <si>
    <t>Essex Powerlines Corporation</t>
  </si>
  <si>
    <t>GENERAL SERVICE 50 TO 2,499 KW</t>
  </si>
  <si>
    <t>GENERAL SERVICE 50 TO 1,499 kW</t>
  </si>
  <si>
    <t>LRAM Rate Rider - Effective Until April 30, 2015</t>
  </si>
  <si>
    <t>SSS</t>
  </si>
  <si>
    <t>Legal letter</t>
  </si>
  <si>
    <t>Disconnect/Reconnect charges for non payment of account – at meter during regular hours</t>
  </si>
  <si>
    <t>Festival Hydro Inc.</t>
  </si>
  <si>
    <t>INTERMEDIATE USER</t>
  </si>
  <si>
    <t>Minimum Distribution Charge - per KW of maximum billing demand in the previous 11 months</t>
  </si>
  <si>
    <t>SFLF</t>
  </si>
  <si>
    <t>Legal letter charge</t>
  </si>
  <si>
    <t>Disconnect/Reconnect charges for non payment of account – at pole after regular hours</t>
  </si>
  <si>
    <t>Fort Frances Power Corporation</t>
  </si>
  <si>
    <t>GENERAL SERVICE 50 TO 2,999 KW - INTERVAL METERED</t>
  </si>
  <si>
    <t>LARGE USE WITH DEDICATED ASSETS</t>
  </si>
  <si>
    <t>January</t>
  </si>
  <si>
    <t>Monthly Distribution Wheeling Service Rate - Dedicated LV Line</t>
  </si>
  <si>
    <t>DLF_Secondary_LT_5000kW</t>
  </si>
  <si>
    <t>Meter dispute charge plus Measurement Canada fees (if meter found correct)</t>
  </si>
  <si>
    <t>Disconnect/Reconnect charges for non payment of account – at pole during regular hours</t>
  </si>
  <si>
    <t>Greater Sudbury Hydro Inc.</t>
  </si>
  <si>
    <t>GENERAL SERVICE 50 TO 2,999 KW - TIME OF USE</t>
  </si>
  <si>
    <t>GENERAL SERVICE 50 TO 699 KW</t>
  </si>
  <si>
    <t>February</t>
  </si>
  <si>
    <t>Monthly Distribution Wheeling Service Rate - Hydro One Networks</t>
  </si>
  <si>
    <t>DLF_Secondary_GT_5000kW</t>
  </si>
  <si>
    <t>Notification charge</t>
  </si>
  <si>
    <t>Disconnect/Reconnection for &gt;300 volts - after regular hours</t>
  </si>
  <si>
    <t>GENERAL SERVICE 700 TO 4,999 KW</t>
  </si>
  <si>
    <t>March</t>
  </si>
  <si>
    <t>Monthly Distribution Wheeling Service Rate - Shared LV Line</t>
  </si>
  <si>
    <t>DLF_Primary_LT_5000kW</t>
  </si>
  <si>
    <t>Pulling Post Dated Cheques</t>
  </si>
  <si>
    <t>Disconnect/Reconnection for &gt;300 volts - during regular hours</t>
  </si>
  <si>
    <t>GENERAL SERVICE 50 TO 4,999 KW - INTERVAL METERED</t>
  </si>
  <si>
    <t>April</t>
  </si>
  <si>
    <t>Monthly Distribution Wheeling Service Rate - Waterloo North Hydro</t>
  </si>
  <si>
    <t>DLF_Primary_GT_5000kW</t>
  </si>
  <si>
    <t>Request for other billing information</t>
  </si>
  <si>
    <t>Disposal of Concrete Poles</t>
  </si>
  <si>
    <t>GENERAL SERVICE 50 TO 4,999 KW - TIME OF USE</t>
  </si>
  <si>
    <t>ENERGY FROM WASTE</t>
  </si>
  <si>
    <t>May</t>
  </si>
  <si>
    <t>Rate Rider for Application of Tax Change - effective until April 30, 2015</t>
  </si>
  <si>
    <t>TLF_Secondary_LT_5000kW</t>
  </si>
  <si>
    <t>Returned cheque (plus bank charges)</t>
  </si>
  <si>
    <t>Halton Hills Hydro Inc.</t>
  </si>
  <si>
    <t>GENERAL SERVICE 50 TO 4,999 KW (COGENERATION)</t>
  </si>
  <si>
    <t>UR RESIDENTIAL</t>
  </si>
  <si>
    <t>June</t>
  </si>
  <si>
    <t>Rate Rider for Application of Tax Change - effective until December 31, 2014</t>
  </si>
  <si>
    <t>TLF_Secondary_GT_5000kW</t>
  </si>
  <si>
    <t>Returned cheque charge (plus bank charges)</t>
  </si>
  <si>
    <t>Install/Remove load control device – after regular hours</t>
  </si>
  <si>
    <t>GENERAL SERVICE 50 TO 4,999 KW (FORMERLY TIME OF USE)</t>
  </si>
  <si>
    <t>R1 RESIDENTIAL</t>
  </si>
  <si>
    <t>July</t>
  </si>
  <si>
    <t>Rate Rider for Application of Tax Change (2014) - effective until April 30, 2015</t>
  </si>
  <si>
    <t>TLF_Primary_LT_5000kW</t>
  </si>
  <si>
    <t>Special Billing Service (aggregation)</t>
  </si>
  <si>
    <t>Install/Remove load control device – during regular hours</t>
  </si>
  <si>
    <t>Hydro 2000 Inc.</t>
  </si>
  <si>
    <t>GENERAL SERVICE 50 TO 499 KW</t>
  </si>
  <si>
    <t>R2 RESIDENTIAL</t>
  </si>
  <si>
    <t>August</t>
  </si>
  <si>
    <t>Rate Rider for Application of Tax Change (per connection) - effective until April 30, 2015</t>
  </si>
  <si>
    <t>TLF_Primary_GT_5000kW</t>
  </si>
  <si>
    <t>Special Billing Service (sub-metering charge per meter)</t>
  </si>
  <si>
    <t>Hydro Hawkesbury Inc.</t>
  </si>
  <si>
    <t>SEASONAL</t>
  </si>
  <si>
    <t>September</t>
  </si>
  <si>
    <t>Rate Rider for CGAAP Accounting Changes (2013) - effective until April 30, 2017</t>
  </si>
  <si>
    <t>TLF_EmbeddedDistributor</t>
  </si>
  <si>
    <t>Special meter reads</t>
  </si>
  <si>
    <t>Interval Meter Load Management Tool Charge $/month</t>
  </si>
  <si>
    <t>Hydro One Networks Inc.</t>
  </si>
  <si>
    <t>GENERAL SERVICE 50 TO 999 KW</t>
  </si>
  <si>
    <t>URBAN GENERAL SERVICE ENERGY BILLED</t>
  </si>
  <si>
    <t>October</t>
  </si>
  <si>
    <t>Rate Rider for Deferral/Variance Account (2012) - effective unitl April 30, 2016</t>
  </si>
  <si>
    <t>Statement of Account</t>
  </si>
  <si>
    <t>Hydro Ottawa Limited</t>
  </si>
  <si>
    <t>GENERAL SERVICE 50 TO 999 KW - INTERVAL METERED</t>
  </si>
  <si>
    <t>GENERAL SERVICE ENERGY BILLED</t>
  </si>
  <si>
    <t>November</t>
  </si>
  <si>
    <t>Rate Rider for Deferral/Variance Account Disposition – effective until April 30, 2015</t>
  </si>
  <si>
    <t>Unprocessed Payment Charge (plus bank charges)</t>
  </si>
  <si>
    <t>Late Payment – per annum</t>
  </si>
  <si>
    <t>GENERAL SERVICE 500 TO 4,999 KW</t>
  </si>
  <si>
    <t>URBAN GENERAL SERVICE DEMAND BILLED</t>
  </si>
  <si>
    <t>December</t>
  </si>
  <si>
    <t>Rate Rider for Deferral/Variance Account Disposition (2012) - effective until April 30, 2016</t>
  </si>
  <si>
    <t>Late Payment – per month</t>
  </si>
  <si>
    <t>GENERAL SERVICE DEMAND BILLED</t>
  </si>
  <si>
    <t>Rate Rider for Deferral/Variance Account Disposition (2013) - effective until April 30, 2014</t>
  </si>
  <si>
    <t>Layout fees</t>
  </si>
  <si>
    <t>Kingston Hydro Corporation</t>
  </si>
  <si>
    <t>GENERAL SERVICE DEMAND BILLED (50 KW AND ABOVE) [GSD]</t>
  </si>
  <si>
    <t>DISTRIBUTED GENERATION</t>
  </si>
  <si>
    <t>Rate Rider for Deferral/Variance Account Disposition (2014) - effective until April 28, 2016</t>
  </si>
  <si>
    <t>Kitchener-Wilmot Hydro Inc.</t>
  </si>
  <si>
    <t>GENERAL SERVICE ENERGY BILLED (LESS THAN 50 KW) [GSE-METERED]</t>
  </si>
  <si>
    <t>SUB TRANSMISSION</t>
  </si>
  <si>
    <t>Rate Rider for Deferral/Variance Account Disposition (2014) - effective until April 30, 2015</t>
  </si>
  <si>
    <t>Meter Interrogation Charge</t>
  </si>
  <si>
    <t>Lakefront Utilities Inc.</t>
  </si>
  <si>
    <t>GENERAL SERVICE ENERGY BILLED (LESS THAN TO 50 KW) [GSE-UNMETERED]</t>
  </si>
  <si>
    <t>GENERAL SERVICE GREATER THAN ,000 kW</t>
  </si>
  <si>
    <t>Rate Rider for Deferral/Variance Account Disposition (2014) - effective until December 31, 2014</t>
  </si>
  <si>
    <t>Missed Service Appointment</t>
  </si>
  <si>
    <t>Lakeland Power Distribution Ltd.</t>
  </si>
  <si>
    <t>GENERAL SERVICE EQUAL TO OR GREATER THAN 1,500 KW</t>
  </si>
  <si>
    <t>GENERAL SERVICE 1,500 TO 4,999 kW</t>
  </si>
  <si>
    <t>Rate Rider for Deferral/Variance Account Disposition (2014) - effective until December 31, 2015</t>
  </si>
  <si>
    <t>Norfolk Pole Rentals – Billed</t>
  </si>
  <si>
    <t>GENERAL SERVICE EQUAL TO OR GREATER THAN 1,500 KW - INTERVAL METERED</t>
  </si>
  <si>
    <t>HCI, RESOP, OTHER ENERGY RESOURCE</t>
  </si>
  <si>
    <t>Rate Rider for Deferral/Variance Account Dispositon (2012) - effective until April 30, 2016</t>
  </si>
  <si>
    <t>Optional Interval/TOU Meter charge $/month</t>
  </si>
  <si>
    <t>London Hydro Inc.</t>
  </si>
  <si>
    <t>GENERAL SERVICE GREATER THAN 1,000 KW</t>
  </si>
  <si>
    <t>Rate Rider for Disposition of Accounting Changes Under CGAAP Account 1576 
      - effective until April 30, 2016</t>
  </si>
  <si>
    <t>Overtime Locate</t>
  </si>
  <si>
    <t>GENERAL SERVICE GREATER THAN 50 kW - WMP</t>
  </si>
  <si>
    <t>GENERAL SERVICE 1,000 KW AND GREATER</t>
  </si>
  <si>
    <t>Rate Rider for Disposition of Deferral/Variance Accounts (2010) - effective until December 31, 2014</t>
  </si>
  <si>
    <t>Owner Requested Disconnection/Reconnection – after regular hours</t>
  </si>
  <si>
    <t>GENERAL SERVICE INTERMEDIATE 1,000 TO 4,999 KW</t>
  </si>
  <si>
    <t>GENERAL SERVICE GREATER THAN 1,000kW</t>
  </si>
  <si>
    <t>Rate Rider for Disposition of Deferral/Variance Accounts (2011) - effective until April 30, 2015</t>
  </si>
  <si>
    <t>Owner Requested Disconnection/Reconnection – during regular hours</t>
  </si>
  <si>
    <t>Milton Hydro Distribution Inc.</t>
  </si>
  <si>
    <t>GENERAL SERVICE INTERMEDIATE RATE CLASS 1,000 TO 4,999 KW (FORMERLY GENERAL SERVICE &gt; 50 KW CUSTOMERS)</t>
  </si>
  <si>
    <t>GENERAL SERVICE 500 TO 1,499 KW</t>
  </si>
  <si>
    <t>Rate Rider for Disposition of Deferral/Variance Accounts (2011) - effective until April 30, 2016</t>
  </si>
  <si>
    <t>Niagara Peninsula Energy Inc.</t>
  </si>
  <si>
    <t>GENERAL SERVICE INTERMEDIATE RATE CLASS 1,000 TO 4,999 KW (FORMERLY LARGE USE CUSTOMERS)</t>
  </si>
  <si>
    <t>Rate Rider for Disposition of Deferral/Variance Accounts (2012) - effective until April 30, 2014</t>
  </si>
  <si>
    <t>Rural system expansion / line connection fee</t>
  </si>
  <si>
    <t>Niagara-on-the-Lake Hydro Inc.</t>
  </si>
  <si>
    <t>GENERAL SERVICE LESS THAN 50 KW</t>
  </si>
  <si>
    <t>COMPETITIVE SECTOR MULTI-UNIT RESIDENTIAL</t>
  </si>
  <si>
    <t>Rate Rider for Disposition of Deferral/Variance Accounts (2012) - effective until April 30, 2015</t>
  </si>
  <si>
    <t>Same Day Open Trench</t>
  </si>
  <si>
    <t>GENERAL SERVICE LESS THAN 50 KW - SINGLE PHASE ENERGY-BILLED [G1]</t>
  </si>
  <si>
    <t>SEASONAL RESIDENTIAL</t>
  </si>
  <si>
    <t>Rate Rider for Disposition of Deferral/Variance Accounts (2012) - effective until April 30, 2016</t>
  </si>
  <si>
    <t>Scheduled Day Open Trench</t>
  </si>
  <si>
    <t>GENERAL SERVICE LESS THAN 50 KW - THREE PHASE ENERGY-BILLED [G3]</t>
  </si>
  <si>
    <t>Rate Rider for Disposition of Deferral/Variance Accounts (2012) - effective until August 31, 2014</t>
  </si>
  <si>
    <t>Service call – after regular hours</t>
  </si>
  <si>
    <t>Northern Ontario Wires Inc.</t>
  </si>
  <si>
    <t>GENERAL SERVICE LESS THAN 50 KW - TRANSMISSION CLASS ENERGY-BILLED [T]</t>
  </si>
  <si>
    <t>Rate Rider for Disposition of Deferral/Variance Accounts (2012) - effective until December 31, 2015</t>
  </si>
  <si>
    <t>Service call – customer owned equipment</t>
  </si>
  <si>
    <t>Oakville Hydro Electricity Distribution Inc.</t>
  </si>
  <si>
    <t>GENERAL SERVICE LESS THAN 50 KW - URBAN ENERGY-BILLED [UG]</t>
  </si>
  <si>
    <t>Rate Rider for Disposition of Deferral/Variance Accounts (2012) - effective until December 31, 2016 
      Applicable only in the former service area of Clinton Power</t>
  </si>
  <si>
    <t>Service Call – Customer-owned Equipment – After Regular Hours</t>
  </si>
  <si>
    <t>Orangeville Hydro Limited</t>
  </si>
  <si>
    <t>GENERAL SERVICE SINGLE PHASE - G1</t>
  </si>
  <si>
    <t>Rate Rider for Disposition of Deferral/Variance Accounts (2012) – effective until December 31, 2016 
      Applicable only in the former service area of Clinton Power</t>
  </si>
  <si>
    <t>Service Call – Customer-owned Equipment – During Regular Hours</t>
  </si>
  <si>
    <t>Orillia Power Distribution Corporation</t>
  </si>
  <si>
    <t>GENERAL SERVICE THREE PHASE - G3</t>
  </si>
  <si>
    <t>Rate Rider for Disposition of Deferral/Variance Accounts (2012) - effective until January 31, 2014</t>
  </si>
  <si>
    <t>Service Charge for onsite interrogation of interval meter due to customer phone line failure - required weekly until line repaired $ 6</t>
  </si>
  <si>
    <t>Oshawa PUC Networks Inc.</t>
  </si>
  <si>
    <t>INTERMEDIATE USERS</t>
  </si>
  <si>
    <t>Rate Rider for Disposition of Deferral/Variance Accounts (2012) - effective until June 30, 2014</t>
  </si>
  <si>
    <t>Service Layout - Commercial</t>
  </si>
  <si>
    <t>Ottawa River Power Corporation</t>
  </si>
  <si>
    <t>INTERMEDIATE WITH SELF GENERATION</t>
  </si>
  <si>
    <t>Rate Rider for Disposition of Deferral/Variance Accounts (2013) - Applicable only to 
      Wholesale Market Participants - effective until April 30, 2015</t>
  </si>
  <si>
    <t>Service Layout - ResidentiaI</t>
  </si>
  <si>
    <t>Peterborough Distribution Incorporated</t>
  </si>
  <si>
    <t>Rate Rider for Disposition of Deferral/Variance Accounts (2013) - effective until April 30, 2014</t>
  </si>
  <si>
    <t>PUC Distribution Inc.</t>
  </si>
  <si>
    <t>Rate Rider for Disposition of Deferral/Variance Accounts (2013) - effective until April 30, 2015</t>
  </si>
  <si>
    <t>Renfrew Hydro Inc.</t>
  </si>
  <si>
    <t>Rate Rider for Disposition of Deferral/Variance Accounts (2013) - effective until April 30, 2015 
      - not applicable to Wholesale Market Participants</t>
  </si>
  <si>
    <t>Specific Charge for Access to the Power Poles - $/pole/year</t>
  </si>
  <si>
    <t>Rideau St. Lawrence Distribution Inc.</t>
  </si>
  <si>
    <t>Rate Rider for Disposition of Deferral/Variance Accounts (2013) - effective until April 30, 2017</t>
  </si>
  <si>
    <t>Specific Charge for Bell Canada Access to the Power Poles – per pole/year</t>
  </si>
  <si>
    <t>Sioux Lookout Hydro Inc.</t>
  </si>
  <si>
    <t>LARGE USE &gt; 5000 KW</t>
  </si>
  <si>
    <t>Rate Rider for Disposition of Deferral/Variance Accounts (2013) - effective until August 31, 2014</t>
  </si>
  <si>
    <t>Switching for company maintenance – Charge based on Time and Materials</t>
  </si>
  <si>
    <t>microFIT</t>
  </si>
  <si>
    <t>Rate Rider for Disposition of Deferral/Variance Accounts (2013) - effective until December 31, 2014</t>
  </si>
  <si>
    <t>Temporary Service – Install &amp; remove – overhead – no transformer</t>
  </si>
  <si>
    <t>Rate Rider for Disposition of Deferral/Variance Accounts (2013) - effective until May 31, 2014</t>
  </si>
  <si>
    <t>Temporary Service – Install &amp; remove – overhead – with transformer</t>
  </si>
  <si>
    <t>Tillsonburg Hydro Inc.</t>
  </si>
  <si>
    <t>RESIDENTIAL - HENSALL</t>
  </si>
  <si>
    <t>Rate Rider for Disposition of Deferral/Variance Accounts (2014) - effective until December 31, 2015</t>
  </si>
  <si>
    <t>Temporary Service – Install &amp; remove – underground – no transformer</t>
  </si>
  <si>
    <t>Toronto Hydro-Electric System Limited</t>
  </si>
  <si>
    <t>RESIDENTIAL - HIGH DENSITY [R1]</t>
  </si>
  <si>
    <t>Rate Rider for Disposition of Deferred PILs Variance Account 1562 - effective until March 31, 2016</t>
  </si>
  <si>
    <t>Temporary service install &amp; remove – overhead – no transformer</t>
  </si>
  <si>
    <t>RESIDENTIAL - LOW DENSITY [R2]</t>
  </si>
  <si>
    <t>Rate Rider for Disposition of Deferred PILs Variance Account 1562 (2012) - effective until April 30, 2015</t>
  </si>
  <si>
    <t>Temporary Service Install &amp; Remove – Overhead – With Transformer</t>
  </si>
  <si>
    <t>Wasaga Distribution Inc.</t>
  </si>
  <si>
    <t>RESIDENTIAL - MEDIUM DENSITY [R1]</t>
  </si>
  <si>
    <t>Rate Rider for Disposition of Deferred PILs Variance Account 1562 (2012) - effective until April 30, 2016</t>
  </si>
  <si>
    <t>Temporary Service Install &amp; Remove – Underground – No Transformer</t>
  </si>
  <si>
    <t>Waterloo North Hydro Inc.</t>
  </si>
  <si>
    <t>RESIDENTIAL - NORMAL DENSITY [R2]</t>
  </si>
  <si>
    <t>Rate Rider for Disposition of Deferred PILs Variance Account 1562 (2nd Installment - 2012) 
      - effective until April 30, 2016</t>
  </si>
  <si>
    <t>Temporary service installation and removal – overhead – no transformer</t>
  </si>
  <si>
    <t>Welland Hydro-Electric System Corp.</t>
  </si>
  <si>
    <t>RESIDENTIAL - TIME OF USE</t>
  </si>
  <si>
    <t>Rate Rider for Disposition of Deferred PILs Variance Account 1562 (per connection) (2012) 
      - effective until April 30, 2015</t>
  </si>
  <si>
    <t>Temporary service installation and removal – overhead – with transformer</t>
  </si>
  <si>
    <t>Wellington North Power Inc.</t>
  </si>
  <si>
    <t>RESIDENTIAL - URBAN [UR]</t>
  </si>
  <si>
    <t>Rate Rider for Disposition of Deferred PILs Variance Account 1562 (per connection) (2012) 
      - effective until April 30, 2016</t>
  </si>
  <si>
    <t>Temporary service installation and removal – underground – no transformer</t>
  </si>
  <si>
    <t>RESIDENTIAL REGULAR</t>
  </si>
  <si>
    <t>Rate Rider for Disposition of Global Adjustment Sub-Account (2011)  - effective until April 30, 2015 
      Applicable only for Non-RPP Customers</t>
  </si>
  <si>
    <t>Westario Power Inc.</t>
  </si>
  <si>
    <t>RESIDENTIAL SUBURBAN</t>
  </si>
  <si>
    <t>Rate Rider for Disposition of Global Adjustment Sub-Account (2011) - effective until April 30, 2016 
      Applicable only for Non-RPP Customers</t>
  </si>
  <si>
    <t>RESIDENTIAL SUBURBAN SEASONAL</t>
  </si>
  <si>
    <t>Rate Rider for Disposition of Global Adjustment Sub-Account (2012) - effective until April 30, 2014 
      Applicable only for Non-RPP Customers</t>
  </si>
  <si>
    <t>RESIDENTIAL SUBURBAN YEAR ROUND</t>
  </si>
  <si>
    <t>Rate Rider for Disposition of Global Adjustment Sub-Account (2012) - effective until April 30, 2015 
      Applicable only for Non-RPP Customers</t>
  </si>
  <si>
    <t>RESIDENTIAL URBAN</t>
  </si>
  <si>
    <t>Rate Rider for Disposition of Global Adjustment Sub-Account (2012) - effective until April 30, 2015 
      Applicatble only for Non-RPP Customers</t>
  </si>
  <si>
    <t>RESIDENTIAL URBAN YEAR-ROUND</t>
  </si>
  <si>
    <t>Rate Rider for Disposition of Global Adjustment Sub-Account (2012) - effective until April 30, 2016 
      Applicable only for Non-RPP Customers</t>
  </si>
  <si>
    <t>Rate Rider for Disposition of Global Adjustment Sub-Account (2012) - effective until January 31, 2014. 
      Applicable only for Non-RPP Customers</t>
  </si>
  <si>
    <t>SEASONAL RESIDENTIAL - HIGH DENSITY [R3]</t>
  </si>
  <si>
    <t>Rate Rider for Disposition of Global Adjustment Sub-Account (2012) - effective until June 30, 2014 
      Applicable only for Non-RPP Customers</t>
  </si>
  <si>
    <t>SEASONAL RESIDENTIAL - NORMAL DENSITY [R4]</t>
  </si>
  <si>
    <t>Rate Rider for Disposition of Global Adjustment Sub-Account (2012) Applicable only for Non-RPP Customers 
      - effective until August 31, 2014</t>
  </si>
  <si>
    <t>Rate Rider for Disposition of Global Adjustment Sub-Account (2012) Applicable only to Non-RPP Customers 
      - effective until August 31, 2014</t>
  </si>
  <si>
    <t>SMALL COMMERCIAL AND USL - PER CONNECTION</t>
  </si>
  <si>
    <t>Rate Rider for Disposition of Global Adjustment Sub-Account (2013) - effective until April 30, 2014 
      Applicable only for Non-RPP Customers</t>
  </si>
  <si>
    <t>SMALL COMMERCIAL AND USL - PER METER</t>
  </si>
  <si>
    <t>Rate Rider for Disposition of Global Adjustment Sub-Account (2013) - effective until April 30, 2015 
      Applicable only for Non-RPP Customers</t>
  </si>
  <si>
    <t>STANDARD A GENERAL SERVICE AIR ACCESS</t>
  </si>
  <si>
    <t>Rate Rider for Disposition of Global Adjustment Sub-Account (2013) - effective until April 30, 2015 
      Applicable only for Non-RPP Customers and excluding Wholesale Market Participants</t>
  </si>
  <si>
    <t>STANDARD A GENERAL SERVICE ROAD/RAIL</t>
  </si>
  <si>
    <t>Rate Rider for Disposition of Global Adjustment Sub-Account (2013) - effective until April 30, 2017 
      Applicable only for Non-RPP Customers</t>
  </si>
  <si>
    <t>STANDARD A GRID CONNECTED</t>
  </si>
  <si>
    <t>Rate Rider For Disposition of Global Adjustment Sub-Account (2013) - effective until August 31, 2014 
      Applicable only for Non-RPP Customers</t>
  </si>
  <si>
    <t>STANDARD A RESIDENTIAL AIR ACCESS</t>
  </si>
  <si>
    <t>Rate Rider for Disposition of Global Adjustment Sub-Account (2013) - effective until December 31, 2014 
      Applicable only for Non-RPP Customers</t>
  </si>
  <si>
    <t>STANDARD A RESIDENTIAL ROAD/RAIL</t>
  </si>
  <si>
    <t>Rate Rider for Disposition of Global Adjustment Sub-Account (2013) - effective until May 31, 2014 
      Applicable only for Non-RPP Customers</t>
  </si>
  <si>
    <t>STANDBY - GENERAL SERVICE 1,000 - 5,000 KW</t>
  </si>
  <si>
    <t>Rate Rider for Disposition of Global Adjustment Sub-Account (2014) - effective until December 31, 2014. 
      Applicable only for Non-RPP - Class B Customers</t>
  </si>
  <si>
    <t>STANDBY - GENERAL SERVICE 50 - 1,000 KW</t>
  </si>
  <si>
    <t>Rate Rider for Disposition of Global Adjustment Sub-Account (2014) - effective until December 31, 2014. 
      Applicable only for Non-RPP Customers</t>
  </si>
  <si>
    <t>STANDBY - LARGE USE</t>
  </si>
  <si>
    <t>Rate Rider for Disposition of Global Adjustment Sub-Account (2014) - effective until December 31, 2014. 
      Applicable only for Non-RPP Customers - Class A Customers</t>
  </si>
  <si>
    <t>STANDBY DISTRIBUTION SERVICE</t>
  </si>
  <si>
    <t>Rate Rider for Disposition of Global Adjustment Sub-Account (2014) - effective until December 31, 2014. 
      Applicable only for Non-RPP Customers - Interval Metered</t>
  </si>
  <si>
    <t>Rate Rider for Disposition of Global Adjustment Sub-Account (2014) - effective until December 31, 2014. 
      Applicable only for Non-RPP Customers - Non Interval Metered</t>
  </si>
  <si>
    <t>STANDBY POWER - APPROVED ON AN INTERIM BASIS</t>
  </si>
  <si>
    <t xml:space="preserve">Rate Rider for Disposition of Global Adjustment Sub-Account (2014) 
      - effective until December 31, 2015. Applicable only for Non-RPP Customers.  </t>
  </si>
  <si>
    <t>STANDBY POWER GENERAL SERVICE 1,500 TO 4,999 KW</t>
  </si>
  <si>
    <t>Rate Rider for Disposition of Post Retirement Actuarial Gain - effective until March 31, 2025</t>
  </si>
  <si>
    <t>STANDBY POWER GENERAL SERVICE 50 TO 1,499 KW</t>
  </si>
  <si>
    <t>Rate Rider for Disposition of Residual Hisotrical Smart Meter Costs - effective until April 30, 2015</t>
  </si>
  <si>
    <t>STANDBY POWER GENERAL SERVICE LARGE USE</t>
  </si>
  <si>
    <t>Rate Rider for Disposition of Residual Hisotrical Smart Meter Costs - effective until April 30, 2017</t>
  </si>
  <si>
    <t>Rate Rider for Disposition of Residual Historical Smart Meter Costs - effective until April 30, 2014</t>
  </si>
  <si>
    <t>SUB TRANSMISSION [ST]</t>
  </si>
  <si>
    <t>Rate Rider for Disposition of Residual Historical Smart Meter Costs - effective until April 30, 2016</t>
  </si>
  <si>
    <t>Rate Rider for Disposition of Residual Historical Smart Meter Costs - effective until August 31, 2014</t>
  </si>
  <si>
    <t>URBAN GENERAL SERVICE DEMAND BILLED (50 KW AND ABOVE) [UGD]</t>
  </si>
  <si>
    <t>Rate Rider for Disposition of Residual Historical Smart Meter Costs - effective until August 31, 2015</t>
  </si>
  <si>
    <t>URBAN GENERAL SERVICE ENERGY BILLED (LESS THAN 50 KW) [UGE]</t>
  </si>
  <si>
    <t>Rate Rider for Disposition of Residual Historical Smart Meter Costs - effective until December 31, 2014</t>
  </si>
  <si>
    <t>WESTPORT SEWAGE TREATMENT PLANT</t>
  </si>
  <si>
    <t>Rate Rider for Disposition of Residual Historical Smart Meter Costs – effective until December 31, 2014</t>
  </si>
  <si>
    <t>YEAR-ROUND RESIDENTIAL - R2</t>
  </si>
  <si>
    <t>Rate Rider for Disposition of Residual Historical Smart Meter Costs - effective until December 31, 2015</t>
  </si>
  <si>
    <t>Rate Rider for Disposition of Residual Historical Smart Meter Costs - effective until December 31, 2016</t>
  </si>
  <si>
    <t>Rate Rider for Disposition of Residual Historical Smart Meter Costs - effective until October 31, 2014</t>
  </si>
  <si>
    <t>Rate Rider for Disposition of Residual Historical Smart Meter Costs - effective until September 30, 2014</t>
  </si>
  <si>
    <t>Rate Rider for Disposition of Residual Historical Smart Meter Costs - Non-Interval Metered 
      - effective until April 30, 2014</t>
  </si>
  <si>
    <t>Rate Rider for Disposition of Residual Historical Smart Meter Costs 2 - in effect until the effective date
      of the next cost of service-based rate order</t>
  </si>
  <si>
    <t>Rate Rider for Disposition of Residual Historical Smart Meter Costs 3 - in effect until the effective date of
      the next cost of service-based rate order</t>
  </si>
  <si>
    <t>Rate Rider for Disposition of Residual Incremental Historical Smart Meter Costs 
      - effective until August 31, 2015</t>
  </si>
  <si>
    <t>Rate Rider for Disposition of Stranded Meter costs - effective until April 30, 2015</t>
  </si>
  <si>
    <t>Rate Rider for Disposition of Stranded Meter Costs - effective until April 30, 2016</t>
  </si>
  <si>
    <t>Rate Rider for Disposition of Stranded Meter Costs - effective until April 30, 2017</t>
  </si>
  <si>
    <t>Rate Rider for Global Adjustment Sub Account Disposition - effective until April 30, 2016 
      Applicable only for Non RPP Customers</t>
  </si>
  <si>
    <t>Rate Rider for Global Adjustment Sub-Account Disposition (2014) - effective until April 28, 2016 
      Applicable only for Non-RPP Customers</t>
  </si>
  <si>
    <t>Rate Rider for Global Adjustment Sub-Account Disposition (2014) - effective until April 30, 2015 
      Applicable only for Non-RPP Customers</t>
  </si>
  <si>
    <t>Rate Rider for Global Adjustment Sub-Account Disposition (2014) - effective until December 30, 2015 
      Applicable only for Non-RPP Customers</t>
  </si>
  <si>
    <t>Rate Rider for Global Adjustment Sub-Account Disposition (2014) - effective until December 31, 2014 
      Applicable only for Non-RPP Customers</t>
  </si>
  <si>
    <t>Rate Rider for Global Adjustment Sub-Account Disposition (2014) - effective until December 31, 2015 
      Applicable only for Non-RPP Customers</t>
  </si>
  <si>
    <t>Rate Rider for Global Adjustment Sub-Account Disposition Applicable only for Non-RPP Customers 
      - effective until April 30, 2015</t>
  </si>
  <si>
    <t>Rate Rider for Incremental Capital - Distribution Volumetric - effective until April 30, 2016</t>
  </si>
  <si>
    <t>Rate Rider for Incremental Capital - Service Charge - effective until April 30, 2016</t>
  </si>
  <si>
    <t>Rate Rider for Incremental Capital (2012) - effective until April 30, 2015</t>
  </si>
  <si>
    <t>Rate Rider for Lost Revenue Adjustment Mechanism Variance Account (LRAMVA) Recovery (2012 CDM Activities) 
      - effective until April 30, 2015</t>
  </si>
  <si>
    <t>Rate Rider for Recover of Residual Historical Smart meter Costs - effective until June 30, 2014</t>
  </si>
  <si>
    <t>Rate Rider for Recovery of CGAAP/CWIP Differential - in effect until December 31, 2016</t>
  </si>
  <si>
    <t>Rate Rider for Recovery of Foregone Revenue - effective until April 30, 2015</t>
  </si>
  <si>
    <t>Rate Rider for Recovery of Forgone Revenue - effective until April 30, 2015</t>
  </si>
  <si>
    <t>Rate Rider for Recovery of Forgone Revenue - effective until December 31, 2014</t>
  </si>
  <si>
    <t>Rate Rider for Recovery of Green Energy Act related costs - effective until December 31, 2014</t>
  </si>
  <si>
    <t>Rate Rider for Recovery of Incremental Capital (2013) - in effect until the effective date of 
      the next cost of service-based rate order</t>
  </si>
  <si>
    <t>Rate Rider for Recovery of Incremental Capital (2013) (per connection) - in effect until the effective date of 
      the next cost of service-based rate order</t>
  </si>
  <si>
    <t>Rate Rider for Recovery of Incremental Capital (2013) (per connection)- in effect until the effective date of 
      the next cost of service-based rate order</t>
  </si>
  <si>
    <t>Rate Rider for Recovery of Incremental Capital Costs</t>
  </si>
  <si>
    <t>Rate Rider for Recovery of Incremental Capital Costs - effective until April 30, 2015</t>
  </si>
  <si>
    <t>Rate Rider for Recovery of Incremental Capital Module Costs (2014) - in effect until the effective date
      of the next cost of service-based rate order</t>
  </si>
  <si>
    <t>Rate Rider for Recovery of Lost Revenue Adjustment Mechanism ( LRAM)/Shared Savings Mechanism (SSM) (2012) 
      - effective until August 31, 2014</t>
  </si>
  <si>
    <t>Rate Rider for Recovery of Lost Revenue Adjustment Mechanism (2013) 
      - effective until December 31, 2014</t>
  </si>
  <si>
    <t>Rate Rider for Recovery of Lost Revenue Adjustment Mechanism (LRAM) - effective until April 30, 2016</t>
  </si>
  <si>
    <t>Rate Rider for Recovery of Lost Revenue Adjustment Mechanism (LRAM) (pre-2011 CDM Activities) 
      - effective until April 30, 2015</t>
  </si>
  <si>
    <t>Rate Rider for Recovery of Lost Revenue Adjustment Mechanism (LRAM) (pre-2011 CDM Activities) (2013) 
      - effective until April 30, 2015</t>
  </si>
  <si>
    <t>Rate Rider for Recovery of Lost Revenue Adjustment Mechanism (LRAM)/Shared Savings</t>
  </si>
  <si>
    <t>Rate Rider for Recovery of Lost Revenue Adjustment Mechanism (LRAM)/Shared Savings Mechanism 
      (SSM) - effective until December 31, 2018 and applicable in the service area excluding the former 
      service areas of Clinton Power and West Perth Power</t>
  </si>
  <si>
    <t>Rate Rider for Recovery of Lost Revenue Adjustment Mechanism (LRAM)/Shared Savings Mechanism (SSM) - effective until 
      December 31, 2014 and applicable in the service area excluding the former service areas of Clinton Power and West Perth Power</t>
  </si>
  <si>
    <t>Rate Rider for Recovery of Lost Revenue Adjustment Mechanism (LRAM)/Shared Savings Mechanism (SSM) - effective until 
      December 31, 2014 and applicable only in the former service area of Clinton Power</t>
  </si>
  <si>
    <t>Rate Rider for Recovery of Lost Revenue Adjustment Mechanism (LRAM)/Shared Savings Mechanism (SSM) - effective until 
      December 31, 2014 and applicable only in the former service area of West Perth Power</t>
  </si>
  <si>
    <t>Rate Rider for Recovery of Lost Revenue Adjustment Mechanism (LRAM)/Shared Savings Mechanism (SSM) - effective until December 31, 2014 and applicable in the service area excluding the former service area of Clinton Power</t>
  </si>
  <si>
    <t>Rate Rider for Recovery of Lost Revenue Adjustment Mechanism (LRAM)/Shared Savings Mechanism (SSM) 
      - effective until March 31, 2016</t>
  </si>
  <si>
    <t>Rate Rider for Recovery of Lost Revenue Adjustment Mechanism (LRAM)/Shared Savings Mechanism (SSM) (2012) 
      - effective until August 31, 2014</t>
  </si>
  <si>
    <t>Rate Rider for Recovery of Lost Revenue Adjustment Mechanism (LRAM)/Shared Savings Mechanism (SSM) Recovery 
      - effective until April 30, 2015</t>
  </si>
  <si>
    <t>Rate Rider for Recovery of Lost Revenue Adjustment Mechanism Variance Account (LRAMVA) (2014) 
      - effective until April 30, 2015</t>
  </si>
  <si>
    <t>Rate Rider for Recovery of Residual Historical Smart Meter Costs - effective July 1, 2012 - April 30, 2016</t>
  </si>
  <si>
    <t>Rate Rider for Recovery of Smart Meter Incremental Revenue Requirement - effective until the date of 
      the next cost of service-based rate order</t>
  </si>
  <si>
    <t>Rate Rider for Recovery of Smart Meter Incremental Revenue Requirement - effective until the effective 
      date of the next cost of service-based rate order, or October 31, 2017, whichever occurs earlier</t>
  </si>
  <si>
    <t>Rate Rider for Recovery of Smart Meter Incremental Revenue Requirement - in effect until the effective date of 
      the next cost of service-based rate order</t>
  </si>
  <si>
    <t>Rate Rider for Recovery of Smart Meter Incremental Revenue Requirement - Non-Interval Metered - in effect until 
      the effective date of the next cost of service-based rate order</t>
  </si>
  <si>
    <t>Rate Rider for Recovery of Smart Meter Incremental Revenue Requirements - in effect until the effective date 
      of the next cost of service application</t>
  </si>
  <si>
    <t>Rate Rider for Recovery of Smart Meter Stranded Assets - effective until April 30, 2016</t>
  </si>
  <si>
    <t>Rate Rider for Recovery of Storm Damage Costs - effective until August 31, 2017</t>
  </si>
  <si>
    <t>Rate Rider for Recovery of Stranded Assets - effective until April 30, 2016</t>
  </si>
  <si>
    <t>Rate Rider for Recovery of Stranded Meter Assets - effective July 1, 2012 - April 30, 2016</t>
  </si>
  <si>
    <t>Rate Rider for Recovery of Stranded Meter Assets – effective until April 30, 2015</t>
  </si>
  <si>
    <t>Rate Rider for Recovery of Stranded Meter Assets - effective until April 30, 2016</t>
  </si>
  <si>
    <t>Rate Rider for Recovery of Stranded Meter Assets - effective until April 30, 2017</t>
  </si>
  <si>
    <t>Rate Rider for Recovery of Stranded Meter Assets - effective until August 31, 2015</t>
  </si>
  <si>
    <t>Rate Rider for Recovery of Stranded Meter Assets - effective until August 31, 2017</t>
  </si>
  <si>
    <t>Rate Rider for Recovery of Stranded Meter Assets - effective until December 31, 2014</t>
  </si>
  <si>
    <t>Rate Rider for Recovery of Stranded Meter Assets - effective until December 31, 2015</t>
  </si>
  <si>
    <t>Rate Rider for Recovery of Stranded Meter Assets - effective until June 30, 2016</t>
  </si>
  <si>
    <t>Rate Rider for Recovery of Stranded Meter Assets - effective until March 31, 2016</t>
  </si>
  <si>
    <t>Rate Rider for Recovery of Stranded Meter Assets - effective until May 31, 2014</t>
  </si>
  <si>
    <t>Rate Rider for Reversal of Deferral/Variance Account Disposition (2011) - effective until April 30, 2015</t>
  </si>
  <si>
    <t>Rate Rider for Smart Meter Disposition - effective until April 30, 2016</t>
  </si>
  <si>
    <t>Rate Rider for Smart Meter Incremental Revenue Requirement - in effect until the effective date of 
      the next cost of service-based rate order</t>
  </si>
  <si>
    <t>Rate Rider for Smart Metering Entity Charge - effective until October 31, 2018</t>
  </si>
  <si>
    <t>Rate Rider for Stranded Meter Cost Recovery - effective until April 30, 2017</t>
  </si>
  <si>
    <t>Rate Rider for Tax Change</t>
  </si>
  <si>
    <t>Rate Rider for Tax Change - effective until April 30, 2015</t>
  </si>
  <si>
    <t>Rate Rider for Tax Change (2014) - effective until April 30, 2015</t>
  </si>
  <si>
    <t>Retail Transmission Rate - Line and Transformation Connection Service Rate</t>
  </si>
  <si>
    <t>Retail Transmission Rate - Line and Transformation Connection Service Rate - (less than 1,000 kW)</t>
  </si>
  <si>
    <t>Retail Transmission Rate - Line and Transformation Connection Service Rate - Interval Metered</t>
  </si>
  <si>
    <t>Retail Transmission Rate - Line and Transformation Connection Service Rate 
      - Interval Metered (1,000 to 4,999 kW)</t>
  </si>
  <si>
    <t>Retail Transmission Rate - Line and Transformation Connection Service Rate 
      - Interval Metered (less than 1,000 kW)</t>
  </si>
  <si>
    <t>Retail Transmission Rate - Line and Transformation Connection Service Rate 
      - Interval Metered &lt; 1,000 kW</t>
  </si>
  <si>
    <t>Retail Transmission Rate - Line and Transformation Connection Service Rate 
      FOR ALL SERVICE AREAS EXCEPT HENSALL</t>
  </si>
  <si>
    <t>Retail Transmission Rate - Line and Transformation Connection Service Rate
      - Interval Metered &gt; 1,000 kW</t>
  </si>
  <si>
    <t>Retail Transmission Rate - Line Connection Service Rate</t>
  </si>
  <si>
    <t>Retail Transmission Rate - Network Service Rate</t>
  </si>
  <si>
    <t>Retail Transmission Rate - Network Service Rate - (less than 1,000 kW)</t>
  </si>
  <si>
    <t>Retail Transmission Rate - Network Service Rate - Interval Metered</t>
  </si>
  <si>
    <t>Retail Transmission Rate - Network Service Rate - Interval Metered (1,000 to 4,999 kW)</t>
  </si>
  <si>
    <t>Retail Transmission Rate - Network Service Rate - Interval Metered (less than 1,000 kW)</t>
  </si>
  <si>
    <t>Retail Transmission Rate - Network Service Rate - Interval Metered &gt; 1,000 kW</t>
  </si>
  <si>
    <t>Retail Transmission Rate - Transformation Connection Service Rate</t>
  </si>
  <si>
    <t>Rider for Global Adjustment Sub-Account Disposition (2012) - effective until April 30, 2016 
      Applicable only for Non-RPP Customers</t>
  </si>
  <si>
    <t>Sentinel lights (dusk-to-dawn) connected to unmetered wires will have a flat rate monthly energy charge 
added to the regular customer bill. Further servicing details are available in the distributor’s Conditions 
of Service.</t>
  </si>
  <si>
    <t>Service Charge</t>
  </si>
  <si>
    <t>Service Charge (per connection)</t>
  </si>
  <si>
    <t>Service Charge (per customer)</t>
  </si>
  <si>
    <t>Service Charge (per light)</t>
  </si>
  <si>
    <t>Smart Grid Funding Adder (2014) - in effect until December 31, 2014</t>
  </si>
  <si>
    <t>Smart Meter Disposition Rider</t>
  </si>
  <si>
    <t>Smart Meter Entity Charge</t>
  </si>
  <si>
    <t>Smart Meter Incremental Revenue Requirement Rate Rider</t>
  </si>
  <si>
    <t>Standard Supply Service - Administrative Charge (if applicable)</t>
  </si>
  <si>
    <t>Standby Charge - for a month where standby power is not provided, the charge is based on the applicable 
General Service 50 to 4,999 kW or Large Use Distribution Volumetric Charge applied to the contracted 
amount (e.g. Nameplate rating of generating facility).</t>
  </si>
  <si>
    <t>Standby Charge - for a month where standby power is not provided. The charge is applied to the amount of 
reserved load transfer capacity contracted or the amount of monthly peak load displaced by a generating 
facility</t>
  </si>
  <si>
    <t>Standby Charge - for a month where standby power is not provided. The charge is applied to the contracted 
amount (e.g. nameplate rating of the generation facility).</t>
  </si>
  <si>
    <t>Wholesale Market Service Rate</t>
  </si>
  <si>
    <t>Strech Factor Assigned to Middle Cohort*</t>
  </si>
  <si>
    <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
While this model has been provided in Excel format and is required to be filed with the applications, the onus remains on the applicant to ensure the accuracy of the data and the results.
*As per ACM/ICM policy, the middle cohort stretch factor is applied to all ACM/ICM applications.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</si>
  <si>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</si>
  <si>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</si>
  <si>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</si>
  <si>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</si>
  <si>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Rate Class</t>
  </si>
  <si>
    <t>Billed Customers or Connections</t>
  </si>
  <si>
    <t>Billed kWh</t>
  </si>
  <si>
    <t>Billed kW
(if applicable)</t>
  </si>
  <si>
    <t>Monthly Service Charge</t>
  </si>
  <si>
    <t>Distribution Volumetric Rate kWh</t>
  </si>
  <si>
    <t>Distribution Volumetric Rate kW</t>
  </si>
  <si>
    <t>Re-based Billed kWh</t>
  </si>
  <si>
    <t>Service Charge Revenue</t>
  </si>
  <si>
    <t>Distribution Volumetric Rate Revenue 
kWh</t>
  </si>
  <si>
    <t>Distribution Volumetric Rate Revenue 
kW</t>
  </si>
  <si>
    <t>Revenues from Rates</t>
  </si>
  <si>
    <t>Service Charge % Revenue</t>
  </si>
  <si>
    <t>Distribution Volumetric Rate % Revenue 
kWh</t>
  </si>
  <si>
    <t>Distribution Volumetric Rate % Revenue 
kW</t>
  </si>
  <si>
    <t>Total % Revenue</t>
  </si>
  <si>
    <t>D</t>
  </si>
  <si>
    <t>E</t>
  </si>
  <si>
    <t>F</t>
  </si>
  <si>
    <t>K = G / J</t>
  </si>
  <si>
    <t>L = H / J</t>
  </si>
  <si>
    <t>M = I / J</t>
  </si>
  <si>
    <t>Applicants Rate Base</t>
  </si>
  <si>
    <t>Average Net Fixed Assets</t>
  </si>
  <si>
    <t>Gross Fixed Assets - Re-based Opening</t>
  </si>
  <si>
    <t>A</t>
  </si>
  <si>
    <t>Add: CWIP Re-based Opening</t>
  </si>
  <si>
    <t>B</t>
  </si>
  <si>
    <t>Re-based Capital Additions</t>
  </si>
  <si>
    <t>C</t>
  </si>
  <si>
    <t>Re-based Capital Disposals</t>
  </si>
  <si>
    <t>Re-based Capital Retirements</t>
  </si>
  <si>
    <t>Deduct: CWIP Re-based Closing</t>
  </si>
  <si>
    <t>Gross Fixed Assets - Re-based Closing</t>
  </si>
  <si>
    <t>G</t>
  </si>
  <si>
    <t>Average Gross Fixed Assets</t>
  </si>
  <si>
    <t>H = ( A + G ) / 2</t>
  </si>
  <si>
    <t>Accumulated Depreciation - Re-based Opening</t>
  </si>
  <si>
    <t>I</t>
  </si>
  <si>
    <t>Re-based Depreciation Expense</t>
  </si>
  <si>
    <t>J</t>
  </si>
  <si>
    <t>Re-based Disposals</t>
  </si>
  <si>
    <t>K</t>
  </si>
  <si>
    <t>Re-based Retirements</t>
  </si>
  <si>
    <t>L</t>
  </si>
  <si>
    <t>Accumulated Depreciation - Re-based Closing</t>
  </si>
  <si>
    <t>M</t>
  </si>
  <si>
    <t>Average Accumulated Depreciation</t>
  </si>
  <si>
    <t>N =  ( I + M ) / 2</t>
  </si>
  <si>
    <t xml:space="preserve">Average Net Fixed Assets </t>
  </si>
  <si>
    <t>O = H - N</t>
  </si>
  <si>
    <t>Working Capital Allowance</t>
  </si>
  <si>
    <t>Working Capital Allowance Base</t>
  </si>
  <si>
    <t>P</t>
  </si>
  <si>
    <t>Working Capital Allowance Rate</t>
  </si>
  <si>
    <t>Q</t>
  </si>
  <si>
    <t>R = P * Q</t>
  </si>
  <si>
    <t>Rate Base</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</si>
  <si>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</si>
  <si>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</si>
  <si>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</si>
  <si>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</si>
  <si>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</si>
  <si>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</si>
  <si>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</si>
  <si>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</si>
  <si>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</si>
  <si>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</si>
  <si>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</si>
  <si>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</si>
  <si>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</si>
  <si>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</si>
  <si>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</si>
  <si>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</si>
  <si>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</si>
  <si>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</si>
  <si>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</si>
  <si>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</si>
  <si>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</si>
  <si>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</si>
  <si>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</si>
  <si>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</si>
  <si>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</si>
  <si>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</si>
  <si>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</si>
  <si>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</si>
  <si>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Taxes/PILs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</si>
  <si>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</si>
  <si>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</si>
  <si>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</si>
  <si>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</si>
  <si>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</si>
  <si>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</si>
  <si>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</si>
  <si>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</si>
  <si>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</si>
  <si>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</si>
  <si>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</si>
  <si>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</si>
  <si>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</si>
  <si>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</si>
  <si>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</si>
  <si>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</si>
  <si>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</si>
  <si>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</si>
  <si>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</si>
  <si>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</si>
  <si>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</si>
  <si>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</si>
  <si>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AW</t>
  </si>
  <si>
    <t>Pro forma Revenue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</si>
  <si>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</si>
  <si>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</si>
  <si>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</si>
  <si>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</si>
  <si>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</si>
  <si>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</si>
  <si>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</si>
  <si>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</si>
  <si>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</si>
  <si>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</si>
  <si>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</si>
  <si>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</si>
  <si>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</si>
  <si>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</si>
  <si>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</si>
  <si>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</si>
  <si>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</si>
  <si>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</si>
  <si>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t>No Input Required.</t>
  </si>
  <si>
    <t>Cost of Service Rebasing Year</t>
  </si>
  <si>
    <t>Price Cap IR Year in which Application is made</t>
  </si>
  <si>
    <t>Growth Factor Calculation</t>
  </si>
  <si>
    <t>Growth Factor</t>
  </si>
  <si>
    <t>Dead Band</t>
  </si>
  <si>
    <t>Gross Fixed Assets Opening</t>
  </si>
  <si>
    <t>Add: CWIP Opening</t>
  </si>
  <si>
    <t>Capital Additions</t>
  </si>
  <si>
    <t>Capital Disposals</t>
  </si>
  <si>
    <t>Capital Retirements</t>
  </si>
  <si>
    <t>Deduct: CWIP Closing</t>
  </si>
  <si>
    <t>Gross Fixed Assets - Closing</t>
  </si>
  <si>
    <t>Accumulated Depreciation - Opening</t>
  </si>
  <si>
    <t>Depreciation Expense</t>
  </si>
  <si>
    <t>Disposals</t>
  </si>
  <si>
    <t>Retirements</t>
  </si>
  <si>
    <t>Accumulated Depreciation - Closing</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</si>
  <si>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</si>
  <si>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</si>
  <si>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</si>
  <si>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</si>
  <si>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</si>
  <si>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H</t>
  </si>
  <si>
    <t>N</t>
  </si>
  <si>
    <t>O</t>
  </si>
  <si>
    <t>Identify ALL Proposed ACM projects and related CAPEX costs in the relevant years</t>
  </si>
  <si>
    <t>Cost of Service</t>
  </si>
  <si>
    <t>Price Cap IR</t>
  </si>
  <si>
    <t>Test Year</t>
  </si>
  <si>
    <t>Year 1</t>
  </si>
  <si>
    <t>Year 2</t>
  </si>
  <si>
    <t>Year 3</t>
  </si>
  <si>
    <t>Year 4</t>
  </si>
  <si>
    <t>Year 5</t>
  </si>
  <si>
    <t>Year 6</t>
  </si>
  <si>
    <t>Year 7</t>
  </si>
  <si>
    <t>Year 8</t>
  </si>
  <si>
    <t>Year 9</t>
  </si>
  <si>
    <t>Year 10</t>
  </si>
  <si>
    <t>Distribution System Plan CAPEX</t>
  </si>
  <si>
    <t>Materiality Threshold</t>
  </si>
  <si>
    <t>Maximum Eligible Incremental Capital (Forecasted Capex less Threshold)</t>
  </si>
  <si>
    <t>Project Descriptions:</t>
  </si>
  <si>
    <t>Type</t>
  </si>
  <si>
    <t>Total</t>
  </si>
  <si>
    <t>Total Cost of ACM/ICM Projects</t>
  </si>
  <si>
    <t>Maximum Allowed Incremental Capital</t>
  </si>
  <si>
    <t>Proposed ACM/ICM</t>
  </si>
  <si>
    <t>Amortization Expense</t>
  </si>
  <si>
    <t>CCA</t>
  </si>
  <si>
    <t>Incremental Capital Adjustment</t>
  </si>
  <si>
    <t>Rate Year:</t>
  </si>
  <si>
    <t>Current Revenue Requirement</t>
  </si>
  <si>
    <t>Current Revenue Requirement - Total</t>
  </si>
  <si>
    <t>Eligible Incremental Capital for ACM/ICM Recovery</t>
  </si>
  <si>
    <t>Total Claim</t>
  </si>
  <si>
    <t>Eligible for ACM/ICM</t>
  </si>
  <si>
    <t>(from Sheet 10b)</t>
  </si>
  <si>
    <t>Amount of Capital Projects Claimed</t>
  </si>
  <si>
    <t>ACM/ICM Incremental Revenue Requirement Based on Eligible Amount in Rate Year</t>
  </si>
  <si>
    <t>Incremental Capital</t>
  </si>
  <si>
    <t>Depreciation Expense (prorated to Eligible Incremental Capital)</t>
  </si>
  <si>
    <t>Incremental Capital to be included in Rate Base (average NBV in year)</t>
  </si>
  <si>
    <t>D = B - C/2</t>
  </si>
  <si>
    <t>% of capital structure</t>
  </si>
  <si>
    <t>Deemed Short-Term Debt</t>
  </si>
  <si>
    <t>G = D * E</t>
  </si>
  <si>
    <t>Deemed Long-Term Debt</t>
  </si>
  <si>
    <t>H = D * F</t>
  </si>
  <si>
    <t>Rate (%)</t>
  </si>
  <si>
    <t>Short-Term Interest</t>
  </si>
  <si>
    <t>K = G * I</t>
  </si>
  <si>
    <t>Long-Term Interest</t>
  </si>
  <si>
    <t>L = H * J</t>
  </si>
  <si>
    <t>Return on Rate Base - Interest</t>
  </si>
  <si>
    <t>M = K + L</t>
  </si>
  <si>
    <t>P = D * N</t>
  </si>
  <si>
    <t>Return on Rate Base -Equity</t>
  </si>
  <si>
    <t>Q = P * O</t>
  </si>
  <si>
    <t>Return on Rate Base - Total</t>
  </si>
  <si>
    <t>R = M + Q</t>
  </si>
  <si>
    <t>Amortization Expense - Incremental</t>
  </si>
  <si>
    <t>S</t>
  </si>
  <si>
    <t>Grossed up Taxes/PILs</t>
  </si>
  <si>
    <t>Regulatory Taxable Income</t>
  </si>
  <si>
    <t xml:space="preserve">T </t>
  </si>
  <si>
    <t>Add Back Amortization Expense (Prorated to Eligible Incremental Capital)</t>
  </si>
  <si>
    <t>Deduct CCA (Prorated to Eligible Incremental Capital)</t>
  </si>
  <si>
    <t>Incremental Taxable Income</t>
  </si>
  <si>
    <t>W = T + U - V</t>
  </si>
  <si>
    <t>Current Tax Rate</t>
  </si>
  <si>
    <t>X</t>
  </si>
  <si>
    <t>Taxes/PILs Before Gross Up</t>
  </si>
  <si>
    <t>Y = W * X</t>
  </si>
  <si>
    <t>Grossed-Up Taxes/PILs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</si>
  <si>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</si>
  <si>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</si>
  <si>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</si>
  <si>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</si>
  <si>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</si>
  <si>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</si>
  <si>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</si>
  <si>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</si>
  <si>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</si>
  <si>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</si>
  <si>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</si>
  <si>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</si>
  <si>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</si>
  <si>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</si>
  <si>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</si>
  <si>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</si>
  <si>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</si>
  <si>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</si>
  <si>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</si>
  <si>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</si>
  <si>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</si>
  <si>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</si>
  <si>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r>
      <t>Col I</t>
    </r>
    <r>
      <rPr>
        <b/>
        <i/>
        <vertAlign val="subscript"/>
        <sz val="10"/>
        <color theme="4"/>
        <rFont val="Calibri"/>
        <family val="2"/>
        <scheme val="minor"/>
      </rPr>
      <t>total</t>
    </r>
  </si>
  <si>
    <t>From Sheet 4</t>
  </si>
  <si>
    <t>From Sheet 7</t>
  </si>
  <si>
    <t>Fixed and Variable Rate Riders</t>
  </si>
  <si>
    <t>Total Cost of ACM Projects</t>
  </si>
  <si>
    <t>(if necessary)</t>
  </si>
  <si>
    <t>Proposed Capital Projects Eligible for ACM treatment</t>
  </si>
  <si>
    <t>Maximum Eligible Incremental Capital (Forecasted CAPEX less Threshold)</t>
  </si>
  <si>
    <t>Price Cap IR (Deferred Rebasing) (if necessary)</t>
  </si>
  <si>
    <t>Once all rate class classifications have been entered, please press the update button.</t>
  </si>
  <si>
    <t>Price-Cap IR</t>
  </si>
  <si>
    <t>Alectra Utilities Corporation-Brampton Rate Zone</t>
  </si>
  <si>
    <t>Alectra Utilities Corporation-Enersource Rate Zone</t>
  </si>
  <si>
    <t>Alectra Utilities Corporation-Horizon Utilities Rate Zone</t>
  </si>
  <si>
    <t>Alectra Utilities Corporation-PowerStream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</si>
  <si>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</si>
  <si>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</si>
  <si>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</si>
  <si>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</si>
  <si>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</si>
  <si>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</si>
  <si>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</si>
  <si>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</si>
  <si>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</si>
  <si>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</si>
  <si>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</si>
  <si>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</si>
  <si>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</si>
  <si>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</si>
  <si>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</si>
  <si>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</si>
  <si>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Identify ALL Proposed ACM and ICM projects and related CAPEX costs in the relevant years</t>
  </si>
  <si>
    <r>
      <t>CAPEX</t>
    </r>
    <r>
      <rPr>
        <b/>
        <vertAlign val="superscript"/>
        <sz val="11"/>
        <color theme="1"/>
        <rFont val="Calibri"/>
        <family val="2"/>
        <scheme val="minor"/>
      </rPr>
      <t>1</t>
    </r>
  </si>
  <si>
    <t>1.  For the Cost of Service Test Year, CAPEX refers to the CAPEX approved in the DSP. For subsequent Price CAP IR years, the CAPEX to be entered is the actual CAPEX. For the current Price Cap IR year, the CAPEX to be entered is the proposed CAPEX including any ICM/updated ACM project CAPEX for the year.</t>
  </si>
  <si>
    <t>Rate Classes Revenue - Total  (Sheet 4)</t>
  </si>
  <si>
    <t>Alectra Utilities Corporation-Guelph Rate Zone</t>
  </si>
  <si>
    <t>Elexicon Energy Inc.-Whitby Rate Zone</t>
  </si>
  <si>
    <t>Elexicon Energy Inc.-Veridian Rate Zone</t>
  </si>
  <si>
    <t>Hydro One Remote Communites Inc.</t>
  </si>
  <si>
    <t>Energy+ Inc.</t>
  </si>
  <si>
    <t>North Bay Hydro Distribution Limited - Espanola service territory</t>
  </si>
  <si>
    <t>North Bay Hydro Distribution Limited - North Bay service territory</t>
  </si>
  <si>
    <t>ICM Rate Rider Approval</t>
  </si>
  <si>
    <t>From Sheet 11, E93</t>
  </si>
  <si>
    <t>Service Charge Rate Rider</t>
  </si>
  <si>
    <t>Distribution Volumetric Rate kWh Rate Rider</t>
  </si>
  <si>
    <t>Distribution Volumetric Rate kW Rate Rider</t>
  </si>
  <si>
    <t>Col F / Col K / 12</t>
  </si>
  <si>
    <t>Col G / Col L</t>
  </si>
  <si>
    <t>Col H / Col M</t>
  </si>
  <si>
    <t>Note:  As per the OEB's letter issued July 16, 2015 (EB-2012-0410), Residential Rates will be applied on a fixed basis only.</t>
  </si>
  <si>
    <t>Year 11</t>
  </si>
  <si>
    <t>Year 12</t>
  </si>
  <si>
    <t>Year 13</t>
  </si>
  <si>
    <t>Year 14</t>
  </si>
  <si>
    <t>Year 15</t>
  </si>
  <si>
    <t>Year 16</t>
  </si>
  <si>
    <t>Year 17</t>
  </si>
  <si>
    <t>Year 18</t>
  </si>
  <si>
    <t>Year 19</t>
  </si>
  <si>
    <t>New ICM</t>
  </si>
  <si>
    <t>SB - Wood Poles</t>
  </si>
  <si>
    <t>SB - OH Conductor</t>
  </si>
  <si>
    <t>SB - OH Load Inter Switch</t>
  </si>
  <si>
    <t>SB- Dist. In-line Disc</t>
  </si>
  <si>
    <t>SB - UG Conduit</t>
  </si>
  <si>
    <t>SB - UG Conductor</t>
  </si>
  <si>
    <t>Cynthia Chan, CFO</t>
  </si>
  <si>
    <t>EB-2022-0024</t>
  </si>
  <si>
    <t>905-427-9870 x3231</t>
  </si>
  <si>
    <t>cchan@elexiconenergy.com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</si>
</sst>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F800]dddd\,\ mmmm\ dd\,\ yyyy"/>
    <numFmt numFmtId="165" formatCode="#,##0.0000"/>
    <numFmt numFmtId="166" formatCode="#,##0.00_ ;\-#,##0.00\ "/>
    <numFmt numFmtId="167" formatCode="0.00%;\(0.00\)%"/>
    <numFmt numFmtId="168" formatCode="#,##0.00000"/>
    <numFmt numFmtId="169" formatCode="#,##0.00_ ;\(#,##0.00\)"/>
    <numFmt numFmtId="170" formatCode="0%;\(0%\)"/>
    <numFmt numFmtId="171" formatCode="0.0000"/>
    <numFmt numFmtId="172" formatCode="#,###"/>
    <numFmt numFmtId="173" formatCode="0.0%"/>
    <numFmt numFmtId="174" formatCode="_-&quot;$&quot;* #,##0_-;\-&quot;$&quot;* #,##0_-;_-&quot;$&quot;* &quot;-&quot;??_-;_-@_-"/>
    <numFmt numFmtId="175" formatCode="#,##0\ \ \ "/>
    <numFmt numFmtId="176" formatCode="&quot;$&quot;#,##0"/>
    <numFmt numFmtId="177" formatCode="_(&quot;$&quot;* #,##0_);_(&quot;$&quot;* \(#,##0\);_(&quot;$&quot;* &quot;-&quot;??_);_(@_)"/>
    <numFmt numFmtId="178" formatCode="0.0"/>
  </numFmts>
  <fonts count="67" x14ac:knownFonts="1">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u/>
      <sz val="11"/>
      <color theme="10"/>
      <name val="Calibri"/>
      <family val="2"/>
      <scheme val="minor"/>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8"/>
      <color theme="1"/>
      <name val="Arial"/>
      <family val="2"/>
    </font>
    <font>
      <sz val="11"/>
      <color theme="1"/>
      <name val="Calibri"/>
      <family val="2"/>
      <scheme val="minor"/>
    </font>
    <font>
      <b/>
      <u/>
      <sz val="11"/>
      <color theme="1"/>
      <name val="Calibri"/>
      <family val="2"/>
      <scheme val="minor"/>
    </font>
    <font>
      <sz val="11"/>
      <name val="Calibri"/>
      <family val="2"/>
      <scheme val="minor"/>
    </font>
    <font>
      <b/>
      <sz val="10"/>
      <name val="Arial"/>
      <family val="2"/>
    </font>
    <font>
      <sz val="11"/>
      <color indexed="8"/>
      <name val="Calibri"/>
      <family val="2"/>
    </font>
    <font>
      <b/>
      <sz val="10"/>
      <color indexed="9"/>
      <name val="Arial"/>
      <family val="2"/>
    </font>
    <font>
      <sz val="10"/>
      <color indexed="10"/>
      <name val="Arial"/>
      <family val="2"/>
    </font>
    <font>
      <sz val="10"/>
      <color rgb="FFFF0000"/>
      <name val="Arial"/>
      <family val="2"/>
    </font>
    <font>
      <sz val="9.9"/>
      <color rgb="FF000000"/>
      <name val="Arial"/>
      <family val="2"/>
    </font>
    <font>
      <sz val="8"/>
      <color rgb="FF000000"/>
      <name val="Arial"/>
      <family val="2"/>
    </font>
    <font>
      <sz val="10"/>
      <color theme="1"/>
      <name val="Arial"/>
      <family val="2"/>
    </font>
    <font>
      <sz val="11"/>
      <color rgb="FFFF0000"/>
      <name val="Calibri"/>
      <family val="2"/>
      <scheme val="minor"/>
    </font>
    <font>
      <b/>
      <sz val="11"/>
      <color theme="3"/>
      <name val="Arial"/>
      <family val="2"/>
    </font>
    <font>
      <b/>
      <u/>
      <sz val="11"/>
      <color theme="1"/>
      <name val="Arial"/>
      <family val="2"/>
    </font>
    <font>
      <b/>
      <sz val="12"/>
      <name val="Calibri"/>
      <family val="2"/>
      <scheme val="minor"/>
    </font>
    <font>
      <b/>
      <sz val="12"/>
      <color theme="1"/>
      <name val="Arial"/>
      <family val="2"/>
    </font>
    <font>
      <b/>
      <sz val="13"/>
      <color rgb="FFFF0000"/>
      <name val="Calibri"/>
      <family val="2"/>
      <scheme val="minor"/>
    </font>
    <font>
      <b/>
      <sz val="16"/>
      <color rgb="FFFF0000"/>
      <name val="Calibri"/>
      <family val="2"/>
      <scheme val="minor"/>
    </font>
    <font>
      <b/>
      <sz val="10"/>
      <name val="Calibri"/>
      <family val="2"/>
      <scheme val="minor"/>
    </font>
    <font>
      <sz val="12"/>
      <name val="Arial"/>
      <family val="2"/>
    </font>
    <font>
      <b/>
      <sz val="14"/>
      <name val="Arial"/>
      <family val="2"/>
    </font>
    <font>
      <b/>
      <sz val="12"/>
      <name val="Arial"/>
      <family val="2"/>
    </font>
    <font>
      <b/>
      <sz val="16"/>
      <name val="Arial"/>
      <family val="2"/>
    </font>
    <font>
      <i/>
      <sz val="8"/>
      <name val="Arial"/>
      <family val="2"/>
    </font>
    <font>
      <b/>
      <sz val="16"/>
      <color rgb="FFFF0000"/>
      <name val="Arial"/>
      <family val="2"/>
    </font>
    <font>
      <sz val="12"/>
      <color indexed="9"/>
      <name val="Arial"/>
      <family val="2"/>
    </font>
    <font>
      <sz val="12"/>
      <color theme="1"/>
      <name val="Arial"/>
      <family val="2"/>
    </font>
    <font>
      <b/>
      <vertAlign val="subscript"/>
      <sz val="12"/>
      <name val="Calibri"/>
      <family val="2"/>
      <scheme val="minor"/>
    </font>
    <font>
      <b/>
      <sz val="18"/>
      <color rgb="FFFF0000"/>
      <name val="Arial"/>
      <family val="2"/>
    </font>
    <font>
      <b/>
      <sz val="20"/>
      <name val="Arial"/>
      <family val="2"/>
    </font>
    <font>
      <b/>
      <i/>
      <sz val="12"/>
      <name val="Arial"/>
      <family val="2"/>
    </font>
    <font>
      <i/>
      <sz val="12"/>
      <name val="Times New Roman"/>
      <family val="1"/>
    </font>
    <font>
      <sz val="11"/>
      <color rgb="FF000000"/>
      <name val="Calibri"/>
      <family val="2"/>
    </font>
    <font>
      <b/>
      <i/>
      <sz val="11"/>
      <color theme="1"/>
      <name val="Calibri"/>
      <family val="2"/>
      <scheme val="minor"/>
    </font>
    <font>
      <b/>
      <i/>
      <sz val="11"/>
      <color rgb="FFFF0000"/>
      <name val="Calibri"/>
      <family val="2"/>
      <scheme val="minor"/>
    </font>
    <font>
      <b/>
      <sz val="14"/>
      <color theme="1"/>
      <name val="Arial"/>
      <family val="2"/>
    </font>
    <font>
      <b/>
      <sz val="13"/>
      <name val="Arial"/>
      <family val="2"/>
    </font>
    <font>
      <sz val="13"/>
      <color theme="1"/>
      <name val="Calibri"/>
      <family val="2"/>
      <scheme val="minor"/>
    </font>
    <font>
      <i/>
      <sz val="10"/>
      <color theme="1"/>
      <name val="Arial"/>
      <family val="2"/>
    </font>
    <font>
      <b/>
      <i/>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i/>
      <vertAlign val="subscript"/>
      <sz val="10"/>
      <color theme="4"/>
      <name val="Calibri"/>
      <family val="2"/>
      <scheme val="minor"/>
    </font>
    <font>
      <b/>
      <sz val="12"/>
      <color theme="4"/>
      <name val="Calibri"/>
      <family val="2"/>
      <scheme val="minor"/>
    </font>
    <font>
      <b/>
      <vertAlign val="superscript"/>
      <sz val="11"/>
      <color theme="1"/>
      <name val="Calibri"/>
      <family val="2"/>
      <scheme val="minor"/>
    </font>
    <font>
      <i/>
      <sz val="8"/>
      <color theme="1"/>
      <name val="Calibri"/>
      <family val="2"/>
      <scheme val="minor"/>
    </font>
    <font>
      <i/>
      <sz val="11"/>
      <color theme="1"/>
      <name val="Calibri"/>
      <family val="2"/>
      <scheme val="minor"/>
    </font>
    <font>
      <sz val="12"/>
      <color theme="0"/>
      <name val="Arial"/>
      <family val="2"/>
    </font>
    <font>
      <sz val="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Gray"/>
    </fill>
    <fill>
      <patternFill patternType="solid">
        <fgColor rgb="FFDDDDDD"/>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5117038483843"/>
        <bgColor indexed="64"/>
      </patternFill>
    </fill>
    <fill>
      <patternFill patternType="solid">
        <fgColor theme="9" tint="0.39994506668294322"/>
        <bgColor indexed="64"/>
      </patternFill>
    </fill>
  </fills>
  <borders count="56">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15">
    <xf numFmtId="0" fontId="0" fillId="0" borderId="0"/>
    <xf numFmtId="0" fontId="7" fillId="0" borderId="0" applyNumberForma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0" fontId="18" fillId="0" borderId="0"/>
    <xf numFmtId="0" fontId="12"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0" fontId="33" fillId="0" borderId="0"/>
    <xf numFmtId="44" fontId="33" fillId="0" borderId="0" applyFont="0" applyFill="0" applyBorder="0" applyAlignment="0" applyProtection="0"/>
    <xf numFmtId="9" fontId="33" fillId="0" borderId="0" applyFont="0" applyFill="0" applyBorder="0" applyAlignment="0" applyProtection="0"/>
  </cellStyleXfs>
  <cellXfs count="518">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Protection="1"/>
    <xf numFmtId="0" fontId="0" fillId="2" borderId="0" xfId="0" applyFill="1" applyAlignment="1" applyProtection="1">
      <alignment horizontal="left"/>
    </xf>
    <xf numFmtId="0" fontId="2" fillId="0" borderId="0" xfId="0" applyFont="1" applyProtection="1"/>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Protection="1"/>
    <xf numFmtId="0" fontId="5" fillId="0" borderId="0" xfId="0" applyFont="1" applyAlignment="1" applyProtection="1">
      <alignment horizontal="right" vertical="center" indent="1"/>
    </xf>
    <xf numFmtId="164" fontId="0" fillId="0" borderId="0" xfId="0" applyNumberFormat="1" applyProtection="1"/>
    <xf numFmtId="0" fontId="6" fillId="0" borderId="0" xfId="0" applyFont="1" applyAlignment="1" applyProtection="1">
      <alignment horizontal="righ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indent="2"/>
    </xf>
    <xf numFmtId="0" fontId="5" fillId="0" borderId="0" xfId="0" applyFont="1" applyAlignment="1" applyProtection="1">
      <alignment horizontal="right" vertical="center" indent="2"/>
    </xf>
    <xf numFmtId="0" fontId="3" fillId="2" borderId="0" xfId="0" applyFont="1" applyFill="1" applyProtection="1"/>
    <xf numFmtId="0" fontId="10" fillId="2" borderId="0" xfId="0" applyFont="1" applyFill="1" applyAlignment="1" applyProtection="1">
      <alignment vertical="top" wrapText="1"/>
    </xf>
    <xf numFmtId="0" fontId="4" fillId="0" borderId="0" xfId="0" applyFont="1" applyAlignment="1" applyProtection="1">
      <alignment vertical="top" wrapText="1"/>
    </xf>
    <xf numFmtId="0" fontId="11" fillId="0" borderId="0" xfId="0" applyFont="1" applyProtection="1"/>
    <xf numFmtId="0" fontId="0" fillId="3" borderId="7" xfId="0" applyFill="1" applyBorder="1" applyProtection="1"/>
    <xf numFmtId="0" fontId="0" fillId="0" borderId="0" xfId="0" applyAlignment="1" applyProtection="1">
      <alignment wrapText="1"/>
    </xf>
    <xf numFmtId="0" fontId="0" fillId="0" borderId="7" xfId="0" applyBorder="1" applyProtection="1"/>
    <xf numFmtId="0" fontId="15" fillId="0" borderId="0" xfId="0" applyFont="1"/>
    <xf numFmtId="0" fontId="12" fillId="2" borderId="0" xfId="3" applyFill="1" applyProtection="1">
      <protection locked="0"/>
    </xf>
    <xf numFmtId="0" fontId="12" fillId="0" borderId="0" xfId="4"/>
    <xf numFmtId="0" fontId="12" fillId="0" borderId="0" xfId="4" applyFill="1" applyBorder="1"/>
    <xf numFmtId="0" fontId="0" fillId="6" borderId="9" xfId="0" applyFill="1" applyBorder="1"/>
    <xf numFmtId="0" fontId="16" fillId="0" borderId="0" xfId="0" applyFont="1" applyAlignment="1">
      <alignment horizontal="left" vertical="top"/>
    </xf>
    <xf numFmtId="165" fontId="17" fillId="7" borderId="15" xfId="5" applyNumberFormat="1" applyFont="1" applyFill="1" applyBorder="1" applyAlignment="1" applyProtection="1">
      <alignment horizontal="left" vertical="top" wrapText="1"/>
    </xf>
    <xf numFmtId="165" fontId="17" fillId="7" borderId="9" xfId="5" applyNumberFormat="1" applyFont="1" applyFill="1" applyBorder="1" applyAlignment="1" applyProtection="1">
      <alignment horizontal="left" vertical="center"/>
    </xf>
    <xf numFmtId="166" fontId="17" fillId="7" borderId="9" xfId="6" applyNumberFormat="1" applyFont="1" applyFill="1" applyBorder="1" applyAlignment="1" applyProtection="1">
      <alignment horizontal="center" vertical="center"/>
    </xf>
    <xf numFmtId="167" fontId="17" fillId="7" borderId="9" xfId="2" applyNumberFormat="1" applyFont="1" applyFill="1" applyBorder="1" applyAlignment="1" applyProtection="1">
      <alignment horizontal="center" vertical="center"/>
    </xf>
    <xf numFmtId="167" fontId="17" fillId="7" borderId="16" xfId="2" applyNumberFormat="1" applyFont="1" applyFill="1" applyBorder="1" applyAlignment="1" applyProtection="1">
      <alignment horizontal="center" vertical="center"/>
    </xf>
    <xf numFmtId="0" fontId="12" fillId="0" borderId="0" xfId="7" applyFont="1" applyFill="1" applyBorder="1" applyAlignment="1">
      <alignment horizontal="right" vertical="center" wrapText="1"/>
    </xf>
    <xf numFmtId="0" fontId="12" fillId="0" borderId="0" xfId="8"/>
    <xf numFmtId="0" fontId="0" fillId="0" borderId="0" xfId="0" applyFill="1"/>
    <xf numFmtId="0" fontId="19" fillId="0" borderId="0" xfId="7" applyFont="1" applyFill="1" applyBorder="1" applyAlignment="1">
      <alignment horizontal="center" vertical="center" wrapText="1"/>
    </xf>
    <xf numFmtId="0" fontId="12" fillId="0" borderId="0" xfId="7" applyFont="1" applyFill="1" applyBorder="1" applyAlignment="1">
      <alignment horizontal="left" vertical="top"/>
    </xf>
    <xf numFmtId="0" fontId="12" fillId="0" borderId="15" xfId="5" applyFont="1" applyFill="1" applyBorder="1" applyAlignment="1" applyProtection="1">
      <alignment horizontal="left" vertical="top" wrapText="1"/>
    </xf>
    <xf numFmtId="4" fontId="12" fillId="0" borderId="9" xfId="5" applyNumberFormat="1" applyFont="1" applyFill="1" applyBorder="1" applyAlignment="1" applyProtection="1">
      <alignment horizontal="center" vertical="center"/>
    </xf>
    <xf numFmtId="165" fontId="12" fillId="0" borderId="9" xfId="5"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5" fontId="12" fillId="0" borderId="9" xfId="9"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7" fontId="12" fillId="0" borderId="9" xfId="2" applyNumberFormat="1" applyFont="1" applyFill="1" applyBorder="1" applyAlignment="1" applyProtection="1">
      <alignment horizontal="center" vertical="center"/>
    </xf>
    <xf numFmtId="167" fontId="12" fillId="0" borderId="16" xfId="2" applyNumberFormat="1" applyFont="1" applyFill="1" applyBorder="1" applyAlignment="1" applyProtection="1">
      <alignment horizontal="center" vertical="center"/>
    </xf>
    <xf numFmtId="3" fontId="12" fillId="0" borderId="9" xfId="5" applyNumberFormat="1" applyFont="1" applyFill="1" applyBorder="1" applyAlignment="1" applyProtection="1">
      <alignment horizontal="center" vertical="center"/>
    </xf>
    <xf numFmtId="4" fontId="12" fillId="0" borderId="9" xfId="10" applyNumberFormat="1" applyFont="1" applyFill="1" applyBorder="1" applyAlignment="1" applyProtection="1">
      <alignment horizontal="center" vertical="center"/>
    </xf>
    <xf numFmtId="167" fontId="12" fillId="7" borderId="9" xfId="2" applyNumberFormat="1" applyFont="1" applyFill="1" applyBorder="1" applyAlignment="1" applyProtection="1">
      <alignment horizontal="center" vertical="center"/>
    </xf>
    <xf numFmtId="165" fontId="17" fillId="0" borderId="15" xfId="5" applyNumberFormat="1" applyFont="1" applyFill="1" applyBorder="1" applyAlignment="1" applyProtection="1">
      <alignment horizontal="left" vertical="top" wrapText="1"/>
    </xf>
    <xf numFmtId="168" fontId="12" fillId="0" borderId="9" xfId="9" applyNumberFormat="1" applyFont="1" applyFill="1" applyBorder="1" applyAlignment="1" applyProtection="1">
      <alignment horizontal="center" vertical="center"/>
    </xf>
    <xf numFmtId="167" fontId="17" fillId="0" borderId="9" xfId="2" applyNumberFormat="1" applyFont="1" applyFill="1" applyBorder="1" applyAlignment="1" applyProtection="1">
      <alignment horizontal="center" vertical="center"/>
    </xf>
    <xf numFmtId="167" fontId="17" fillId="0" borderId="16" xfId="2" applyNumberFormat="1" applyFont="1" applyFill="1" applyBorder="1" applyAlignment="1" applyProtection="1">
      <alignment horizontal="center" vertical="center"/>
    </xf>
    <xf numFmtId="0" fontId="12" fillId="0" borderId="0" xfId="3"/>
    <xf numFmtId="165" fontId="17" fillId="5" borderId="17" xfId="5" applyNumberFormat="1" applyFont="1" applyFill="1" applyBorder="1" applyAlignment="1" applyProtection="1">
      <alignment horizontal="left" vertical="top" wrapText="1"/>
    </xf>
    <xf numFmtId="0" fontId="12" fillId="5" borderId="14" xfId="5" applyFont="1" applyFill="1" applyBorder="1" applyProtection="1"/>
    <xf numFmtId="166" fontId="17" fillId="5" borderId="14" xfId="6" applyNumberFormat="1" applyFont="1" applyFill="1" applyBorder="1" applyAlignment="1" applyProtection="1">
      <alignment horizontal="center" vertical="center"/>
    </xf>
    <xf numFmtId="169" fontId="17" fillId="5" borderId="14" xfId="6" applyNumberFormat="1" applyFont="1" applyFill="1" applyBorder="1" applyAlignment="1" applyProtection="1">
      <alignment horizontal="center" vertical="center"/>
    </xf>
    <xf numFmtId="167" fontId="12" fillId="5" borderId="14" xfId="2" applyNumberFormat="1" applyFont="1" applyFill="1" applyBorder="1" applyAlignment="1" applyProtection="1">
      <alignment horizontal="center" vertical="center"/>
    </xf>
    <xf numFmtId="167" fontId="17" fillId="5" borderId="14" xfId="2" applyNumberFormat="1" applyFont="1" applyFill="1" applyBorder="1" applyAlignment="1" applyProtection="1">
      <alignment horizontal="center" vertical="center"/>
    </xf>
    <xf numFmtId="167" fontId="17" fillId="5" borderId="18" xfId="2" applyNumberFormat="1" applyFont="1" applyFill="1" applyBorder="1" applyAlignment="1" applyProtection="1">
      <alignment horizontal="center" vertical="center"/>
    </xf>
    <xf numFmtId="165" fontId="17" fillId="0" borderId="9" xfId="5" applyNumberFormat="1" applyFont="1" applyFill="1" applyBorder="1" applyAlignment="1" applyProtection="1">
      <alignment horizontal="left" vertical="center"/>
    </xf>
    <xf numFmtId="165" fontId="12" fillId="0" borderId="9" xfId="5" applyNumberFormat="1" applyFont="1" applyFill="1" applyBorder="1" applyAlignment="1" applyProtection="1">
      <alignment horizontal="left" vertical="center"/>
    </xf>
    <xf numFmtId="165" fontId="17" fillId="0" borderId="15" xfId="5" applyNumberFormat="1" applyFont="1" applyFill="1" applyBorder="1" applyAlignment="1" applyProtection="1">
      <alignment horizontal="left" vertical="top" wrapText="1" indent="1"/>
    </xf>
    <xf numFmtId="166" fontId="12" fillId="0" borderId="9" xfId="9" applyNumberFormat="1" applyFont="1" applyFill="1" applyBorder="1" applyAlignment="1" applyProtection="1">
      <alignment horizontal="center" vertical="center"/>
    </xf>
    <xf numFmtId="9" fontId="12" fillId="0" borderId="9" xfId="2" applyFont="1" applyFill="1" applyBorder="1" applyAlignment="1" applyProtection="1">
      <alignment horizontal="center" vertical="center"/>
    </xf>
    <xf numFmtId="0" fontId="12" fillId="0" borderId="9" xfId="5" applyFont="1" applyFill="1" applyBorder="1" applyProtection="1"/>
    <xf numFmtId="170" fontId="8" fillId="0" borderId="9" xfId="2" applyNumberFormat="1" applyFont="1" applyFill="1" applyBorder="1" applyAlignment="1" applyProtection="1">
      <alignment horizontal="center" vertical="center"/>
    </xf>
    <xf numFmtId="166" fontId="20" fillId="0" borderId="9" xfId="6" applyNumberFormat="1" applyFont="1" applyFill="1" applyBorder="1" applyAlignment="1" applyProtection="1">
      <alignment horizontal="center" vertical="center"/>
    </xf>
    <xf numFmtId="170" fontId="20" fillId="0" borderId="9" xfId="2" applyNumberFormat="1" applyFont="1" applyFill="1" applyBorder="1" applyAlignment="1" applyProtection="1">
      <alignment horizontal="center" vertical="center"/>
    </xf>
    <xf numFmtId="165" fontId="17" fillId="7" borderId="19" xfId="5" applyNumberFormat="1" applyFont="1" applyFill="1" applyBorder="1" applyAlignment="1" applyProtection="1">
      <alignment horizontal="left" vertical="top" wrapText="1"/>
    </xf>
    <xf numFmtId="0" fontId="12" fillId="7" borderId="20" xfId="5" applyFont="1" applyFill="1" applyBorder="1" applyProtection="1"/>
    <xf numFmtId="166" fontId="17" fillId="7" borderId="20" xfId="6" applyNumberFormat="1" applyFont="1" applyFill="1" applyBorder="1" applyAlignment="1" applyProtection="1">
      <alignment horizontal="center" vertical="center"/>
    </xf>
    <xf numFmtId="169" fontId="17" fillId="7" borderId="20" xfId="6" applyNumberFormat="1" applyFont="1" applyFill="1" applyBorder="1" applyAlignment="1" applyProtection="1">
      <alignment horizontal="center" vertical="center"/>
    </xf>
    <xf numFmtId="167" fontId="12" fillId="7" borderId="20" xfId="2" applyNumberFormat="1" applyFont="1" applyFill="1" applyBorder="1" applyAlignment="1" applyProtection="1">
      <alignment horizontal="center" vertical="center"/>
    </xf>
    <xf numFmtId="167" fontId="17" fillId="7" borderId="20" xfId="2" applyNumberFormat="1" applyFont="1" applyFill="1" applyBorder="1" applyAlignment="1" applyProtection="1">
      <alignment horizontal="center" vertical="center"/>
    </xf>
    <xf numFmtId="167" fontId="17" fillId="7" borderId="21" xfId="2" applyNumberFormat="1" applyFont="1" applyFill="1" applyBorder="1" applyAlignment="1" applyProtection="1">
      <alignment horizontal="center" vertical="center"/>
    </xf>
    <xf numFmtId="0" fontId="12" fillId="0" borderId="0" xfId="0" applyFont="1" applyAlignment="1">
      <alignment wrapText="1"/>
    </xf>
    <xf numFmtId="0" fontId="0" fillId="0" borderId="0" xfId="0" applyAlignment="1">
      <alignment wrapText="1"/>
    </xf>
    <xf numFmtId="0" fontId="12" fillId="0" borderId="0" xfId="4" applyFill="1" applyAlignment="1"/>
    <xf numFmtId="0" fontId="0" fillId="0" borderId="9" xfId="0" applyFill="1" applyBorder="1"/>
    <xf numFmtId="0" fontId="12" fillId="0" borderId="0" xfId="0" applyFont="1"/>
    <xf numFmtId="0" fontId="12" fillId="0" borderId="0" xfId="8" applyFill="1"/>
    <xf numFmtId="0" fontId="12" fillId="2" borderId="0" xfId="3" applyFill="1" applyAlignment="1" applyProtection="1">
      <alignment wrapText="1"/>
      <protection locked="0"/>
    </xf>
    <xf numFmtId="0" fontId="17" fillId="2" borderId="0" xfId="3" applyFont="1" applyFill="1" applyProtection="1">
      <protection locked="0"/>
    </xf>
    <xf numFmtId="0" fontId="0" fillId="0" borderId="0" xfId="0" applyFill="1" applyBorder="1"/>
    <xf numFmtId="0" fontId="22" fillId="0" borderId="0" xfId="0" applyFont="1" applyFill="1" applyBorder="1" applyAlignment="1">
      <alignment vertical="top" wrapText="1"/>
    </xf>
    <xf numFmtId="171" fontId="17" fillId="2" borderId="0" xfId="3" applyNumberFormat="1" applyFont="1" applyFill="1" applyProtection="1">
      <protection locked="0"/>
    </xf>
    <xf numFmtId="0" fontId="0" fillId="0" borderId="0" xfId="0" applyAlignment="1">
      <alignment vertical="top" wrapText="1"/>
    </xf>
    <xf numFmtId="0" fontId="23" fillId="0" borderId="0" xfId="0" applyFont="1" applyAlignment="1">
      <alignment vertical="center"/>
    </xf>
    <xf numFmtId="0" fontId="0" fillId="2" borderId="0" xfId="0" applyFill="1"/>
    <xf numFmtId="0" fontId="23" fillId="0" borderId="0" xfId="0" applyFont="1"/>
    <xf numFmtId="0" fontId="0" fillId="0" borderId="0" xfId="0" applyAlignment="1">
      <alignment horizontal="left" vertical="top"/>
    </xf>
    <xf numFmtId="0" fontId="24" fillId="0" borderId="0" xfId="0" applyFont="1"/>
    <xf numFmtId="0" fontId="12" fillId="0" borderId="0" xfId="3" applyFont="1" applyFill="1"/>
    <xf numFmtId="0" fontId="12" fillId="0" borderId="0" xfId="3" applyFont="1"/>
    <xf numFmtId="0" fontId="0" fillId="8" borderId="7" xfId="0" applyFill="1" applyBorder="1" applyProtection="1"/>
    <xf numFmtId="0" fontId="5" fillId="8" borderId="5" xfId="0" applyFont="1" applyFill="1" applyBorder="1" applyAlignment="1" applyProtection="1">
      <alignment horizontal="center" vertical="center"/>
      <protection locked="0"/>
    </xf>
    <xf numFmtId="0" fontId="6" fillId="0" borderId="0" xfId="0" applyFont="1"/>
    <xf numFmtId="0" fontId="5" fillId="3" borderId="0" xfId="0" applyFont="1" applyFill="1" applyBorder="1" applyAlignment="1" applyProtection="1">
      <alignment horizontal="center"/>
      <protection locked="0"/>
    </xf>
    <xf numFmtId="0" fontId="0" fillId="0" borderId="0" xfId="0" applyFont="1" applyAlignment="1" applyProtection="1">
      <alignment horizontal="center" vertical="center"/>
    </xf>
    <xf numFmtId="0" fontId="29" fillId="0" borderId="0" xfId="0" applyFont="1" applyProtection="1"/>
    <xf numFmtId="0" fontId="25" fillId="0" borderId="0" xfId="0" applyFont="1" applyProtection="1"/>
    <xf numFmtId="0" fontId="2" fillId="0" borderId="0" xfId="0" applyFont="1" applyAlignment="1" applyProtection="1">
      <alignment vertical="center"/>
    </xf>
    <xf numFmtId="0" fontId="29" fillId="0" borderId="0" xfId="0" applyFont="1"/>
    <xf numFmtId="0" fontId="31" fillId="0" borderId="0" xfId="0" applyFont="1" applyBorder="1" applyAlignment="1">
      <alignment vertical="center"/>
    </xf>
    <xf numFmtId="0" fontId="28" fillId="6" borderId="0" xfId="0" applyFont="1" applyFill="1" applyAlignment="1" applyProtection="1">
      <alignment horizontal="left" wrapText="1"/>
    </xf>
    <xf numFmtId="0" fontId="28" fillId="0" borderId="0" xfId="0" applyFont="1" applyAlignment="1" applyProtection="1">
      <alignment horizontal="center" wrapText="1"/>
    </xf>
    <xf numFmtId="0" fontId="28" fillId="0" borderId="0" xfId="0" applyFont="1" applyAlignment="1" applyProtection="1">
      <alignment horizontal="center" vertical="center" wrapText="1"/>
    </xf>
    <xf numFmtId="0" fontId="0" fillId="0" borderId="0" xfId="0" applyFont="1" applyAlignment="1">
      <alignment horizontal="center"/>
    </xf>
    <xf numFmtId="0" fontId="32" fillId="6" borderId="0" xfId="11" applyFont="1" applyFill="1" applyBorder="1" applyAlignment="1" applyProtection="1">
      <alignment horizontal="center"/>
    </xf>
    <xf numFmtId="0" fontId="28" fillId="0" borderId="0" xfId="0" applyFont="1" applyBorder="1" applyAlignment="1" applyProtection="1">
      <alignment horizontal="center" wrapText="1"/>
    </xf>
    <xf numFmtId="3" fontId="28" fillId="0" borderId="0" xfId="0" applyNumberFormat="1" applyFont="1" applyBorder="1" applyAlignment="1" applyProtection="1">
      <alignment horizontal="center" wrapText="1"/>
    </xf>
    <xf numFmtId="173" fontId="28" fillId="0" borderId="0" xfId="0" applyNumberFormat="1" applyFont="1" applyBorder="1" applyAlignment="1" applyProtection="1">
      <alignment horizontal="center" vertical="center" wrapText="1"/>
    </xf>
    <xf numFmtId="0" fontId="2" fillId="0" borderId="0" xfId="0" applyFont="1"/>
    <xf numFmtId="0" fontId="0" fillId="0" borderId="0" xfId="0" applyFont="1"/>
    <xf numFmtId="0" fontId="2" fillId="0" borderId="11" xfId="0" applyFont="1" applyBorder="1"/>
    <xf numFmtId="0" fontId="2" fillId="0" borderId="11" xfId="0" applyFont="1" applyBorder="1" applyAlignment="1">
      <alignment horizontal="center" vertical="center"/>
    </xf>
    <xf numFmtId="3" fontId="2" fillId="0" borderId="11" xfId="0" applyNumberFormat="1" applyFont="1" applyBorder="1"/>
    <xf numFmtId="173" fontId="2" fillId="0" borderId="11" xfId="0" applyNumberFormat="1" applyFont="1" applyBorder="1" applyAlignment="1">
      <alignment horizontal="center" vertical="center"/>
    </xf>
    <xf numFmtId="0" fontId="0" fillId="0" borderId="0" xfId="0" applyAlignment="1">
      <alignment horizontal="center" vertical="center"/>
    </xf>
    <xf numFmtId="0" fontId="33" fillId="0" borderId="0" xfId="12" applyProtection="1"/>
    <xf numFmtId="0" fontId="33" fillId="0" borderId="0" xfId="12" applyAlignment="1" applyProtection="1">
      <alignment horizontal="center"/>
    </xf>
    <xf numFmtId="0" fontId="33" fillId="0" borderId="0" xfId="12" applyProtection="1">
      <protection locked="0"/>
    </xf>
    <xf numFmtId="0" fontId="34" fillId="0" borderId="0" xfId="12" applyFont="1" applyProtection="1"/>
    <xf numFmtId="0" fontId="35" fillId="0" borderId="0" xfId="12" applyFont="1" applyProtection="1"/>
    <xf numFmtId="0" fontId="36" fillId="0" borderId="0" xfId="12" applyFont="1" applyBorder="1" applyAlignment="1" applyProtection="1">
      <alignment horizontal="left"/>
    </xf>
    <xf numFmtId="0" fontId="37" fillId="0" borderId="0" xfId="12" applyFont="1" applyProtection="1"/>
    <xf numFmtId="0" fontId="34" fillId="0" borderId="0" xfId="12" applyFont="1" applyBorder="1" applyAlignment="1" applyProtection="1">
      <alignment horizontal="left"/>
    </xf>
    <xf numFmtId="0" fontId="35" fillId="0" borderId="0" xfId="12" applyFont="1" applyBorder="1" applyAlignment="1" applyProtection="1">
      <alignment horizontal="center" wrapText="1"/>
    </xf>
    <xf numFmtId="0" fontId="33" fillId="0" borderId="0" xfId="12" applyAlignment="1" applyProtection="1">
      <alignment horizontal="left" indent="1"/>
    </xf>
    <xf numFmtId="174" fontId="33" fillId="0" borderId="0" xfId="13" applyNumberFormat="1" applyFont="1" applyAlignment="1" applyProtection="1">
      <alignment horizontal="center"/>
    </xf>
    <xf numFmtId="174" fontId="33" fillId="0" borderId="0" xfId="13" applyNumberFormat="1" applyFont="1" applyProtection="1"/>
    <xf numFmtId="0" fontId="33" fillId="0" borderId="0" xfId="12" applyFont="1" applyAlignment="1" applyProtection="1">
      <alignment horizontal="center"/>
    </xf>
    <xf numFmtId="9" fontId="33" fillId="0" borderId="0" xfId="12" applyNumberFormat="1" applyFont="1" applyAlignment="1" applyProtection="1">
      <alignment horizontal="center"/>
    </xf>
    <xf numFmtId="174" fontId="33" fillId="6" borderId="0" xfId="13" applyNumberFormat="1" applyFont="1" applyFill="1" applyProtection="1"/>
    <xf numFmtId="174" fontId="33" fillId="0" borderId="0" xfId="12" applyNumberFormat="1" applyFont="1" applyBorder="1" applyAlignment="1" applyProtection="1">
      <alignment horizontal="center"/>
    </xf>
    <xf numFmtId="0" fontId="33" fillId="0" borderId="0" xfId="12" applyFont="1" applyProtection="1"/>
    <xf numFmtId="10" fontId="33" fillId="0" borderId="0" xfId="14" applyNumberFormat="1" applyFont="1" applyAlignment="1" applyProtection="1">
      <alignment horizontal="center"/>
    </xf>
    <xf numFmtId="0" fontId="39" fillId="0" borderId="0" xfId="12" applyFont="1" applyProtection="1"/>
    <xf numFmtId="174" fontId="33" fillId="0" borderId="0" xfId="13" applyNumberFormat="1" applyFont="1" applyBorder="1" applyAlignment="1" applyProtection="1">
      <alignment horizontal="center"/>
    </xf>
    <xf numFmtId="174" fontId="35" fillId="6" borderId="0" xfId="13" applyNumberFormat="1" applyFont="1" applyFill="1" applyProtection="1"/>
    <xf numFmtId="174" fontId="33" fillId="0" borderId="0" xfId="12" applyNumberFormat="1" applyFont="1" applyAlignment="1" applyProtection="1">
      <alignment horizontal="center"/>
    </xf>
    <xf numFmtId="174" fontId="35" fillId="6" borderId="11" xfId="12" applyNumberFormat="1" applyFont="1" applyFill="1" applyBorder="1" applyProtection="1"/>
    <xf numFmtId="174" fontId="35" fillId="0" borderId="0" xfId="12" applyNumberFormat="1" applyFont="1" applyBorder="1" applyProtection="1"/>
    <xf numFmtId="10" fontId="33" fillId="6" borderId="0" xfId="14" applyNumberFormat="1" applyFont="1" applyFill="1" applyAlignment="1" applyProtection="1">
      <alignment horizontal="center"/>
    </xf>
    <xf numFmtId="174" fontId="33" fillId="0" borderId="0" xfId="13" applyNumberFormat="1" applyFont="1" applyFill="1" applyBorder="1" applyAlignment="1" applyProtection="1">
      <alignment horizontal="center"/>
    </xf>
    <xf numFmtId="174" fontId="33" fillId="6" borderId="13" xfId="13" applyNumberFormat="1" applyFont="1" applyFill="1" applyBorder="1" applyProtection="1"/>
    <xf numFmtId="174" fontId="35" fillId="6" borderId="28" xfId="13" applyNumberFormat="1" applyFont="1" applyFill="1" applyBorder="1" applyProtection="1"/>
    <xf numFmtId="174" fontId="35" fillId="6" borderId="0" xfId="12" applyNumberFormat="1" applyFont="1" applyFill="1" applyProtection="1"/>
    <xf numFmtId="174" fontId="35" fillId="6" borderId="28" xfId="12" applyNumberFormat="1" applyFont="1" applyFill="1" applyBorder="1" applyProtection="1"/>
    <xf numFmtId="174" fontId="33" fillId="6" borderId="0" xfId="12" applyNumberFormat="1" applyFont="1" applyFill="1" applyProtection="1"/>
    <xf numFmtId="10" fontId="40" fillId="6" borderId="0" xfId="14" applyNumberFormat="1" applyFont="1" applyFill="1" applyAlignment="1" applyProtection="1">
      <alignment horizontal="right"/>
    </xf>
    <xf numFmtId="0" fontId="33" fillId="0" borderId="0" xfId="12" applyAlignment="1" applyProtection="1">
      <alignment horizontal="center"/>
      <protection locked="0"/>
    </xf>
    <xf numFmtId="0" fontId="0" fillId="0" borderId="11" xfId="0" applyBorder="1"/>
    <xf numFmtId="0" fontId="0" fillId="0" borderId="11" xfId="0" applyBorder="1" applyAlignment="1">
      <alignment horizontal="center" vertical="center"/>
    </xf>
    <xf numFmtId="175" fontId="0" fillId="0" borderId="11" xfId="0" applyNumberFormat="1" applyBorder="1"/>
    <xf numFmtId="173" fontId="0" fillId="0" borderId="11" xfId="0" applyNumberFormat="1" applyBorder="1" applyAlignment="1">
      <alignment horizontal="center" vertical="center"/>
    </xf>
    <xf numFmtId="0" fontId="35" fillId="0" borderId="0" xfId="12" applyFont="1" applyAlignment="1" applyProtection="1">
      <alignment horizontal="left" indent="1"/>
    </xf>
    <xf numFmtId="0" fontId="43" fillId="0" borderId="0" xfId="12" applyFont="1" applyProtection="1"/>
    <xf numFmtId="0" fontId="33" fillId="6" borderId="0" xfId="12" applyFill="1" applyProtection="1"/>
    <xf numFmtId="0" fontId="35" fillId="10" borderId="0" xfId="12" applyFont="1" applyFill="1" applyProtection="1"/>
    <xf numFmtId="0" fontId="33" fillId="10" borderId="0" xfId="12" applyFill="1" applyProtection="1"/>
    <xf numFmtId="10" fontId="35" fillId="10" borderId="0" xfId="12" applyNumberFormat="1" applyFont="1" applyFill="1" applyAlignment="1" applyProtection="1">
      <alignment horizontal="center"/>
    </xf>
    <xf numFmtId="0" fontId="17" fillId="0" borderId="0" xfId="12" applyFont="1" applyAlignment="1" applyProtection="1">
      <alignment horizontal="left" vertical="center" wrapText="1" indent="3"/>
    </xf>
    <xf numFmtId="176" fontId="17" fillId="6" borderId="0" xfId="9" applyNumberFormat="1" applyFont="1" applyFill="1" applyAlignment="1" applyProtection="1">
      <alignment horizontal="center"/>
    </xf>
    <xf numFmtId="9" fontId="35" fillId="10" borderId="0" xfId="14" applyFont="1" applyFill="1" applyAlignment="1" applyProtection="1">
      <alignment horizontal="center"/>
    </xf>
    <xf numFmtId="174" fontId="40" fillId="6" borderId="0" xfId="13" applyNumberFormat="1" applyFont="1" applyFill="1" applyProtection="1"/>
    <xf numFmtId="174" fontId="40" fillId="6" borderId="11" xfId="13" applyNumberFormat="1" applyFont="1" applyFill="1" applyBorder="1" applyProtection="1"/>
    <xf numFmtId="0" fontId="33" fillId="0" borderId="0" xfId="12" applyAlignment="1" applyProtection="1">
      <alignment horizontal="left" indent="2"/>
    </xf>
    <xf numFmtId="0" fontId="33" fillId="6" borderId="0" xfId="12" applyFont="1" applyFill="1" applyProtection="1"/>
    <xf numFmtId="9" fontId="40" fillId="6" borderId="0" xfId="14" applyFont="1" applyFill="1" applyAlignment="1" applyProtection="1">
      <alignment horizontal="right"/>
    </xf>
    <xf numFmtId="0" fontId="35" fillId="0" borderId="0" xfId="12" applyFont="1" applyAlignment="1" applyProtection="1">
      <alignment horizontal="right"/>
    </xf>
    <xf numFmtId="9" fontId="35" fillId="6" borderId="13" xfId="2" applyFont="1" applyFill="1" applyBorder="1" applyAlignment="1" applyProtection="1">
      <alignment horizontal="right"/>
    </xf>
    <xf numFmtId="0" fontId="35" fillId="0" borderId="0" xfId="12" applyFont="1" applyBorder="1" applyProtection="1"/>
    <xf numFmtId="9" fontId="35" fillId="6" borderId="9" xfId="2" applyFont="1" applyFill="1" applyBorder="1" applyAlignment="1" applyProtection="1">
      <alignment horizontal="right"/>
    </xf>
    <xf numFmtId="174" fontId="40" fillId="6" borderId="13" xfId="13" applyNumberFormat="1" applyFont="1" applyFill="1" applyBorder="1" applyProtection="1"/>
    <xf numFmtId="174" fontId="29" fillId="6" borderId="9" xfId="13" applyNumberFormat="1" applyFont="1" applyFill="1" applyBorder="1" applyProtection="1"/>
    <xf numFmtId="0" fontId="44" fillId="0" borderId="0" xfId="12" applyFont="1" applyAlignment="1" applyProtection="1">
      <alignment vertical="top"/>
    </xf>
    <xf numFmtId="0" fontId="33" fillId="0" borderId="0" xfId="12" applyAlignment="1" applyProtection="1">
      <alignment wrapText="1"/>
    </xf>
    <xf numFmtId="0" fontId="35" fillId="6" borderId="0" xfId="12" applyFont="1" applyFill="1" applyAlignment="1" applyProtection="1">
      <alignment horizontal="center"/>
    </xf>
    <xf numFmtId="174" fontId="33" fillId="8" borderId="0" xfId="13" applyNumberFormat="1" applyFill="1" applyProtection="1">
      <protection locked="0"/>
    </xf>
    <xf numFmtId="173" fontId="33" fillId="8" borderId="0" xfId="14" applyNumberFormat="1" applyFill="1" applyAlignment="1" applyProtection="1">
      <alignment horizontal="center"/>
      <protection locked="0"/>
    </xf>
    <xf numFmtId="10" fontId="33" fillId="8" borderId="0" xfId="14" applyNumberFormat="1" applyFill="1" applyAlignment="1" applyProtection="1">
      <alignment horizontal="center"/>
      <protection locked="0"/>
    </xf>
    <xf numFmtId="0" fontId="40" fillId="8" borderId="0" xfId="0" applyFont="1" applyFill="1" applyAlignment="1" applyProtection="1">
      <alignment horizontal="left" indent="1"/>
      <protection locked="0"/>
    </xf>
    <xf numFmtId="0" fontId="33" fillId="8" borderId="0" xfId="12" applyFont="1" applyFill="1" applyAlignment="1" applyProtection="1">
      <alignment horizontal="left" indent="1"/>
      <protection locked="0"/>
    </xf>
    <xf numFmtId="1" fontId="28" fillId="0" borderId="29" xfId="0" applyNumberFormat="1" applyFont="1" applyFill="1" applyBorder="1" applyAlignment="1" applyProtection="1">
      <alignment horizontal="center" vertical="center" wrapText="1"/>
    </xf>
    <xf numFmtId="172" fontId="28" fillId="0" borderId="30" xfId="0" applyNumberFormat="1" applyFont="1" applyFill="1" applyBorder="1" applyAlignment="1" applyProtection="1">
      <alignment horizontal="center" vertical="center" wrapText="1"/>
    </xf>
    <xf numFmtId="172" fontId="28" fillId="0" borderId="31" xfId="0" applyNumberFormat="1" applyFont="1" applyFill="1" applyBorder="1" applyAlignment="1" applyProtection="1">
      <alignment horizontal="center" vertical="center" wrapText="1"/>
    </xf>
    <xf numFmtId="1" fontId="28" fillId="0" borderId="31" xfId="0" applyNumberFormat="1" applyFont="1" applyFill="1" applyBorder="1" applyAlignment="1" applyProtection="1">
      <alignment horizontal="center" vertical="center" wrapText="1"/>
    </xf>
    <xf numFmtId="2" fontId="28" fillId="0" borderId="31" xfId="0" applyNumberFormat="1" applyFont="1" applyFill="1" applyBorder="1" applyAlignment="1" applyProtection="1">
      <alignment horizontal="center" vertical="center" wrapText="1"/>
    </xf>
    <xf numFmtId="171" fontId="28" fillId="0" borderId="31" xfId="0" applyNumberFormat="1" applyFont="1" applyFill="1" applyBorder="1" applyAlignment="1" applyProtection="1">
      <alignment horizontal="center" vertical="center" wrapText="1"/>
    </xf>
    <xf numFmtId="171" fontId="28" fillId="0" borderId="32" xfId="0" applyNumberFormat="1" applyFont="1" applyFill="1" applyBorder="1" applyAlignment="1" applyProtection="1">
      <alignment horizontal="center" vertical="center" wrapText="1"/>
    </xf>
    <xf numFmtId="0" fontId="29" fillId="0" borderId="0" xfId="0" applyFont="1" applyAlignment="1">
      <alignment horizontal="left" indent="1"/>
    </xf>
    <xf numFmtId="0" fontId="2" fillId="0" borderId="0" xfId="0" applyFont="1" applyAlignment="1">
      <alignment horizontal="right" indent="2"/>
    </xf>
    <xf numFmtId="174" fontId="0" fillId="4" borderId="9" xfId="9" applyNumberFormat="1" applyFont="1" applyFill="1" applyBorder="1" applyProtection="1">
      <protection locked="0"/>
    </xf>
    <xf numFmtId="0" fontId="0" fillId="12" borderId="9" xfId="0" applyFill="1" applyBorder="1"/>
    <xf numFmtId="174" fontId="0" fillId="0" borderId="9" xfId="9" applyNumberFormat="1" applyFont="1" applyBorder="1"/>
    <xf numFmtId="0" fontId="2" fillId="0" borderId="0" xfId="0" applyFont="1" applyAlignment="1">
      <alignment horizontal="right" wrapText="1" indent="2"/>
    </xf>
    <xf numFmtId="174" fontId="0" fillId="0" borderId="0" xfId="0" applyNumberFormat="1"/>
    <xf numFmtId="174" fontId="0" fillId="0" borderId="9" xfId="0" applyNumberFormat="1" applyBorder="1"/>
    <xf numFmtId="0" fontId="2" fillId="4" borderId="26"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174" fontId="0" fillId="0" borderId="0" xfId="9" applyNumberFormat="1" applyFont="1" applyBorder="1"/>
    <xf numFmtId="174" fontId="2" fillId="0" borderId="0" xfId="9" applyNumberFormat="1" applyFont="1" applyBorder="1"/>
    <xf numFmtId="0" fontId="43" fillId="0" borderId="0" xfId="0" applyFont="1" applyProtection="1"/>
    <xf numFmtId="0" fontId="49" fillId="0" borderId="0" xfId="0" applyFont="1" applyProtection="1"/>
    <xf numFmtId="0" fontId="50" fillId="0" borderId="0" xfId="0" applyFont="1" applyAlignment="1" applyProtection="1">
      <alignment horizontal="right"/>
    </xf>
    <xf numFmtId="0" fontId="51" fillId="0" borderId="0" xfId="0" applyFont="1" applyProtection="1"/>
    <xf numFmtId="0" fontId="30" fillId="0" borderId="0" xfId="0" applyFont="1" applyAlignment="1" applyProtection="1">
      <alignment horizontal="right"/>
    </xf>
    <xf numFmtId="0" fontId="40" fillId="0" borderId="0" xfId="0" applyFont="1" applyProtection="1"/>
    <xf numFmtId="0" fontId="6" fillId="0" borderId="0" xfId="0" applyFont="1" applyAlignment="1" applyProtection="1">
      <alignment vertical="top"/>
    </xf>
    <xf numFmtId="0" fontId="34" fillId="0" borderId="37" xfId="0" applyFont="1" applyBorder="1" applyAlignment="1" applyProtection="1">
      <alignment horizontal="left"/>
    </xf>
    <xf numFmtId="0" fontId="0" fillId="0" borderId="38" xfId="0" applyBorder="1" applyProtection="1"/>
    <xf numFmtId="0" fontId="6" fillId="0" borderId="39" xfId="0" applyFont="1" applyBorder="1" applyProtection="1"/>
    <xf numFmtId="0" fontId="0" fillId="0" borderId="39" xfId="0" applyBorder="1" applyProtection="1"/>
    <xf numFmtId="174" fontId="40" fillId="0" borderId="40" xfId="13" applyNumberFormat="1" applyFont="1" applyBorder="1" applyProtection="1"/>
    <xf numFmtId="0" fontId="35" fillId="0" borderId="0" xfId="0" applyFont="1" applyAlignment="1" applyProtection="1">
      <alignment horizontal="center"/>
    </xf>
    <xf numFmtId="0" fontId="6" fillId="0" borderId="8" xfId="0" applyFont="1" applyBorder="1" applyProtection="1"/>
    <xf numFmtId="0" fontId="6" fillId="6" borderId="0" xfId="0" applyFont="1" applyFill="1" applyBorder="1" applyProtection="1"/>
    <xf numFmtId="0" fontId="0" fillId="6" borderId="0" xfId="0" applyFill="1" applyBorder="1" applyProtection="1"/>
    <xf numFmtId="174" fontId="40" fillId="6" borderId="21" xfId="13" applyNumberFormat="1" applyFont="1" applyFill="1" applyBorder="1" applyProtection="1"/>
    <xf numFmtId="0" fontId="0" fillId="0" borderId="41" xfId="0" applyBorder="1" applyProtection="1"/>
    <xf numFmtId="0" fontId="6" fillId="6" borderId="6" xfId="0" applyFont="1" applyFill="1" applyBorder="1" applyProtection="1"/>
    <xf numFmtId="0" fontId="0" fillId="6" borderId="6" xfId="0" applyFill="1" applyBorder="1" applyProtection="1"/>
    <xf numFmtId="174" fontId="40" fillId="6" borderId="42" xfId="13" applyNumberFormat="1" applyFont="1" applyFill="1" applyBorder="1" applyProtection="1"/>
    <xf numFmtId="0" fontId="0" fillId="0" borderId="0" xfId="0" applyBorder="1" applyProtection="1"/>
    <xf numFmtId="174" fontId="40" fillId="6" borderId="0" xfId="13" applyNumberFormat="1" applyFont="1" applyFill="1" applyBorder="1" applyProtection="1"/>
    <xf numFmtId="0" fontId="49" fillId="0" borderId="34" xfId="0" applyFont="1" applyBorder="1" applyProtection="1"/>
    <xf numFmtId="0" fontId="6" fillId="6" borderId="36" xfId="0" applyFont="1" applyFill="1" applyBorder="1" applyProtection="1"/>
    <xf numFmtId="0" fontId="5" fillId="6" borderId="39" xfId="0" applyFont="1" applyFill="1" applyBorder="1" applyProtection="1"/>
    <xf numFmtId="0" fontId="2" fillId="6" borderId="39" xfId="0" applyFont="1" applyFill="1" applyBorder="1" applyProtection="1"/>
    <xf numFmtId="174" fontId="5" fillId="6" borderId="40" xfId="13" applyNumberFormat="1" applyFont="1" applyFill="1" applyBorder="1" applyProtection="1"/>
    <xf numFmtId="0" fontId="0" fillId="0" borderId="8" xfId="0" applyBorder="1" applyProtection="1"/>
    <xf numFmtId="0" fontId="5" fillId="6" borderId="0" xfId="0" applyFont="1" applyFill="1" applyBorder="1" applyProtection="1"/>
    <xf numFmtId="0" fontId="2" fillId="6" borderId="0" xfId="0" applyFont="1" applyFill="1" applyBorder="1" applyProtection="1"/>
    <xf numFmtId="174" fontId="5" fillId="6" borderId="43" xfId="13" applyNumberFormat="1" applyFont="1" applyFill="1" applyBorder="1" applyProtection="1"/>
    <xf numFmtId="174" fontId="40" fillId="6" borderId="43" xfId="13" applyNumberFormat="1" applyFont="1" applyFill="1" applyBorder="1" applyProtection="1"/>
    <xf numFmtId="0" fontId="6" fillId="0" borderId="8" xfId="0" applyFont="1" applyFill="1" applyBorder="1" applyProtection="1"/>
    <xf numFmtId="0" fontId="6" fillId="0" borderId="41" xfId="0" applyFont="1" applyFill="1" applyBorder="1" applyProtection="1"/>
    <xf numFmtId="174" fontId="40" fillId="6" borderId="6" xfId="13" applyNumberFormat="1" applyFont="1" applyFill="1" applyBorder="1" applyProtection="1"/>
    <xf numFmtId="0" fontId="6" fillId="6" borderId="0" xfId="0" applyFont="1" applyFill="1" applyProtection="1"/>
    <xf numFmtId="0" fontId="0" fillId="6" borderId="0" xfId="0" applyFill="1" applyProtection="1"/>
    <xf numFmtId="0" fontId="34" fillId="0" borderId="7" xfId="0" applyFont="1" applyBorder="1" applyAlignment="1" applyProtection="1">
      <alignment horizontal="left"/>
    </xf>
    <xf numFmtId="0" fontId="6" fillId="6" borderId="39" xfId="0" applyFont="1" applyFill="1" applyBorder="1" applyProtection="1"/>
    <xf numFmtId="0" fontId="0" fillId="6" borderId="39" xfId="0" applyFill="1" applyBorder="1" applyProtection="1"/>
    <xf numFmtId="174" fontId="40" fillId="6" borderId="40" xfId="13" applyNumberFormat="1" applyFont="1" applyFill="1" applyBorder="1" applyProtection="1"/>
    <xf numFmtId="0" fontId="35" fillId="6" borderId="0" xfId="0" applyFont="1" applyFill="1" applyAlignment="1" applyProtection="1">
      <alignment horizontal="center"/>
    </xf>
    <xf numFmtId="177" fontId="40" fillId="6" borderId="21" xfId="13" applyNumberFormat="1" applyFont="1" applyFill="1" applyBorder="1" applyProtection="1"/>
    <xf numFmtId="0" fontId="52" fillId="6" borderId="0" xfId="0" quotePrefix="1" applyFont="1" applyFill="1" applyBorder="1" applyAlignment="1" applyProtection="1">
      <alignment horizontal="center" vertical="center" wrapText="1"/>
    </xf>
    <xf numFmtId="173"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xf>
    <xf numFmtId="10" fontId="6" fillId="6" borderId="0" xfId="14" applyNumberFormat="1" applyFont="1" applyFill="1" applyBorder="1" applyAlignment="1" applyProtection="1">
      <alignment horizontal="center"/>
    </xf>
    <xf numFmtId="0" fontId="52" fillId="6" borderId="0" xfId="0"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xf>
    <xf numFmtId="0" fontId="6" fillId="0" borderId="41" xfId="0" applyFont="1" applyBorder="1" applyProtection="1"/>
    <xf numFmtId="174" fontId="40" fillId="0" borderId="0" xfId="13" applyNumberFormat="1" applyFont="1" applyProtection="1"/>
    <xf numFmtId="0" fontId="34" fillId="0" borderId="8" xfId="0" applyFont="1" applyBorder="1" applyAlignment="1" applyProtection="1">
      <alignment horizontal="left"/>
    </xf>
    <xf numFmtId="0" fontId="6" fillId="0" borderId="0" xfId="0" applyFont="1" applyBorder="1" applyProtection="1"/>
    <xf numFmtId="174" fontId="40" fillId="0" borderId="43" xfId="13" applyNumberFormat="1" applyFont="1" applyBorder="1" applyProtection="1"/>
    <xf numFmtId="0" fontId="6" fillId="0" borderId="6" xfId="0" applyFont="1" applyBorder="1" applyProtection="1"/>
    <xf numFmtId="0" fontId="0" fillId="0" borderId="6" xfId="0" applyBorder="1" applyProtection="1"/>
    <xf numFmtId="0" fontId="34" fillId="0" borderId="38" xfId="0" applyFont="1" applyBorder="1" applyAlignment="1" applyProtection="1">
      <alignment horizontal="left"/>
    </xf>
    <xf numFmtId="0" fontId="35" fillId="0" borderId="0" xfId="0" applyFont="1" applyBorder="1" applyAlignment="1" applyProtection="1">
      <alignment horizontal="center"/>
    </xf>
    <xf numFmtId="173" fontId="6" fillId="4" borderId="0" xfId="14" applyNumberFormat="1" applyFont="1" applyFill="1" applyBorder="1" applyAlignment="1" applyProtection="1">
      <alignment horizontal="center"/>
      <protection locked="0"/>
    </xf>
    <xf numFmtId="174" fontId="40" fillId="0" borderId="42" xfId="13" applyNumberFormat="1" applyFont="1" applyBorder="1" applyProtection="1"/>
    <xf numFmtId="174" fontId="40" fillId="4" borderId="43" xfId="13" applyNumberFormat="1" applyFont="1" applyFill="1" applyBorder="1" applyProtection="1">
      <protection locked="0"/>
    </xf>
    <xf numFmtId="174" fontId="40" fillId="6" borderId="16" xfId="13" applyNumberFormat="1" applyFont="1" applyFill="1" applyBorder="1" applyProtection="1"/>
    <xf numFmtId="0" fontId="54" fillId="0" borderId="8" xfId="0" applyFont="1" applyBorder="1" applyProtection="1"/>
    <xf numFmtId="0" fontId="6" fillId="0" borderId="38" xfId="0" applyFont="1" applyBorder="1" applyProtection="1"/>
    <xf numFmtId="0" fontId="35" fillId="0" borderId="39" xfId="0" applyFont="1" applyBorder="1" applyAlignment="1" applyProtection="1">
      <alignment horizontal="center"/>
    </xf>
    <xf numFmtId="174" fontId="40" fillId="14" borderId="40" xfId="13" applyNumberFormat="1" applyFont="1" applyFill="1" applyBorder="1" applyProtection="1"/>
    <xf numFmtId="174" fontId="40" fillId="14" borderId="43" xfId="13" applyNumberFormat="1" applyFont="1" applyFill="1" applyBorder="1" applyProtection="1"/>
    <xf numFmtId="174" fontId="40" fillId="14" borderId="21" xfId="13" applyNumberFormat="1" applyFont="1" applyFill="1" applyBorder="1" applyProtection="1"/>
    <xf numFmtId="0" fontId="40" fillId="0" borderId="0" xfId="0" applyFont="1"/>
    <xf numFmtId="0" fontId="0" fillId="0" borderId="0" xfId="0" applyBorder="1"/>
    <xf numFmtId="0" fontId="28" fillId="0" borderId="0" xfId="0" applyFont="1" applyAlignment="1" applyProtection="1">
      <alignment horizontal="left" wrapText="1"/>
    </xf>
    <xf numFmtId="0" fontId="56" fillId="0" borderId="0" xfId="0" applyFont="1" applyAlignment="1" applyProtection="1">
      <alignment horizontal="center" wrapText="1"/>
    </xf>
    <xf numFmtId="0" fontId="57" fillId="0" borderId="0" xfId="0" applyFont="1" applyAlignment="1" applyProtection="1">
      <alignment horizontal="center" wrapText="1"/>
    </xf>
    <xf numFmtId="0" fontId="59" fillId="0" borderId="0" xfId="0" applyFont="1" applyAlignment="1" applyProtection="1">
      <alignment horizontal="center" wrapText="1"/>
    </xf>
    <xf numFmtId="0" fontId="61" fillId="0" borderId="0" xfId="0" applyFont="1" applyAlignment="1" applyProtection="1">
      <alignment horizontal="center" wrapText="1"/>
    </xf>
    <xf numFmtId="0" fontId="28" fillId="0" borderId="0" xfId="0" applyFont="1" applyAlignment="1" applyProtection="1">
      <alignment horizontal="center"/>
    </xf>
    <xf numFmtId="0" fontId="0" fillId="0" borderId="0" xfId="0" applyAlignment="1" applyProtection="1">
      <alignment horizontal="center" vertical="center"/>
    </xf>
    <xf numFmtId="0" fontId="6" fillId="0" borderId="0" xfId="0" applyFont="1" applyFill="1" applyProtection="1"/>
    <xf numFmtId="0" fontId="6" fillId="0" borderId="0" xfId="0" applyFont="1" applyFill="1" applyBorder="1" applyProtection="1"/>
    <xf numFmtId="0" fontId="5"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Fill="1" applyBorder="1" applyProtection="1"/>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2" fillId="0" borderId="0" xfId="0" applyFont="1" applyFill="1" applyAlignment="1" applyProtection="1">
      <alignment horizontal="center" vertical="center"/>
    </xf>
    <xf numFmtId="0" fontId="24" fillId="0" borderId="25" xfId="0" applyFont="1" applyFill="1" applyBorder="1" applyAlignment="1" applyProtection="1"/>
    <xf numFmtId="0" fontId="24" fillId="0" borderId="26" xfId="0" applyFont="1" applyFill="1" applyBorder="1" applyAlignment="1" applyProtection="1"/>
    <xf numFmtId="0" fontId="24" fillId="0" borderId="27" xfId="0" applyFont="1" applyFill="1" applyBorder="1" applyAlignment="1" applyProtection="1"/>
    <xf numFmtId="0" fontId="24" fillId="0" borderId="22" xfId="0" applyFont="1" applyFill="1" applyBorder="1" applyAlignment="1" applyProtection="1"/>
    <xf numFmtId="0" fontId="24" fillId="0" borderId="23" xfId="0" applyFont="1" applyFill="1" applyBorder="1" applyAlignment="1" applyProtection="1"/>
    <xf numFmtId="0" fontId="24" fillId="0" borderId="24" xfId="0" applyFont="1" applyFill="1" applyBorder="1" applyAlignment="1" applyProtection="1"/>
    <xf numFmtId="0" fontId="2" fillId="0" borderId="0" xfId="0" applyFont="1" applyAlignment="1" applyProtection="1">
      <alignment horizontal="center" vertical="center"/>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4" fillId="0" borderId="24" xfId="0" applyFont="1" applyFill="1" applyBorder="1" applyAlignment="1" applyProtection="1">
      <alignment vertical="center"/>
    </xf>
    <xf numFmtId="0" fontId="24" fillId="0" borderId="0" xfId="0" applyFont="1" applyFill="1" applyBorder="1" applyAlignment="1" applyProtection="1"/>
    <xf numFmtId="0" fontId="24" fillId="0" borderId="0" xfId="0" applyFont="1" applyFill="1" applyBorder="1" applyProtection="1"/>
    <xf numFmtId="0" fontId="24" fillId="0" borderId="0" xfId="0" applyFont="1" applyProtection="1"/>
    <xf numFmtId="0" fontId="2" fillId="5" borderId="0" xfId="0" applyFont="1" applyFill="1" applyAlignment="1">
      <alignment horizontal="center" vertical="center"/>
    </xf>
    <xf numFmtId="0" fontId="2" fillId="0" borderId="0" xfId="0" applyFont="1" applyAlignment="1">
      <alignment horizontal="center" vertical="center"/>
    </xf>
    <xf numFmtId="174" fontId="0" fillId="0" borderId="44" xfId="9" applyNumberFormat="1" applyFont="1" applyBorder="1"/>
    <xf numFmtId="0" fontId="2" fillId="0" borderId="0" xfId="0" applyFont="1" applyAlignment="1">
      <alignment horizontal="right"/>
    </xf>
    <xf numFmtId="0" fontId="0" fillId="0" borderId="45" xfId="0" applyBorder="1"/>
    <xf numFmtId="174" fontId="2" fillId="0" borderId="12" xfId="9" applyNumberFormat="1" applyFont="1" applyBorder="1"/>
    <xf numFmtId="174" fontId="0" fillId="4" borderId="46" xfId="9" applyNumberFormat="1" applyFont="1" applyFill="1" applyBorder="1" applyProtection="1">
      <protection locked="0"/>
    </xf>
    <xf numFmtId="174" fontId="0" fillId="4" borderId="20" xfId="9" applyNumberFormat="1" applyFont="1" applyFill="1" applyBorder="1" applyProtection="1">
      <protection locked="0"/>
    </xf>
    <xf numFmtId="174" fontId="0" fillId="4" borderId="19" xfId="9" applyNumberFormat="1" applyFont="1" applyFill="1" applyBorder="1" applyProtection="1">
      <protection locked="0"/>
    </xf>
    <xf numFmtId="174" fontId="0" fillId="4" borderId="10" xfId="9" applyNumberFormat="1" applyFont="1" applyFill="1" applyBorder="1" applyProtection="1">
      <protection locked="0"/>
    </xf>
    <xf numFmtId="174" fontId="0" fillId="4" borderId="47" xfId="9" applyNumberFormat="1" applyFont="1" applyFill="1" applyBorder="1" applyProtection="1">
      <protection locked="0"/>
    </xf>
    <xf numFmtId="174" fontId="0" fillId="4" borderId="15" xfId="9" applyNumberFormat="1" applyFont="1" applyFill="1" applyBorder="1" applyProtection="1">
      <protection locked="0"/>
    </xf>
    <xf numFmtId="174" fontId="0" fillId="4" borderId="16" xfId="9" applyNumberFormat="1" applyFont="1" applyFill="1" applyBorder="1" applyProtection="1">
      <protection locked="0"/>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5" borderId="39" xfId="0" applyFont="1" applyFill="1" applyBorder="1" applyAlignment="1">
      <alignment horizontal="center" vertical="center"/>
    </xf>
    <xf numFmtId="0" fontId="2" fillId="5" borderId="38" xfId="0" applyFont="1" applyFill="1" applyBorder="1" applyAlignment="1">
      <alignment horizontal="center" vertical="center"/>
    </xf>
    <xf numFmtId="174" fontId="2" fillId="0" borderId="0" xfId="0" applyNumberFormat="1" applyFont="1"/>
    <xf numFmtId="174" fontId="0" fillId="0" borderId="0" xfId="0" applyNumberFormat="1" applyBorder="1"/>
    <xf numFmtId="0" fontId="47" fillId="0" borderId="0" xfId="0" applyFont="1" applyAlignment="1">
      <alignment horizontal="right" wrapText="1" indent="2"/>
    </xf>
    <xf numFmtId="174" fontId="0" fillId="0" borderId="21" xfId="0" applyNumberFormat="1" applyBorder="1"/>
    <xf numFmtId="174" fontId="0" fillId="0" borderId="20" xfId="0" applyNumberFormat="1" applyBorder="1"/>
    <xf numFmtId="174" fontId="0" fillId="0" borderId="48" xfId="0" applyNumberFormat="1" applyBorder="1"/>
    <xf numFmtId="174" fontId="0" fillId="0" borderId="19" xfId="0" applyNumberFormat="1" applyBorder="1"/>
    <xf numFmtId="174" fontId="0" fillId="0" borderId="11" xfId="0" applyNumberFormat="1" applyBorder="1"/>
    <xf numFmtId="0" fontId="0" fillId="0" borderId="43" xfId="0" applyBorder="1"/>
    <xf numFmtId="0" fontId="0" fillId="0" borderId="8" xfId="0" applyBorder="1"/>
    <xf numFmtId="174" fontId="0" fillId="0" borderId="16" xfId="9" applyNumberFormat="1" applyFont="1" applyBorder="1"/>
    <xf numFmtId="174" fontId="0" fillId="0" borderId="15" xfId="9" applyNumberFormat="1" applyFont="1" applyBorder="1"/>
    <xf numFmtId="174" fontId="0" fillId="0" borderId="10" xfId="9" applyNumberFormat="1" applyFont="1" applyBorder="1"/>
    <xf numFmtId="174" fontId="0" fillId="0" borderId="43" xfId="9" applyNumberFormat="1" applyFont="1" applyBorder="1"/>
    <xf numFmtId="174" fontId="0" fillId="0" borderId="8" xfId="9" applyNumberFormat="1" applyFont="1" applyBorder="1"/>
    <xf numFmtId="0" fontId="2" fillId="4" borderId="9" xfId="0" applyFont="1" applyFill="1" applyBorder="1" applyAlignment="1" applyProtection="1">
      <alignment horizontal="left" vertical="top" wrapText="1"/>
      <protection locked="0"/>
    </xf>
    <xf numFmtId="0" fontId="2" fillId="3" borderId="9" xfId="0" applyFont="1" applyFill="1" applyBorder="1" applyAlignment="1" applyProtection="1">
      <alignment horizontal="center" vertical="center" wrapText="1"/>
      <protection locked="0"/>
    </xf>
    <xf numFmtId="0" fontId="29" fillId="0" borderId="0" xfId="0" applyFont="1" applyAlignment="1" applyProtection="1">
      <alignment horizontal="left" indent="1"/>
    </xf>
    <xf numFmtId="0" fontId="47" fillId="0" borderId="0" xfId="0" applyFont="1" applyAlignment="1" applyProtection="1">
      <alignment horizontal="center"/>
    </xf>
    <xf numFmtId="0" fontId="2" fillId="0" borderId="0" xfId="0" applyFont="1" applyAlignment="1" applyProtection="1">
      <alignment horizontal="right" indent="2"/>
    </xf>
    <xf numFmtId="0" fontId="0" fillId="12" borderId="9" xfId="0" applyFill="1" applyBorder="1" applyProtection="1"/>
    <xf numFmtId="174" fontId="0" fillId="0" borderId="9" xfId="9" applyNumberFormat="1" applyFont="1" applyBorder="1" applyProtection="1"/>
    <xf numFmtId="0" fontId="2" fillId="0" borderId="0" xfId="0" applyFont="1" applyAlignment="1" applyProtection="1">
      <alignment horizontal="right" wrapText="1" indent="2"/>
    </xf>
    <xf numFmtId="174" fontId="0" fillId="0" borderId="0" xfId="0" applyNumberFormat="1" applyProtection="1"/>
    <xf numFmtId="174" fontId="0" fillId="0" borderId="9" xfId="0" applyNumberFormat="1" applyBorder="1" applyProtection="1"/>
    <xf numFmtId="174" fontId="14" fillId="0" borderId="0" xfId="9" applyNumberFormat="1" applyFont="1" applyBorder="1" applyProtection="1"/>
    <xf numFmtId="0" fontId="0" fillId="0" borderId="0" xfId="0" applyAlignment="1" applyProtection="1">
      <alignment horizontal="center"/>
    </xf>
    <xf numFmtId="174" fontId="0" fillId="0" borderId="0" xfId="9" applyNumberFormat="1" applyFont="1" applyBorder="1" applyProtection="1"/>
    <xf numFmtId="174" fontId="14" fillId="0" borderId="0" xfId="9" applyNumberFormat="1" applyFont="1" applyFill="1" applyBorder="1" applyProtection="1"/>
    <xf numFmtId="0" fontId="0" fillId="0" borderId="0" xfId="0" applyFill="1" applyBorder="1" applyAlignment="1" applyProtection="1">
      <alignment horizontal="center"/>
    </xf>
    <xf numFmtId="174" fontId="0" fillId="0" borderId="0" xfId="9" applyNumberFormat="1" applyFont="1" applyFill="1" applyBorder="1" applyProtection="1"/>
    <xf numFmtId="0" fontId="35" fillId="0" borderId="8" xfId="0" applyFont="1" applyBorder="1" applyAlignment="1" applyProtection="1">
      <alignment horizontal="center"/>
    </xf>
    <xf numFmtId="0" fontId="6" fillId="0" borderId="0" xfId="0" applyFont="1" applyFill="1" applyAlignment="1" applyProtection="1">
      <alignment vertical="top"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0" fillId="0" borderId="9" xfId="0" applyBorder="1"/>
    <xf numFmtId="178" fontId="1" fillId="0" borderId="0" xfId="0" applyNumberFormat="1" applyFont="1" applyAlignment="1" applyProtection="1">
      <alignment horizontal="lef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1" fontId="0" fillId="0" borderId="52" xfId="0" applyNumberFormat="1" applyBorder="1" applyProtection="1"/>
    <xf numFmtId="1" fontId="0" fillId="0" borderId="49" xfId="0" applyNumberFormat="1" applyBorder="1" applyProtection="1"/>
    <xf numFmtId="1" fontId="0" fillId="0" borderId="53" xfId="0" applyNumberFormat="1" applyBorder="1" applyProtection="1"/>
    <xf numFmtId="172" fontId="0" fillId="16" borderId="52" xfId="0" applyNumberFormat="1" applyFill="1" applyBorder="1" applyProtection="1">
      <protection locked="0"/>
    </xf>
    <xf numFmtId="172" fontId="0" fillId="16" borderId="49" xfId="0" applyNumberFormat="1" applyFill="1" applyBorder="1" applyProtection="1">
      <protection locked="0"/>
    </xf>
    <xf numFmtId="172" fontId="0" fillId="16" borderId="53" xfId="0" applyNumberFormat="1" applyFill="1" applyBorder="1" applyProtection="1">
      <protection locked="0"/>
    </xf>
    <xf numFmtId="2" fontId="0" fillId="16" borderId="52" xfId="0" applyNumberFormat="1" applyFill="1" applyBorder="1" applyAlignment="1" applyProtection="1">
      <alignment horizontal="center" vertical="center"/>
      <protection locked="0"/>
    </xf>
    <xf numFmtId="171" fontId="0" fillId="16" borderId="52" xfId="0" applyNumberFormat="1" applyFill="1" applyBorder="1" applyAlignment="1" applyProtection="1">
      <alignment horizontal="center" vertical="center"/>
      <protection locked="0"/>
    </xf>
    <xf numFmtId="171" fontId="0" fillId="16" borderId="25" xfId="0" applyNumberFormat="1" applyFill="1" applyBorder="1" applyAlignment="1" applyProtection="1">
      <alignment horizontal="center" vertical="center"/>
      <protection locked="0"/>
    </xf>
    <xf numFmtId="2" fontId="0" fillId="16" borderId="49" xfId="0" applyNumberFormat="1" applyFill="1" applyBorder="1" applyAlignment="1" applyProtection="1">
      <alignment horizontal="center" vertical="center"/>
      <protection locked="0"/>
    </xf>
    <xf numFmtId="171" fontId="0" fillId="16" borderId="49" xfId="0" applyNumberFormat="1" applyFill="1" applyBorder="1" applyAlignment="1" applyProtection="1">
      <alignment horizontal="center" vertical="center"/>
      <protection locked="0"/>
    </xf>
    <xf numFmtId="171" fontId="0" fillId="16" borderId="22" xfId="0" applyNumberFormat="1" applyFill="1" applyBorder="1" applyAlignment="1" applyProtection="1">
      <alignment horizontal="center" vertical="center"/>
      <protection locked="0"/>
    </xf>
    <xf numFmtId="2" fontId="0" fillId="16" borderId="53" xfId="0" applyNumberFormat="1" applyFill="1" applyBorder="1" applyAlignment="1" applyProtection="1">
      <alignment horizontal="center" vertical="center"/>
      <protection locked="0"/>
    </xf>
    <xf numFmtId="171" fontId="0" fillId="16" borderId="53" xfId="0" applyNumberFormat="1" applyFill="1" applyBorder="1" applyAlignment="1" applyProtection="1">
      <alignment horizontal="center" vertical="center"/>
      <protection locked="0"/>
    </xf>
    <xf numFmtId="171" fontId="0" fillId="16" borderId="50" xfId="0" applyNumberFormat="1" applyFill="1" applyBorder="1" applyAlignment="1" applyProtection="1">
      <alignment horizontal="center" vertical="center"/>
      <protection locked="0"/>
    </xf>
    <xf numFmtId="172" fontId="0" fillId="16" borderId="27" xfId="0" applyNumberFormat="1" applyFill="1" applyBorder="1" applyProtection="1">
      <protection locked="0"/>
    </xf>
    <xf numFmtId="172" fontId="0" fillId="16" borderId="24" xfId="0" applyNumberFormat="1" applyFill="1" applyBorder="1" applyProtection="1">
      <protection locked="0"/>
    </xf>
    <xf numFmtId="172" fontId="0" fillId="16" borderId="51" xfId="0" applyNumberFormat="1" applyFill="1" applyBorder="1" applyProtection="1">
      <protection locked="0"/>
    </xf>
    <xf numFmtId="1" fontId="0" fillId="9" borderId="54" xfId="0" applyNumberFormat="1" applyFill="1" applyBorder="1" applyAlignment="1" applyProtection="1">
      <alignment horizontal="center" vertical="center"/>
      <protection locked="0"/>
    </xf>
    <xf numFmtId="1" fontId="0" fillId="9" borderId="55" xfId="0" applyNumberFormat="1" applyFill="1" applyBorder="1" applyAlignment="1" applyProtection="1">
      <alignment horizontal="center" vertical="center"/>
      <protection locked="0"/>
    </xf>
    <xf numFmtId="0" fontId="0" fillId="0" borderId="13" xfId="0" applyBorder="1"/>
    <xf numFmtId="172" fontId="0" fillId="0" borderId="13" xfId="0" applyNumberFormat="1" applyBorder="1" applyAlignment="1">
      <alignment horizontal="center" vertical="center"/>
    </xf>
    <xf numFmtId="0" fontId="0" fillId="0" borderId="13" xfId="0" applyBorder="1" applyAlignment="1">
      <alignment horizontal="center" vertical="center"/>
    </xf>
    <xf numFmtId="4" fontId="0" fillId="0" borderId="13" xfId="0" applyNumberFormat="1" applyBorder="1" applyAlignment="1">
      <alignment horizontal="center" vertical="center"/>
    </xf>
    <xf numFmtId="165" fontId="0" fillId="0" borderId="13" xfId="0" applyNumberFormat="1" applyBorder="1" applyAlignment="1">
      <alignment horizontal="center" vertical="center"/>
    </xf>
    <xf numFmtId="3" fontId="0" fillId="0" borderId="13" xfId="0" applyNumberFormat="1" applyBorder="1"/>
    <xf numFmtId="173" fontId="0" fillId="0" borderId="13" xfId="0" applyNumberFormat="1" applyBorder="1" applyAlignment="1">
      <alignment horizontal="center" vertical="center"/>
    </xf>
    <xf numFmtId="172" fontId="0" fillId="0" borderId="11" xfId="0" applyNumberFormat="1" applyBorder="1" applyAlignment="1">
      <alignment horizontal="center" vertical="center"/>
    </xf>
    <xf numFmtId="4" fontId="0" fillId="0" borderId="11" xfId="0" applyNumberFormat="1" applyBorder="1" applyAlignment="1">
      <alignment horizontal="center" vertical="center"/>
    </xf>
    <xf numFmtId="165" fontId="0" fillId="0" borderId="11" xfId="0" applyNumberFormat="1" applyBorder="1" applyAlignment="1">
      <alignment horizontal="center" vertical="center"/>
    </xf>
    <xf numFmtId="3" fontId="0" fillId="0" borderId="11" xfId="0" applyNumberFormat="1" applyBorder="1"/>
    <xf numFmtId="172" fontId="2" fillId="0" borderId="11" xfId="0" applyNumberFormat="1" applyFont="1" applyBorder="1" applyAlignment="1">
      <alignment horizontal="center" vertical="center"/>
    </xf>
    <xf numFmtId="175" fontId="28" fillId="0" borderId="0" xfId="0" applyNumberFormat="1" applyFont="1" applyBorder="1" applyAlignment="1" applyProtection="1">
      <alignment horizontal="center" wrapText="1"/>
    </xf>
    <xf numFmtId="172" fontId="0" fillId="16" borderId="11" xfId="0" applyNumberFormat="1" applyFill="1" applyBorder="1" applyAlignment="1" applyProtection="1">
      <alignment horizontal="center" vertical="center"/>
      <protection locked="0"/>
    </xf>
    <xf numFmtId="175" fontId="2" fillId="0" borderId="11" xfId="0" applyNumberFormat="1" applyFont="1" applyBorder="1"/>
    <xf numFmtId="2" fontId="0" fillId="0" borderId="13" xfId="0" applyNumberFormat="1" applyBorder="1" applyAlignment="1">
      <alignment horizontal="center" vertical="center"/>
    </xf>
    <xf numFmtId="3" fontId="0" fillId="0" borderId="13" xfId="0" applyNumberFormat="1" applyBorder="1" applyAlignment="1">
      <alignment horizontal="center" vertical="center"/>
    </xf>
    <xf numFmtId="2" fontId="0" fillId="0" borderId="11" xfId="0" applyNumberFormat="1" applyBorder="1" applyAlignment="1">
      <alignment horizontal="center" vertical="center"/>
    </xf>
    <xf numFmtId="3" fontId="0" fillId="0" borderId="11" xfId="0" applyNumberFormat="1" applyBorder="1" applyAlignment="1">
      <alignment horizontal="center" vertical="center"/>
    </xf>
    <xf numFmtId="3" fontId="2" fillId="0" borderId="11" xfId="0" applyNumberFormat="1" applyFont="1" applyBorder="1" applyAlignment="1">
      <alignment horizontal="center" vertical="center"/>
    </xf>
    <xf numFmtId="10" fontId="0" fillId="0" borderId="13" xfId="0" applyNumberFormat="1" applyBorder="1" applyAlignment="1">
      <alignment horizontal="center" vertical="center"/>
    </xf>
    <xf numFmtId="10" fontId="0" fillId="0" borderId="11" xfId="0" applyNumberFormat="1" applyBorder="1" applyAlignment="1">
      <alignment horizontal="center" vertical="center"/>
    </xf>
    <xf numFmtId="10" fontId="2" fillId="0" borderId="11" xfId="0" applyNumberFormat="1" applyFont="1" applyBorder="1" applyAlignment="1">
      <alignment horizontal="center" vertical="center"/>
    </xf>
    <xf numFmtId="0" fontId="63" fillId="0" borderId="0" xfId="0" applyFont="1" applyAlignment="1">
      <alignment horizontal="center" vertical="center"/>
    </xf>
    <xf numFmtId="172" fontId="0" fillId="17" borderId="0" xfId="0" applyNumberFormat="1" applyFill="1" applyAlignment="1">
      <alignment horizontal="center" vertical="center"/>
    </xf>
    <xf numFmtId="0" fontId="64" fillId="0" borderId="0" xfId="0" applyFont="1"/>
    <xf numFmtId="171" fontId="0" fillId="0" borderId="13" xfId="0" applyNumberFormat="1" applyBorder="1" applyAlignment="1">
      <alignment horizontal="center" vertical="center"/>
    </xf>
    <xf numFmtId="171" fontId="0" fillId="0" borderId="11" xfId="0" applyNumberFormat="1" applyBorder="1" applyAlignment="1">
      <alignment horizontal="center" vertical="center"/>
    </xf>
    <xf numFmtId="0" fontId="65" fillId="0" borderId="0" xfId="12" applyFont="1" applyProtection="1"/>
    <xf numFmtId="174" fontId="0" fillId="0" borderId="0" xfId="9" applyNumberFormat="1" applyFont="1" applyFill="1" applyBorder="1" applyProtection="1">
      <protection locked="0"/>
    </xf>
    <xf numFmtId="174" fontId="0" fillId="0" borderId="0" xfId="0" applyNumberFormat="1" applyFill="1" applyBorder="1" applyProtection="1"/>
    <xf numFmtId="172" fontId="0" fillId="16" borderId="13" xfId="0" applyNumberFormat="1" applyFill="1" applyBorder="1" applyAlignment="1" applyProtection="1">
      <alignment horizontal="center" vertical="center"/>
      <protection locked="0"/>
    </xf>
    <xf numFmtId="175" fontId="0" fillId="0" borderId="13" xfId="0" applyNumberFormat="1" applyBorder="1"/>
    <xf numFmtId="44" fontId="0" fillId="4" borderId="9" xfId="9" applyNumberFormat="1" applyFont="1" applyFill="1" applyBorder="1" applyProtection="1">
      <protection locked="0"/>
    </xf>
    <xf numFmtId="166" fontId="17" fillId="0" borderId="9" xfId="6" applyNumberFormat="1" applyFont="1" applyFill="1" applyBorder="1" applyAlignment="1" applyProtection="1">
      <alignment horizontal="center" vertical="center"/>
    </xf>
    <xf numFmtId="166" fontId="17" fillId="7" borderId="9" xfId="6" applyNumberFormat="1" applyFont="1" applyFill="1" applyBorder="1" applyAlignment="1" applyProtection="1">
      <alignment horizontal="center" vertical="center"/>
    </xf>
    <xf numFmtId="166" fontId="12" fillId="0" borderId="9" xfId="5" applyNumberFormat="1" applyFont="1" applyFill="1" applyBorder="1" applyAlignment="1" applyProtection="1">
      <alignment horizontal="center" vertical="center"/>
    </xf>
    <xf numFmtId="166" fontId="17" fillId="7" borderId="20" xfId="6" applyNumberFormat="1" applyFont="1" applyFill="1" applyBorder="1" applyAlignment="1" applyProtection="1">
      <alignment horizontal="center" vertical="center"/>
    </xf>
    <xf numFmtId="166" fontId="17" fillId="5" borderId="10" xfId="6" applyNumberFormat="1" applyFont="1" applyFill="1" applyBorder="1" applyAlignment="1" applyProtection="1">
      <alignment horizontal="center" vertical="center"/>
    </xf>
    <xf numFmtId="166" fontId="17" fillId="5" borderId="12" xfId="6" applyNumberFormat="1" applyFont="1" applyFill="1" applyBorder="1" applyAlignment="1" applyProtection="1">
      <alignment horizontal="center" vertical="center"/>
    </xf>
    <xf numFmtId="166" fontId="12" fillId="0" borderId="9" xfId="6" applyNumberFormat="1" applyFont="1" applyFill="1" applyBorder="1" applyAlignment="1" applyProtection="1">
      <alignment horizontal="center" vertical="center"/>
    </xf>
    <xf numFmtId="166" fontId="21" fillId="0" borderId="9" xfId="6" applyNumberFormat="1" applyFont="1" applyFill="1" applyBorder="1" applyAlignment="1" applyProtection="1">
      <alignment horizontal="center" vertical="center"/>
    </xf>
    <xf numFmtId="0" fontId="13" fillId="0" borderId="0" xfId="0" applyFont="1" applyFill="1" applyAlignment="1" applyProtection="1">
      <alignment horizontal="left" vertical="center" wrapText="1"/>
    </xf>
    <xf numFmtId="0" fontId="5" fillId="0" borderId="0" xfId="0" applyFont="1" applyAlignment="1" applyProtection="1">
      <alignment horizontal="right" vertical="center" wrapText="1" indent="2"/>
    </xf>
    <xf numFmtId="0" fontId="5" fillId="0" borderId="0" xfId="0" applyFont="1" applyBorder="1" applyAlignment="1" applyProtection="1">
      <alignment horizontal="right" vertical="center" wrapText="1" indent="2"/>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0" borderId="4" xfId="0" applyFont="1" applyBorder="1" applyAlignment="1" applyProtection="1">
      <alignment horizontal="right" vertical="center" wrapText="1" indent="2"/>
    </xf>
    <xf numFmtId="0" fontId="5" fillId="8" borderId="1" xfId="0" applyNumberFormat="1" applyFont="1" applyFill="1" applyBorder="1" applyAlignment="1" applyProtection="1">
      <alignment horizontal="center" vertical="center"/>
      <protection locked="0"/>
    </xf>
    <xf numFmtId="0" fontId="5" fillId="8" borderId="2" xfId="0" applyNumberFormat="1" applyFont="1" applyFill="1" applyBorder="1" applyAlignment="1" applyProtection="1">
      <alignment horizontal="center" vertical="center"/>
      <protection locked="0"/>
    </xf>
    <xf numFmtId="0" fontId="5" fillId="8"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vertical="top" wrapText="1"/>
    </xf>
    <xf numFmtId="10" fontId="5" fillId="8" borderId="1" xfId="0" applyNumberFormat="1" applyFont="1" applyFill="1" applyBorder="1" applyAlignment="1" applyProtection="1">
      <alignment horizontal="center" vertical="center"/>
      <protection locked="0"/>
    </xf>
    <xf numFmtId="10" fontId="5" fillId="8" borderId="2" xfId="0" applyNumberFormat="1" applyFont="1" applyFill="1" applyBorder="1" applyAlignment="1" applyProtection="1">
      <alignment horizontal="center" vertical="center"/>
      <protection locked="0"/>
    </xf>
    <xf numFmtId="10" fontId="5" fillId="8" borderId="3" xfId="0" applyNumberFormat="1" applyFont="1" applyFill="1" applyBorder="1" applyAlignment="1" applyProtection="1">
      <alignment horizontal="center" vertical="center"/>
      <protection locked="0"/>
    </xf>
    <xf numFmtId="10" fontId="5" fillId="2" borderId="1" xfId="0" applyNumberFormat="1" applyFont="1" applyFill="1" applyBorder="1" applyAlignment="1" applyProtection="1">
      <alignment horizontal="center" vertical="center"/>
    </xf>
    <xf numFmtId="10" fontId="5" fillId="2" borderId="2" xfId="0" applyNumberFormat="1" applyFont="1" applyFill="1" applyBorder="1" applyAlignment="1" applyProtection="1">
      <alignment horizontal="center" vertical="center"/>
    </xf>
    <xf numFmtId="10" fontId="5" fillId="2" borderId="3"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0" fillId="0" borderId="0" xfId="0" applyAlignment="1" applyProtection="1">
      <alignment horizontal="left"/>
    </xf>
    <xf numFmtId="0" fontId="12" fillId="0" borderId="8"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0" xfId="0" applyFont="1" applyAlignment="1" applyProtection="1">
      <alignment horizontal="left" wrapText="1"/>
    </xf>
    <xf numFmtId="0" fontId="0" fillId="0" borderId="0" xfId="0" applyAlignment="1" applyProtection="1">
      <alignment horizontal="left" wrapText="1"/>
    </xf>
    <xf numFmtId="0"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4" borderId="1" xfId="0" applyNumberFormat="1" applyFont="1" applyFill="1" applyBorder="1" applyAlignment="1" applyProtection="1">
      <alignment horizontal="center" vertical="center"/>
      <protection locked="0"/>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7" fillId="8" borderId="1" xfId="1" applyNumberFormat="1" applyFill="1" applyBorder="1" applyAlignment="1" applyProtection="1">
      <alignment horizontal="left" vertical="center"/>
      <protection locked="0"/>
    </xf>
    <xf numFmtId="0" fontId="7" fillId="8" borderId="2" xfId="1" applyNumberFormat="1" applyFill="1" applyBorder="1" applyAlignment="1" applyProtection="1">
      <alignment horizontal="left" vertical="center"/>
      <protection locked="0"/>
    </xf>
    <xf numFmtId="0" fontId="7" fillId="8" borderId="3" xfId="1" applyNumberFormat="1" applyFill="1" applyBorder="1" applyAlignment="1" applyProtection="1">
      <alignment horizontal="left" vertical="center"/>
      <protection locked="0"/>
    </xf>
    <xf numFmtId="0" fontId="6" fillId="15" borderId="0" xfId="0" applyFont="1" applyFill="1" applyAlignment="1" applyProtection="1">
      <alignment horizontal="left" vertical="top" wrapText="1"/>
    </xf>
    <xf numFmtId="0" fontId="24" fillId="9" borderId="22" xfId="0" applyFont="1" applyFill="1" applyBorder="1" applyAlignment="1" applyProtection="1">
      <protection locked="0"/>
    </xf>
    <xf numFmtId="0" fontId="24" fillId="9" borderId="23" xfId="0" applyFont="1" applyFill="1" applyBorder="1" applyAlignment="1" applyProtection="1">
      <protection locked="0"/>
    </xf>
    <xf numFmtId="0" fontId="24" fillId="9" borderId="24" xfId="0" applyFont="1" applyFill="1" applyBorder="1" applyAlignment="1" applyProtection="1">
      <protection locked="0"/>
    </xf>
    <xf numFmtId="0" fontId="24" fillId="9" borderId="22" xfId="0" applyFont="1" applyFill="1" applyBorder="1" applyAlignment="1" applyProtection="1">
      <alignment vertical="center"/>
      <protection locked="0"/>
    </xf>
    <xf numFmtId="0" fontId="24" fillId="9" borderId="23" xfId="0" applyFont="1" applyFill="1" applyBorder="1" applyAlignment="1" applyProtection="1">
      <alignment vertical="center"/>
      <protection locked="0"/>
    </xf>
    <xf numFmtId="0" fontId="24" fillId="9" borderId="24" xfId="0" applyFont="1" applyFill="1" applyBorder="1" applyAlignment="1" applyProtection="1">
      <alignment vertical="center"/>
      <protection locked="0"/>
    </xf>
    <xf numFmtId="49" fontId="5" fillId="0" borderId="0" xfId="0" applyNumberFormat="1" applyFont="1" applyAlignment="1" applyProtection="1">
      <alignment horizontal="left" vertical="top" wrapText="1"/>
    </xf>
    <xf numFmtId="0" fontId="2" fillId="9" borderId="50" xfId="0" applyFont="1" applyFill="1" applyBorder="1" applyAlignment="1" applyProtection="1">
      <alignment horizontal="left" vertical="center"/>
    </xf>
    <xf numFmtId="0" fontId="2" fillId="9" borderId="33" xfId="0" applyFont="1" applyFill="1" applyBorder="1" applyAlignment="1" applyProtection="1">
      <alignment horizontal="left" vertical="center"/>
    </xf>
    <xf numFmtId="0" fontId="2" fillId="9" borderId="51" xfId="0" applyFont="1" applyFill="1" applyBorder="1" applyAlignment="1" applyProtection="1">
      <alignment horizontal="left" vertical="center"/>
    </xf>
    <xf numFmtId="0" fontId="29" fillId="0" borderId="0" xfId="0" applyFont="1" applyAlignment="1" applyProtection="1">
      <alignment horizontal="left" vertical="top" wrapText="1"/>
    </xf>
    <xf numFmtId="0" fontId="30" fillId="0" borderId="0" xfId="0" applyFont="1" applyBorder="1" applyAlignment="1" applyProtection="1">
      <alignment horizontal="center" vertical="center"/>
    </xf>
    <xf numFmtId="0" fontId="30" fillId="0" borderId="6" xfId="0" applyFont="1" applyBorder="1" applyAlignment="1">
      <alignment horizontal="center" vertical="center"/>
    </xf>
    <xf numFmtId="0" fontId="38" fillId="0" borderId="6" xfId="12" applyFont="1" applyBorder="1" applyAlignment="1" applyProtection="1">
      <alignment horizontal="center" wrapText="1"/>
    </xf>
    <xf numFmtId="0" fontId="30" fillId="0" borderId="6" xfId="0" quotePrefix="1" applyFont="1" applyBorder="1" applyAlignment="1">
      <alignment horizontal="center" vertical="center" wrapText="1"/>
    </xf>
    <xf numFmtId="0" fontId="30" fillId="0" borderId="6" xfId="0" quotePrefix="1" applyFont="1" applyBorder="1" applyAlignment="1">
      <alignment horizontal="center" vertical="center"/>
    </xf>
    <xf numFmtId="10" fontId="2" fillId="0" borderId="0" xfId="0" applyNumberFormat="1" applyFont="1" applyAlignment="1">
      <alignment horizontal="left" vertical="top" wrapText="1"/>
    </xf>
    <xf numFmtId="0" fontId="30" fillId="0" borderId="6" xfId="0" applyFont="1" applyBorder="1" applyAlignment="1">
      <alignment horizontal="center" vertical="center" wrapText="1"/>
    </xf>
    <xf numFmtId="0" fontId="42" fillId="0" borderId="0" xfId="12" applyFont="1" applyAlignment="1" applyProtection="1">
      <alignment horizontal="center" vertical="center"/>
    </xf>
    <xf numFmtId="0" fontId="33" fillId="0" borderId="0" xfId="12" applyAlignment="1" applyProtection="1">
      <alignment horizontal="left" wrapText="1"/>
    </xf>
    <xf numFmtId="0" fontId="2" fillId="11" borderId="0" xfId="0" applyFont="1" applyFill="1" applyAlignment="1">
      <alignment horizontal="center"/>
    </xf>
    <xf numFmtId="0" fontId="48" fillId="11" borderId="34" xfId="0" applyFont="1" applyFill="1" applyBorder="1" applyAlignment="1">
      <alignment horizontal="center"/>
    </xf>
    <xf numFmtId="0" fontId="48" fillId="11" borderId="35" xfId="0" applyFont="1" applyFill="1" applyBorder="1" applyAlignment="1">
      <alignment horizontal="center"/>
    </xf>
    <xf numFmtId="0" fontId="48" fillId="11" borderId="36" xfId="0" applyFont="1" applyFill="1" applyBorder="1" applyAlignment="1">
      <alignment horizontal="center"/>
    </xf>
    <xf numFmtId="0" fontId="2" fillId="5" borderId="0" xfId="0" applyFont="1" applyFill="1" applyAlignment="1">
      <alignment horizontal="center" vertical="center"/>
    </xf>
    <xf numFmtId="0" fontId="2" fillId="5" borderId="13" xfId="0" applyFont="1" applyFill="1" applyBorder="1" applyAlignment="1">
      <alignment horizontal="center" vertical="center"/>
    </xf>
    <xf numFmtId="0" fontId="2" fillId="0" borderId="0" xfId="0" applyFont="1" applyAlignment="1" applyProtection="1">
      <alignment horizontal="center" wrapText="1"/>
    </xf>
    <xf numFmtId="0" fontId="2" fillId="5" borderId="0" xfId="0" applyFont="1" applyFill="1" applyAlignment="1" applyProtection="1">
      <alignment horizontal="center"/>
    </xf>
    <xf numFmtId="0" fontId="2" fillId="0" borderId="0" xfId="0" applyFont="1" applyAlignment="1" applyProtection="1">
      <alignment horizontal="center"/>
    </xf>
    <xf numFmtId="0" fontId="48" fillId="13" borderId="34" xfId="0" applyFont="1" applyFill="1" applyBorder="1" applyAlignment="1" applyProtection="1">
      <alignment horizontal="center"/>
    </xf>
    <xf numFmtId="0" fontId="48" fillId="13" borderId="35" xfId="0" applyFont="1" applyFill="1" applyBorder="1" applyAlignment="1" applyProtection="1">
      <alignment horizontal="center"/>
    </xf>
    <xf numFmtId="0" fontId="48" fillId="13" borderId="36" xfId="0" applyFont="1" applyFill="1" applyBorder="1" applyAlignment="1" applyProtection="1">
      <alignment horizontal="center"/>
    </xf>
    <xf numFmtId="0" fontId="2" fillId="5" borderId="0" xfId="0" applyFont="1" applyFill="1" applyAlignment="1" applyProtection="1">
      <alignment horizontal="center" vertical="center"/>
    </xf>
    <xf numFmtId="0" fontId="2" fillId="0" borderId="0" xfId="0" applyFont="1" applyAlignment="1" applyProtection="1">
      <alignment horizontal="center" vertical="center"/>
    </xf>
    <xf numFmtId="0" fontId="47" fillId="11" borderId="0" xfId="0" applyFont="1" applyFill="1" applyAlignment="1" applyProtection="1">
      <alignment horizontal="center"/>
    </xf>
    <xf numFmtId="0" fontId="2" fillId="0" borderId="0" xfId="0" applyFont="1" applyAlignment="1" applyProtection="1">
      <alignment horizontal="center" vertical="center" wrapText="1"/>
    </xf>
    <xf numFmtId="0" fontId="47" fillId="11" borderId="0" xfId="0" applyFont="1" applyFill="1" applyAlignment="1" applyProtection="1">
      <alignment horizontal="center" vertical="center"/>
    </xf>
    <xf numFmtId="0" fontId="47"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4" fontId="52" fillId="6" borderId="0" xfId="13" applyNumberFormat="1" applyFont="1" applyFill="1" applyBorder="1" applyAlignment="1" applyProtection="1">
      <alignment horizontal="center" vertical="center"/>
    </xf>
    <xf numFmtId="174" fontId="52" fillId="6" borderId="43" xfId="13" applyNumberFormat="1" applyFont="1" applyFill="1" applyBorder="1" applyAlignment="1" applyProtection="1">
      <alignment horizontal="center" vertical="center"/>
    </xf>
    <xf numFmtId="0" fontId="53" fillId="5" borderId="0" xfId="0" applyFont="1" applyFill="1" applyBorder="1" applyAlignment="1" applyProtection="1">
      <alignment horizontal="center"/>
    </xf>
    <xf numFmtId="174" fontId="52" fillId="6" borderId="8" xfId="13" applyNumberFormat="1" applyFont="1" applyFill="1" applyBorder="1" applyAlignment="1" applyProtection="1">
      <alignment horizontal="left" vertical="center" wrapText="1"/>
    </xf>
    <xf numFmtId="174" fontId="52" fillId="6" borderId="0" xfId="13" applyNumberFormat="1" applyFont="1" applyFill="1" applyBorder="1" applyAlignment="1" applyProtection="1">
      <alignment horizontal="left" vertical="center" wrapText="1"/>
    </xf>
    <xf numFmtId="0" fontId="55" fillId="0" borderId="0" xfId="0" applyFont="1" applyAlignment="1">
      <alignment horizontal="left" vertical="top"/>
    </xf>
  </cellXfs>
  <cellStyles count="15">
    <cellStyle name="Comma 2" xfId="10"/>
    <cellStyle name="Currency 2" xfId="9"/>
    <cellStyle name="Currency 3" xfId="13"/>
    <cellStyle name="Currency_Final - 2004 RAM for rate schedule - milton_2008_IRM_Model_Final Model_Version2.0" xfId="6"/>
    <cellStyle name="Hyperlink" xfId="1" builtinId="8"/>
    <cellStyle name="Normal" xfId="0" builtinId="0"/>
    <cellStyle name="Normal 6" xfId="12"/>
    <cellStyle name="Normal_14. Bill Impacts" xfId="5"/>
    <cellStyle name="Normal_3. Rate Class Selection" xfId="8"/>
    <cellStyle name="Normal_Core Model Version 0.1" xfId="11"/>
    <cellStyle name="Normal_lists" xfId="3"/>
    <cellStyle name="Normal_lists_1" xfId="4"/>
    <cellStyle name="Normal_Sheet1" xfId="7"/>
    <cellStyle name="Percent" xfId="2" builtinId="5"/>
    <cellStyle name="Percent 4" xfId="14"/>
  </cellStyles>
  <dxfs count="57">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auto="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1"/>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style="thin">
          <color auto="1"/>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border>
        <left style="thin">
          <color auto="1"/>
        </left>
      </border>
    </dxf>
    <dxf>
      <font>
        <color theme="0"/>
      </font>
      <fill>
        <patternFill patternType="none">
          <bgColor auto="1"/>
        </patternFill>
      </fill>
      <border>
        <left/>
        <right/>
        <top/>
        <bottom/>
        <vertical/>
        <horizontal/>
      </border>
    </dxf>
    <dxf>
      <font>
        <color theme="0"/>
      </font>
      <border>
        <left style="thin">
          <color auto="1"/>
        </left>
        <right/>
        <top/>
        <bottom/>
        <vertical/>
        <horizontal/>
      </border>
    </dxf>
    <dxf>
      <font>
        <color theme="0"/>
      </font>
      <fill>
        <patternFill patternType="none">
          <bgColor auto="1"/>
        </patternFill>
      </fill>
      <border>
        <left/>
        <right/>
        <top/>
        <bottom/>
        <vertical/>
        <horizontal/>
      </border>
    </dxf>
    <dxf>
      <fill>
        <patternFill>
          <bgColor indexed="10"/>
        </patternFill>
      </fill>
    </dxf>
    <dxf>
      <fill>
        <patternFill>
          <bgColor indexed="1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9524" y="19051"/>
          <a:ext cx="12785861" cy="1924049"/>
          <a:chOff x="9524" y="19051"/>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276225</xdr:colOff>
      <xdr:row>10</xdr:row>
      <xdr:rowOff>19049</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9277350" cy="1924049"/>
          <a:chOff x="9524" y="19051"/>
          <a:chExt cx="10364524"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B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127420</xdr:colOff>
      <xdr:row>8</xdr:row>
      <xdr:rowOff>9525</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95250" y="344805"/>
          <a:ext cx="9298090"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5</xdr:col>
      <xdr:colOff>123825</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B00-000007000000}"/>
            </a:ext>
          </a:extLst>
        </xdr:cNvPr>
        <xdr:cNvSpPr txBox="1"/>
      </xdr:nvSpPr>
      <xdr:spPr>
        <a:xfrm>
          <a:off x="114300" y="1384935"/>
          <a:ext cx="9275445"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EE75E1D5-2A03-45D3-B963-293AAFC2F3F4}"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1261110</xdr:colOff>
      <xdr:row>9</xdr:row>
      <xdr:rowOff>66674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9885998" cy="1833562"/>
          <a:chOff x="9524" y="19051"/>
          <a:chExt cx="10364524"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C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5</xdr:col>
      <xdr:colOff>1064680</xdr:colOff>
      <xdr:row>7</xdr:row>
      <xdr:rowOff>57150</xdr:rowOff>
    </xdr:to>
    <xdr:sp macro="" textlink="">
      <xdr:nvSpPr>
        <xdr:cNvPr id="6" name="Rectangle 5">
          <a:extLst>
            <a:ext uri="{FF2B5EF4-FFF2-40B4-BE49-F238E27FC236}">
              <a16:creationId xmlns:a16="http://schemas.microsoft.com/office/drawing/2014/main" id="{00000000-0008-0000-0C00-000006000000}"/>
            </a:ext>
          </a:extLst>
        </xdr:cNvPr>
        <xdr:cNvSpPr/>
      </xdr:nvSpPr>
      <xdr:spPr>
        <a:xfrm>
          <a:off x="95250" y="344805"/>
          <a:ext cx="9237130" cy="112204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6</xdr:row>
      <xdr:rowOff>152400</xdr:rowOff>
    </xdr:from>
    <xdr:to>
      <xdr:col>5</xdr:col>
      <xdr:colOff>1061085</xdr:colOff>
      <xdr:row>9</xdr:row>
      <xdr:rowOff>28162</xdr:rowOff>
    </xdr:to>
    <xdr:sp macro="" textlink="'1. Information Sheet'!AA1" fLocksText="0">
      <xdr:nvSpPr>
        <xdr:cNvPr id="7" name="TextBox 6">
          <a:extLst>
            <a:ext uri="{FF2B5EF4-FFF2-40B4-BE49-F238E27FC236}">
              <a16:creationId xmlns:a16="http://schemas.microsoft.com/office/drawing/2014/main" id="{00000000-0008-0000-0C00-000007000000}"/>
            </a:ext>
          </a:extLst>
        </xdr:cNvPr>
        <xdr:cNvSpPr txBox="1"/>
      </xdr:nvSpPr>
      <xdr:spPr>
        <a:xfrm>
          <a:off x="114300" y="1379220"/>
          <a:ext cx="9214485" cy="42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42F9C09-1404-4318-9CF1-7E942C1626E6}"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247650</xdr:colOff>
      <xdr:row>10</xdr:row>
      <xdr:rowOff>19049</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9948863" cy="1828799"/>
          <a:chOff x="9524" y="19051"/>
          <a:chExt cx="10364524"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D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95250</xdr:colOff>
      <xdr:row>1</xdr:row>
      <xdr:rowOff>161925</xdr:rowOff>
    </xdr:from>
    <xdr:to>
      <xdr:col>6</xdr:col>
      <xdr:colOff>98845</xdr:colOff>
      <xdr:row>8</xdr:row>
      <xdr:rowOff>9525</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95250" y="344805"/>
          <a:ext cx="9307615" cy="112776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editAs="absolute">
    <xdr:from>
      <xdr:col>0</xdr:col>
      <xdr:colOff>114300</xdr:colOff>
      <xdr:row>7</xdr:row>
      <xdr:rowOff>104775</xdr:rowOff>
    </xdr:from>
    <xdr:to>
      <xdr:col>6</xdr:col>
      <xdr:colOff>95250</xdr:colOff>
      <xdr:row>9</xdr:row>
      <xdr:rowOff>171037</xdr:rowOff>
    </xdr:to>
    <xdr:sp macro="" textlink="'1. Information Sheet'!AA1" fLocksText="0">
      <xdr:nvSpPr>
        <xdr:cNvPr id="7" name="TextBox 6">
          <a:extLst>
            <a:ext uri="{FF2B5EF4-FFF2-40B4-BE49-F238E27FC236}">
              <a16:creationId xmlns:a16="http://schemas.microsoft.com/office/drawing/2014/main" id="{00000000-0008-0000-0D00-000007000000}"/>
            </a:ext>
          </a:extLst>
        </xdr:cNvPr>
        <xdr:cNvSpPr txBox="1"/>
      </xdr:nvSpPr>
      <xdr:spPr>
        <a:xfrm>
          <a:off x="114300" y="1384935"/>
          <a:ext cx="9284970" cy="43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788DF7A1-DC0E-4308-A1C7-79B4E30E7A0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3311</xdr:colOff>
      <xdr:row>10</xdr:row>
      <xdr:rowOff>10767</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0" y="1"/>
          <a:ext cx="9213986" cy="1830041"/>
          <a:chOff x="200024" y="4499942"/>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300-000004000000}"/>
              </a:ext>
            </a:extLst>
          </xdr:cNvPr>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8D21B0-EA1B-4E8C-8500-FA082BE28C99}"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3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xdr:from>
          <xdr:col>15</xdr:col>
          <xdr:colOff>352425</xdr:colOff>
          <xdr:row>15</xdr:row>
          <xdr:rowOff>85725</xdr:rowOff>
        </xdr:from>
        <xdr:to>
          <xdr:col>16</xdr:col>
          <xdr:colOff>466725</xdr:colOff>
          <xdr:row>16</xdr:row>
          <xdr:rowOff>161925</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CA" sz="1100" b="0" i="0" u="none" strike="noStrike" baseline="0">
                  <a:solidFill>
                    <a:srgbClr val="000000"/>
                  </a:solidFill>
                  <a:latin typeface="Calibri"/>
                  <a:cs typeface="Calibri"/>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1332670</xdr:colOff>
      <xdr:row>10</xdr:row>
      <xdr:rowOff>1241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0" y="0"/>
          <a:ext cx="9395583" cy="1830041"/>
          <a:chOff x="200024" y="4499942"/>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4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A3C24FF-601E-400B-91DC-EAA337C0B5FB}"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a:xfrm>
            <a:off x="346760" y="484907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4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275395</xdr:colOff>
      <xdr:row>10</xdr:row>
      <xdr:rowOff>10766</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0" y="0"/>
          <a:ext cx="9467020" cy="1820516"/>
          <a:chOff x="200024" y="4499942"/>
          <a:chExt cx="8857420" cy="1915766"/>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500-000004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5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5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66675</xdr:rowOff>
    </xdr:from>
    <xdr:to>
      <xdr:col>5</xdr:col>
      <xdr:colOff>82990</xdr:colOff>
      <xdr:row>4</xdr:row>
      <xdr:rowOff>191741</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57150" y="66675"/>
          <a:ext cx="9446065" cy="1839566"/>
          <a:chOff x="200024" y="4499942"/>
          <a:chExt cx="8857420" cy="1915766"/>
        </a:xfrm>
      </xdr:grpSpPr>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9" name="TextBox 8">
            <a:extLst>
              <a:ext uri="{FF2B5EF4-FFF2-40B4-BE49-F238E27FC236}">
                <a16:creationId xmlns:a16="http://schemas.microsoft.com/office/drawing/2014/main" id="{00000000-0008-0000-0600-000009000000}"/>
              </a:ext>
            </a:extLst>
          </xdr:cNvPr>
          <xdr:cNvSpPr txBox="1"/>
        </xdr:nvSpPr>
        <xdr:spPr>
          <a:xfrm>
            <a:off x="314739" y="581439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9BF0A0AB-144D-45F9-ADB0-5ADD02553265}"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0" name="Rectangle 9">
            <a:extLst>
              <a:ext uri="{FF2B5EF4-FFF2-40B4-BE49-F238E27FC236}">
                <a16:creationId xmlns:a16="http://schemas.microsoft.com/office/drawing/2014/main" id="{00000000-0008-0000-0600-00000A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angle 11">
            <a:extLst>
              <a:ext uri="{FF2B5EF4-FFF2-40B4-BE49-F238E27FC236}">
                <a16:creationId xmlns:a16="http://schemas.microsoft.com/office/drawing/2014/main" id="{00000000-0008-0000-0600-00000C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418270</xdr:colOff>
      <xdr:row>10</xdr:row>
      <xdr:rowOff>10766</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0" y="0"/>
          <a:ext cx="9452733" cy="1820516"/>
          <a:chOff x="200024" y="4499942"/>
          <a:chExt cx="8857420" cy="1915766"/>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7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21160D89-7702-44FB-BA40-F1EFB0EEB16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7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465895</xdr:colOff>
      <xdr:row>10</xdr:row>
      <xdr:rowOff>10766</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0"/>
          <a:ext cx="9455114" cy="1796704"/>
          <a:chOff x="200024" y="4499942"/>
          <a:chExt cx="8857420" cy="1915766"/>
        </a:xfrm>
      </xdr:grpSpPr>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 Information Sheet'!AA1" fLocksText="0">
        <xdr:nvSpPr>
          <xdr:cNvPr id="4" name="TextBox 3">
            <a:extLst>
              <a:ext uri="{FF2B5EF4-FFF2-40B4-BE49-F238E27FC236}">
                <a16:creationId xmlns:a16="http://schemas.microsoft.com/office/drawing/2014/main" id="{00000000-0008-0000-0800-000004000000}"/>
              </a:ext>
            </a:extLst>
          </xdr:cNvPr>
          <xdr:cNvSpPr txBox="1"/>
        </xdr:nvSpPr>
        <xdr:spPr>
          <a:xfrm>
            <a:off x="314739" y="5871542"/>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1B350EA3-3DAF-48DC-BC08-0A7B8A8A0921}"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a:extLst>
              <a:ext uri="{FF2B5EF4-FFF2-40B4-BE49-F238E27FC236}">
                <a16:creationId xmlns:a16="http://schemas.microsoft.com/office/drawing/2014/main" id="{00000000-0008-0000-0800-000005000000}"/>
              </a:ext>
            </a:extLst>
          </xdr:cNvPr>
          <xdr:cNvSpPr/>
        </xdr:nvSpPr>
        <xdr:spPr>
          <a:xfrm>
            <a:off x="346760" y="4830028"/>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800-000007000000}"/>
              </a:ext>
            </a:extLst>
          </xdr:cNvPr>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7</xdr:row>
      <xdr:rowOff>9524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0" y="0"/>
          <a:ext cx="10691813" cy="1919287"/>
          <a:chOff x="9524" y="19051"/>
          <a:chExt cx="10364524" cy="1915766"/>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9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95250</xdr:colOff>
      <xdr:row>1</xdr:row>
      <xdr:rowOff>161925</xdr:rowOff>
    </xdr:from>
    <xdr:to>
      <xdr:col>5</xdr:col>
      <xdr:colOff>2461045</xdr:colOff>
      <xdr:row>5</xdr:row>
      <xdr:rowOff>0</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95250" y="352425"/>
          <a:ext cx="9947695" cy="115633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p>
      </xdr:txBody>
    </xdr:sp>
    <xdr:clientData/>
  </xdr:twoCellAnchor>
  <xdr:twoCellAnchor>
    <xdr:from>
      <xdr:col>0</xdr:col>
      <xdr:colOff>114300</xdr:colOff>
      <xdr:row>4</xdr:row>
      <xdr:rowOff>276225</xdr:rowOff>
    </xdr:from>
    <xdr:to>
      <xdr:col>5</xdr:col>
      <xdr:colOff>2457450</xdr:colOff>
      <xdr:row>6</xdr:row>
      <xdr:rowOff>161512</xdr:rowOff>
    </xdr:to>
    <xdr:sp macro="" textlink="'1. Information Sheet'!AA1" fLocksText="0">
      <xdr:nvSpPr>
        <xdr:cNvPr id="7" name="TextBox 6">
          <a:extLst>
            <a:ext uri="{FF2B5EF4-FFF2-40B4-BE49-F238E27FC236}">
              <a16:creationId xmlns:a16="http://schemas.microsoft.com/office/drawing/2014/main" id="{00000000-0008-0000-0900-000007000000}"/>
            </a:ext>
          </a:extLst>
        </xdr:cNvPr>
        <xdr:cNvSpPr txBox="1"/>
      </xdr:nvSpPr>
      <xdr:spPr>
        <a:xfrm>
          <a:off x="114300" y="1419225"/>
          <a:ext cx="9925050" cy="441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F25BC42C-6B66-46BC-9AA2-FC76FEABDE9E}"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twoCellAnchor>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panose="02040503050406030204" pitchFamily="18" charset="0"/>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panose="02040503050406030204" pitchFamily="18" charset="0"/>
                          </a:rPr>
                        </m:ctrlPr>
                      </m:dPr>
                      <m:e>
                        <m:d>
                          <m:dPr>
                            <m:ctrlPr>
                              <a:rPr lang="en-CA" sz="1200" b="1" i="1">
                                <a:latin typeface="Cambria Math" panose="02040503050406030204" pitchFamily="18" charset="0"/>
                              </a:rPr>
                            </m:ctrlPr>
                          </m:dPr>
                          <m:e>
                            <m:f>
                              <m:fPr>
                                <m:ctrlPr>
                                  <a:rPr lang="en-CA" sz="1200" b="1" i="1">
                                    <a:latin typeface="Cambria Math" panose="02040503050406030204" pitchFamily="18" charset="0"/>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panose="02040503050406030204" pitchFamily="18" charset="0"/>
                            <a:ea typeface="Cambria Math"/>
                          </a:rPr>
                        </m:ctrlPr>
                      </m:dPr>
                      <m:e>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panose="02040503050406030204" pitchFamily="18" charset="0"/>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278130" y="2574607"/>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a:t>
              </a:r>
              <a:r>
                <a:rPr lang="en-CA" sz="1200" b="1" i="0">
                  <a:latin typeface="Cambria Math" panose="02040503050406030204" pitchFamily="18" charset="0"/>
                </a:rPr>
                <a:t>(</a:t>
              </a:r>
              <a:r>
                <a:rPr lang="en-CA" sz="1200" b="1" i="0">
                  <a:latin typeface="Cambria Math"/>
                </a:rPr>
                <a:t>%</a:t>
              </a:r>
              <a:r>
                <a:rPr lang="en-CA" sz="1200" b="1" i="0">
                  <a:latin typeface="Cambria Math" panose="02040503050406030204" pitchFamily="18" charset="0"/>
                </a:rPr>
                <a:t>)</a:t>
              </a:r>
              <a:r>
                <a:rPr lang="en-CA" sz="1200" b="1" i="0">
                  <a:latin typeface="Cambria Math"/>
                </a:rPr>
                <a:t>=𝟏+</a:t>
              </a:r>
              <a:r>
                <a:rPr lang="en-CA" sz="1200" b="1" i="0">
                  <a:latin typeface="Cambria Math" panose="02040503050406030204" pitchFamily="18" charset="0"/>
                </a:rPr>
                <a:t>[(</a:t>
              </a:r>
              <a:r>
                <a:rPr lang="en-CA" sz="1200" b="1" i="0">
                  <a:latin typeface="Cambria Math"/>
                </a:rPr>
                <a:t>𝑹𝑩</a:t>
              </a:r>
              <a:r>
                <a:rPr lang="en-CA" sz="1200" b="1" i="0">
                  <a:latin typeface="Cambria Math" panose="02040503050406030204" pitchFamily="18" charset="0"/>
                </a:rPr>
                <a:t>/</a:t>
              </a:r>
              <a:r>
                <a:rPr lang="en-CA" sz="1200" b="1" i="0">
                  <a:latin typeface="Cambria Math"/>
                </a:rPr>
                <a:t>𝒅</a:t>
              </a:r>
              <a:r>
                <a:rPr lang="en-CA" sz="1200" b="1" i="0">
                  <a:latin typeface="Cambria Math" panose="02040503050406030204" pitchFamily="18" charset="0"/>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𝒈+𝑷𝑪𝑰×(𝟏+𝒈)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𝟏+𝒈</a:t>
              </a:r>
              <a:r>
                <a:rPr lang="en-CA" sz="1200" b="1" i="0">
                  <a:latin typeface="Cambria Math" panose="02040503050406030204" pitchFamily="18" charset="0"/>
                  <a:ea typeface="Cambria Math"/>
                </a:rPr>
                <a:t>)</a:t>
              </a:r>
              <a:r>
                <a:rPr lang="en-CA" sz="1200" b="1" i="0">
                  <a:latin typeface="Cambria Math"/>
                  <a:ea typeface="Cambria Math"/>
                </a:rPr>
                <a:t>×</a:t>
              </a:r>
              <a:r>
                <a:rPr lang="en-CA" sz="1200" b="1" i="0">
                  <a:latin typeface="Cambria Math" panose="02040503050406030204" pitchFamily="18" charset="0"/>
                  <a:ea typeface="Cambria Math"/>
                </a:rPr>
                <a:t>(</a:t>
              </a:r>
              <a:r>
                <a:rPr lang="en-CA" sz="1200" b="1" i="0">
                  <a:latin typeface="Cambria Math"/>
                  <a:ea typeface="Cambria Math"/>
                </a:rPr>
                <a:t>𝟏+𝑷𝑪𝑰</a:t>
              </a:r>
              <a:r>
                <a:rPr lang="en-CA" sz="1200" b="1" i="0">
                  <a:latin typeface="Cambria Math" panose="02040503050406030204" pitchFamily="18" charset="0"/>
                  <a:ea typeface="Cambria Math"/>
                </a:rPr>
                <a:t>))</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7672387" y="359187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7729536" y="4435792"/>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7739062" y="10126027"/>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7681912" y="10493692"/>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52387</xdr:colOff>
      <xdr:row>72</xdr:row>
      <xdr:rowOff>133351</xdr:rowOff>
    </xdr:from>
    <xdr:ext cx="1671638" cy="29449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7634287" y="1324737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7672387" y="318039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absoluteAnchor>
    <xdr:pos x="0" y="0"/>
    <xdr:ext cx="9544050" cy="1811990"/>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9544050" cy="1811990"/>
          <a:chOff x="9524" y="19051"/>
          <a:chExt cx="10364524" cy="1915766"/>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6"/>
          </a:xfrm>
          <a:prstGeom prst="rect">
            <a:avLst/>
          </a:prstGeom>
          <a:ln>
            <a:noFill/>
          </a:ln>
          <a:effectLst>
            <a:softEdge rad="112500"/>
          </a:effectLst>
        </xdr:spPr>
      </xdr:pic>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00000000-0008-0000-0A00-000005000000}"/>
              </a:ext>
            </a:extLst>
          </xdr:cNvPr>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absoluteAnchor>
  <xdr:absoluteAnchor>
    <xdr:pos x="95250" y="341219"/>
    <xdr:ext cx="9299995" cy="1102659"/>
    <xdr:sp macro="" textlink="">
      <xdr:nvSpPr>
        <xdr:cNvPr id="6" name="Rectangle 5">
          <a:extLst>
            <a:ext uri="{FF2B5EF4-FFF2-40B4-BE49-F238E27FC236}">
              <a16:creationId xmlns:a16="http://schemas.microsoft.com/office/drawing/2014/main" id="{00000000-0008-0000-0A00-000006000000}"/>
            </a:ext>
          </a:extLst>
        </xdr:cNvPr>
        <xdr:cNvSpPr/>
      </xdr:nvSpPr>
      <xdr:spPr>
        <a:xfrm>
          <a:off x="95250" y="341219"/>
          <a:ext cx="9299995" cy="110265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absoluteAnchor>
  <xdr:absoluteAnchor>
    <xdr:pos x="114300" y="1359834"/>
    <xdr:ext cx="9277350" cy="424850"/>
    <xdr:sp macro="" textlink="'1. Information Sheet'!AA1" fLocksText="0">
      <xdr:nvSpPr>
        <xdr:cNvPr id="7" name="TextBox 6">
          <a:extLst>
            <a:ext uri="{FF2B5EF4-FFF2-40B4-BE49-F238E27FC236}">
              <a16:creationId xmlns:a16="http://schemas.microsoft.com/office/drawing/2014/main" id="{00000000-0008-0000-0A00-000007000000}"/>
            </a:ext>
          </a:extLst>
        </xdr:cNvPr>
        <xdr:cNvSpPr txBox="1"/>
      </xdr:nvSpPr>
      <xdr:spPr>
        <a:xfrm>
          <a:off x="114300" y="1359834"/>
          <a:ext cx="9277350" cy="42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3BA1BBB5-6F14-4209-A561-74ACFD3C1AF8}" type="TxLink">
            <a:rPr lang="en-US" sz="1100" b="0" i="0" u="none" strike="noStrike" cap="none" spc="0">
              <a:ln w="11430">
                <a:solidFill>
                  <a:sysClr val="windowText" lastClr="000000"/>
                </a:solidFill>
              </a:ln>
              <a:solidFill>
                <a:srgbClr val="000000"/>
              </a:solidFill>
              <a:effectLst>
                <a:outerShdw blurRad="50800" dist="39000" dir="5460000" algn="tl">
                  <a:srgbClr val="000000">
                    <a:alpha val="38000"/>
                  </a:srgbClr>
                </a:outerShdw>
              </a:effectLst>
              <a:latin typeface="Calibri"/>
              <a:cs typeface="Calibri"/>
            </a:rPr>
            <a:pPr algn="ctr"/>
            <a:t>Elexicon Energy Inc.-Whitby Rate Zone</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ory\2023%20ICM\2022-06-21%20Estimate\June28Estimate_VRZ_2023_ACM_ICM_Model_1.0_20220608_Scenario%2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2023%20ICM\2022-06-21%20Estimate\June23Estimate_WRZ_2023_ACM_ICM_Model_1.0_20220608_Scenario%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s>
    <sheetDataSet>
      <sheetData sheetId="0"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CK320"/>
  <sheetViews>
    <sheetView topLeftCell="AI54" workbookViewId="0">
      <selection activeCell="AL74" sqref="AL74"/>
    </sheetView>
  </sheetViews>
  <sheetFormatPr defaultRowHeight="15" x14ac:dyDescent="0.25"/>
  <cols>
    <col min="1" max="1" width="105.5703125" bestFit="1" customWidth="1"/>
    <col min="9" max="9" width="132.140625" bestFit="1" customWidth="1"/>
    <col min="11" max="11" width="2.42578125" customWidth="1"/>
    <col min="12" max="12" width="59.140625" bestFit="1" customWidth="1"/>
    <col min="20" max="20" width="8.85546875" style="93"/>
    <col min="23" max="23" width="35.42578125" bestFit="1" customWidth="1"/>
    <col min="26" max="26" width="90.42578125" bestFit="1" customWidth="1"/>
    <col min="27" max="27" width="110" bestFit="1" customWidth="1"/>
    <col min="38" max="39" width="83" bestFit="1" customWidth="1"/>
    <col min="41" max="41" width="63.85546875" style="38" customWidth="1"/>
    <col min="43" max="43" width="14.85546875" customWidth="1"/>
    <col min="46" max="46" width="56.42578125" customWidth="1"/>
  </cols>
  <sheetData>
    <row r="1" spans="1:89" x14ac:dyDescent="0.25">
      <c r="B1" t="s">
        <v>23</v>
      </c>
      <c r="C1">
        <f>COUNTA(B1:B17)</f>
        <v>4</v>
      </c>
      <c r="I1" t="s">
        <v>24</v>
      </c>
      <c r="L1" s="25" t="s">
        <v>25</v>
      </c>
      <c r="N1" s="25" t="s">
        <v>26</v>
      </c>
      <c r="O1" s="25" t="s">
        <v>27</v>
      </c>
      <c r="P1" s="25" t="s">
        <v>28</v>
      </c>
      <c r="T1" s="26"/>
      <c r="Z1" s="27" t="s">
        <v>29</v>
      </c>
      <c r="AA1" s="27" t="s">
        <v>30</v>
      </c>
      <c r="AB1" s="28" t="s">
        <v>31</v>
      </c>
      <c r="AL1" s="364" t="s">
        <v>851</v>
      </c>
      <c r="AO1" s="30" t="s">
        <v>33</v>
      </c>
      <c r="AP1" t="s">
        <v>34</v>
      </c>
      <c r="AT1" s="31" t="s">
        <v>35</v>
      </c>
      <c r="AU1" s="32"/>
      <c r="AV1" s="32"/>
      <c r="AW1" s="33"/>
      <c r="AX1" s="32"/>
      <c r="AY1" s="32"/>
      <c r="AZ1" s="425"/>
      <c r="BA1" s="425"/>
      <c r="BB1" s="33"/>
      <c r="BC1" s="34"/>
      <c r="BD1" s="34"/>
      <c r="BE1" s="35"/>
      <c r="CC1" s="36"/>
      <c r="CD1" s="37"/>
    </row>
    <row r="2" spans="1:89" s="38" customFormat="1" x14ac:dyDescent="0.25">
      <c r="A2" t="s">
        <v>36</v>
      </c>
      <c r="B2" t="s">
        <v>37</v>
      </c>
      <c r="C2"/>
      <c r="D2"/>
      <c r="E2"/>
      <c r="F2"/>
      <c r="G2"/>
      <c r="H2"/>
      <c r="I2" t="s">
        <v>38</v>
      </c>
      <c r="K2"/>
      <c r="L2" s="28" t="s">
        <v>39</v>
      </c>
      <c r="M2"/>
      <c r="N2" t="s">
        <v>40</v>
      </c>
      <c r="O2" t="s">
        <v>41</v>
      </c>
      <c r="P2" t="s">
        <v>40</v>
      </c>
      <c r="Q2"/>
      <c r="R2"/>
      <c r="T2" s="26"/>
      <c r="U2"/>
      <c r="V2"/>
      <c r="W2" s="39"/>
      <c r="X2" s="39"/>
      <c r="Y2" s="39"/>
      <c r="Z2" s="27" t="s">
        <v>42</v>
      </c>
      <c r="AA2" s="27" t="s">
        <v>43</v>
      </c>
      <c r="AB2" s="28" t="s">
        <v>39</v>
      </c>
      <c r="AC2" s="39"/>
      <c r="AD2" s="39"/>
      <c r="AE2" s="39"/>
      <c r="AF2" s="39"/>
      <c r="AG2" s="39"/>
      <c r="AH2" s="39"/>
      <c r="AI2" s="39"/>
      <c r="AJ2" s="39"/>
      <c r="AK2" s="39"/>
      <c r="AL2" s="364" t="s">
        <v>852</v>
      </c>
      <c r="AM2"/>
      <c r="AN2" s="39"/>
      <c r="AO2" s="40" t="s">
        <v>45</v>
      </c>
      <c r="AP2" t="s">
        <v>34</v>
      </c>
      <c r="AS2" s="39"/>
      <c r="AT2" s="41" t="s">
        <v>46</v>
      </c>
      <c r="AU2" s="42"/>
      <c r="AV2" s="43"/>
      <c r="AW2" s="44">
        <f>AU2*AV2</f>
        <v>0</v>
      </c>
      <c r="AX2" s="42">
        <f t="shared" ref="AX2:AY4" si="0">AU2</f>
        <v>0</v>
      </c>
      <c r="AY2" s="45">
        <f t="shared" si="0"/>
        <v>0</v>
      </c>
      <c r="AZ2" s="426">
        <f>AX2*AY2</f>
        <v>0</v>
      </c>
      <c r="BA2" s="426"/>
      <c r="BB2" s="46">
        <f>AZ2-AW2</f>
        <v>0</v>
      </c>
      <c r="BC2" s="47" t="e">
        <f>BB2/AW2</f>
        <v>#DIV/0!</v>
      </c>
      <c r="BD2" s="47"/>
      <c r="BE2" s="48"/>
      <c r="BF2" s="39"/>
      <c r="BG2" s="39"/>
      <c r="BH2" s="39"/>
      <c r="BI2" s="39"/>
      <c r="BJ2" s="39"/>
      <c r="BK2" s="39"/>
      <c r="BL2" s="39"/>
      <c r="BM2" s="39"/>
      <c r="BN2" s="39"/>
      <c r="BO2" s="39"/>
      <c r="BP2" s="39"/>
      <c r="BQ2" s="39"/>
      <c r="BR2" s="39"/>
      <c r="BS2" s="39"/>
      <c r="BT2" s="39"/>
      <c r="BU2" s="39"/>
      <c r="BV2" s="39"/>
      <c r="BW2" s="39"/>
      <c r="BX2" s="39"/>
      <c r="BY2" s="39"/>
      <c r="BZ2" s="39"/>
      <c r="CA2" s="39"/>
      <c r="CB2" s="39"/>
      <c r="CC2"/>
      <c r="CD2" s="37"/>
      <c r="CE2" s="39"/>
      <c r="CF2" s="39"/>
      <c r="CG2" s="39"/>
      <c r="CH2" s="39"/>
      <c r="CI2" s="39"/>
      <c r="CJ2" s="39"/>
      <c r="CK2" s="39"/>
    </row>
    <row r="3" spans="1:89" x14ac:dyDescent="0.25">
      <c r="A3" t="s">
        <v>47</v>
      </c>
      <c r="B3" t="s">
        <v>48</v>
      </c>
      <c r="I3" t="s">
        <v>49</v>
      </c>
      <c r="L3" s="28" t="s">
        <v>50</v>
      </c>
      <c r="N3" t="s">
        <v>41</v>
      </c>
      <c r="O3" t="s">
        <v>51</v>
      </c>
      <c r="P3" t="s">
        <v>52</v>
      </c>
      <c r="T3" s="26"/>
      <c r="W3" t="s">
        <v>53</v>
      </c>
      <c r="Z3" s="27" t="s">
        <v>54</v>
      </c>
      <c r="AA3" s="27" t="s">
        <v>55</v>
      </c>
      <c r="AB3" s="28" t="s">
        <v>50</v>
      </c>
      <c r="AL3" s="364" t="s">
        <v>853</v>
      </c>
      <c r="AO3" s="30" t="s">
        <v>45</v>
      </c>
      <c r="AP3" t="s">
        <v>34</v>
      </c>
      <c r="AT3" s="41" t="s">
        <v>57</v>
      </c>
      <c r="AU3" s="42"/>
      <c r="AV3" s="43"/>
      <c r="AW3" s="44">
        <f>AU3*AV3</f>
        <v>0</v>
      </c>
      <c r="AX3" s="42">
        <f t="shared" si="0"/>
        <v>0</v>
      </c>
      <c r="AY3" s="45">
        <f t="shared" si="0"/>
        <v>0</v>
      </c>
      <c r="AZ3" s="426">
        <f>AX3*AY3</f>
        <v>0</v>
      </c>
      <c r="BA3" s="426"/>
      <c r="BB3" s="46">
        <f>AZ3-AW3</f>
        <v>0</v>
      </c>
      <c r="BC3" s="47" t="e">
        <f>BB3/AW3</f>
        <v>#DIV/0!</v>
      </c>
      <c r="BD3" s="47"/>
      <c r="BE3" s="48"/>
      <c r="CC3" s="36"/>
      <c r="CD3" s="37"/>
    </row>
    <row r="4" spans="1:89" x14ac:dyDescent="0.25">
      <c r="A4" t="s">
        <v>58</v>
      </c>
      <c r="B4" t="s">
        <v>59</v>
      </c>
      <c r="I4" t="s">
        <v>60</v>
      </c>
      <c r="L4" s="28" t="s">
        <v>61</v>
      </c>
      <c r="N4" t="s">
        <v>51</v>
      </c>
      <c r="O4" t="s">
        <v>62</v>
      </c>
      <c r="T4" s="26"/>
      <c r="W4" t="s">
        <v>63</v>
      </c>
      <c r="Z4" s="27" t="s">
        <v>30</v>
      </c>
      <c r="AA4" s="27" t="s">
        <v>64</v>
      </c>
      <c r="AB4" s="28" t="s">
        <v>61</v>
      </c>
      <c r="AL4" s="364" t="s">
        <v>854</v>
      </c>
      <c r="AO4" s="30" t="s">
        <v>65</v>
      </c>
      <c r="AP4" t="s">
        <v>66</v>
      </c>
      <c r="AT4" s="41" t="s">
        <v>67</v>
      </c>
      <c r="AU4" s="49"/>
      <c r="AV4" s="42"/>
      <c r="AW4" s="44">
        <f>AU4*AV4</f>
        <v>0</v>
      </c>
      <c r="AX4" s="49">
        <f t="shared" si="0"/>
        <v>0</v>
      </c>
      <c r="AY4" s="50">
        <f t="shared" si="0"/>
        <v>0</v>
      </c>
      <c r="AZ4" s="426">
        <f>AX4*AY4</f>
        <v>0</v>
      </c>
      <c r="BA4" s="426"/>
      <c r="BB4" s="46">
        <f>AZ4-AW4</f>
        <v>0</v>
      </c>
      <c r="BC4" s="47" t="e">
        <f>BB4/AW4</f>
        <v>#DIV/0!</v>
      </c>
      <c r="BD4" s="47"/>
      <c r="BE4" s="48"/>
      <c r="CD4" s="37"/>
    </row>
    <row r="5" spans="1:89" x14ac:dyDescent="0.25">
      <c r="A5" t="s">
        <v>68</v>
      </c>
      <c r="I5" t="s">
        <v>69</v>
      </c>
      <c r="L5" s="28" t="s">
        <v>70</v>
      </c>
      <c r="N5" t="s">
        <v>62</v>
      </c>
      <c r="T5" s="26"/>
      <c r="W5" t="s">
        <v>71</v>
      </c>
      <c r="Z5" s="27" t="s">
        <v>72</v>
      </c>
      <c r="AA5" s="27" t="s">
        <v>73</v>
      </c>
      <c r="AB5" s="28" t="s">
        <v>70</v>
      </c>
      <c r="AL5" s="364" t="s">
        <v>875</v>
      </c>
      <c r="AO5" s="30" t="s">
        <v>75</v>
      </c>
      <c r="AP5" t="s">
        <v>66</v>
      </c>
      <c r="AT5" s="31" t="s">
        <v>76</v>
      </c>
      <c r="AU5" s="32"/>
      <c r="AV5" s="32"/>
      <c r="AW5" s="33">
        <f>SUM(AW2:AW4)</f>
        <v>0</v>
      </c>
      <c r="AX5" s="32"/>
      <c r="AY5" s="32"/>
      <c r="AZ5" s="425">
        <f>SUM(AZ2:BA4)</f>
        <v>0</v>
      </c>
      <c r="BA5" s="425"/>
      <c r="BB5" s="33">
        <f>AZ5-AW5</f>
        <v>0</v>
      </c>
      <c r="BC5" s="51" t="e">
        <f>BB5/AW5</f>
        <v>#DIV/0!</v>
      </c>
      <c r="BD5" s="34"/>
      <c r="BE5" s="35"/>
      <c r="CD5" s="37"/>
    </row>
    <row r="6" spans="1:89" x14ac:dyDescent="0.25">
      <c r="A6" t="s">
        <v>77</v>
      </c>
      <c r="I6" t="s">
        <v>78</v>
      </c>
      <c r="L6" s="28" t="s">
        <v>79</v>
      </c>
      <c r="T6" s="26"/>
      <c r="W6" t="s">
        <v>80</v>
      </c>
      <c r="Z6" s="27" t="s">
        <v>81</v>
      </c>
      <c r="AA6" s="27" t="s">
        <v>82</v>
      </c>
      <c r="AB6" s="28" t="s">
        <v>79</v>
      </c>
      <c r="AL6" s="364" t="s">
        <v>32</v>
      </c>
      <c r="AO6" s="30" t="s">
        <v>84</v>
      </c>
      <c r="AP6" t="s">
        <v>34</v>
      </c>
      <c r="AT6" s="52" t="s">
        <v>85</v>
      </c>
      <c r="AU6" s="42"/>
      <c r="AV6" s="53"/>
      <c r="AW6" s="44">
        <f>AU6*AV6</f>
        <v>0</v>
      </c>
      <c r="AX6" s="42">
        <f>AU6</f>
        <v>0</v>
      </c>
      <c r="AY6" s="45">
        <f>AV6</f>
        <v>0</v>
      </c>
      <c r="AZ6" s="424">
        <f>AX6*AY6</f>
        <v>0</v>
      </c>
      <c r="BA6" s="424"/>
      <c r="BB6" s="46">
        <f>AZ6-AW6</f>
        <v>0</v>
      </c>
      <c r="BC6" s="47" t="e">
        <f>BB6/AW6</f>
        <v>#DIV/0!</v>
      </c>
      <c r="BD6" s="54"/>
      <c r="BE6" s="55"/>
      <c r="CD6" s="37"/>
    </row>
    <row r="7" spans="1:89" x14ac:dyDescent="0.25">
      <c r="A7" t="s">
        <v>86</v>
      </c>
      <c r="I7" t="s">
        <v>87</v>
      </c>
      <c r="L7" s="56"/>
      <c r="T7" s="26"/>
      <c r="Z7" s="27"/>
      <c r="AA7" s="27"/>
      <c r="AL7" s="364" t="s">
        <v>44</v>
      </c>
      <c r="AO7" s="30" t="s">
        <v>88</v>
      </c>
      <c r="AP7" t="s">
        <v>34</v>
      </c>
      <c r="AT7" s="57"/>
      <c r="AU7" s="58"/>
      <c r="AV7" s="58"/>
      <c r="AW7" s="59"/>
      <c r="AX7" s="58"/>
      <c r="AY7" s="58"/>
      <c r="AZ7" s="428"/>
      <c r="BA7" s="429"/>
      <c r="BB7" s="60"/>
      <c r="BC7" s="61"/>
      <c r="BD7" s="62"/>
      <c r="BE7" s="63"/>
      <c r="CC7" s="36"/>
      <c r="CD7" s="37"/>
    </row>
    <row r="8" spans="1:89" x14ac:dyDescent="0.25">
      <c r="A8" t="s">
        <v>89</v>
      </c>
      <c r="I8" t="s">
        <v>90</v>
      </c>
      <c r="L8" s="28" t="s">
        <v>91</v>
      </c>
      <c r="T8" s="26"/>
      <c r="W8" t="s">
        <v>92</v>
      </c>
      <c r="Z8" s="27" t="s">
        <v>93</v>
      </c>
      <c r="AA8" s="27" t="s">
        <v>94</v>
      </c>
      <c r="AB8" s="28" t="s">
        <v>91</v>
      </c>
      <c r="AL8" s="364" t="s">
        <v>56</v>
      </c>
      <c r="AO8" s="30" t="s">
        <v>96</v>
      </c>
      <c r="AP8" t="s">
        <v>34</v>
      </c>
      <c r="AT8" s="52" t="s">
        <v>97</v>
      </c>
      <c r="AU8" s="64"/>
      <c r="AV8" s="64"/>
      <c r="AW8" s="46"/>
      <c r="AX8" s="65"/>
      <c r="AY8" s="65"/>
      <c r="AZ8" s="430"/>
      <c r="BA8" s="430"/>
      <c r="BB8" s="46">
        <f>AZ8-AW8</f>
        <v>0</v>
      </c>
      <c r="BC8" s="47"/>
      <c r="BD8" s="47"/>
      <c r="BE8" s="48"/>
      <c r="CD8" s="37"/>
    </row>
    <row r="9" spans="1:89" x14ac:dyDescent="0.25">
      <c r="A9" t="s">
        <v>98</v>
      </c>
      <c r="I9" t="s">
        <v>99</v>
      </c>
      <c r="L9" s="56" t="s">
        <v>100</v>
      </c>
      <c r="T9" s="26"/>
      <c r="W9" t="s">
        <v>101</v>
      </c>
      <c r="Z9" s="27" t="s">
        <v>102</v>
      </c>
      <c r="AA9" s="27" t="s">
        <v>103</v>
      </c>
      <c r="AL9" s="364" t="s">
        <v>74</v>
      </c>
      <c r="AO9" s="30" t="s">
        <v>105</v>
      </c>
      <c r="AP9" t="s">
        <v>34</v>
      </c>
      <c r="AT9" s="66" t="s">
        <v>106</v>
      </c>
      <c r="AU9" s="67"/>
      <c r="AV9" s="68"/>
      <c r="AW9" s="46">
        <f>AV9*AW8</f>
        <v>0</v>
      </c>
      <c r="AX9" s="67"/>
      <c r="AY9" s="68">
        <f>AV9</f>
        <v>0</v>
      </c>
      <c r="AZ9" s="430">
        <f>AY9*AZ8</f>
        <v>0</v>
      </c>
      <c r="BA9" s="430"/>
      <c r="BB9" s="46">
        <f>AZ9-AW9</f>
        <v>0</v>
      </c>
      <c r="BC9" s="47" t="e">
        <f>BB9/AW9</f>
        <v>#DIV/0!</v>
      </c>
      <c r="BD9" s="47"/>
      <c r="BE9" s="48"/>
      <c r="CC9" s="36"/>
      <c r="CD9" s="37"/>
    </row>
    <row r="10" spans="1:89" x14ac:dyDescent="0.25">
      <c r="A10" t="s">
        <v>107</v>
      </c>
      <c r="I10" t="s">
        <v>108</v>
      </c>
      <c r="L10" s="56" t="s">
        <v>109</v>
      </c>
      <c r="T10" s="26"/>
      <c r="W10" t="s">
        <v>110</v>
      </c>
      <c r="Z10" s="27" t="s">
        <v>111</v>
      </c>
      <c r="AA10" s="27" t="s">
        <v>112</v>
      </c>
      <c r="AL10" s="364" t="s">
        <v>83</v>
      </c>
      <c r="AO10" s="30" t="s">
        <v>114</v>
      </c>
      <c r="AP10" t="s">
        <v>34</v>
      </c>
      <c r="AT10" s="66" t="s">
        <v>115</v>
      </c>
      <c r="AU10" s="69"/>
      <c r="AV10" s="69"/>
      <c r="AW10" s="46">
        <f>AW9+AW8</f>
        <v>0</v>
      </c>
      <c r="AX10" s="69"/>
      <c r="AY10" s="69"/>
      <c r="AZ10" s="430">
        <f>AZ9+AZ8</f>
        <v>0</v>
      </c>
      <c r="BA10" s="430"/>
      <c r="BB10" s="46">
        <f>AZ10-AW10</f>
        <v>0</v>
      </c>
      <c r="BC10" s="47" t="e">
        <f>BB10/AW10</f>
        <v>#DIV/0!</v>
      </c>
      <c r="BD10" s="47"/>
      <c r="BE10" s="48"/>
      <c r="CD10" s="37"/>
    </row>
    <row r="11" spans="1:89" x14ac:dyDescent="0.25">
      <c r="A11" t="s">
        <v>116</v>
      </c>
      <c r="I11" t="s">
        <v>117</v>
      </c>
      <c r="L11" s="56" t="s">
        <v>118</v>
      </c>
      <c r="T11" s="26"/>
      <c r="W11" t="s">
        <v>119</v>
      </c>
      <c r="Z11" s="27" t="s">
        <v>120</v>
      </c>
      <c r="AA11" s="27" t="s">
        <v>111</v>
      </c>
      <c r="AL11" s="364" t="s">
        <v>95</v>
      </c>
      <c r="AO11" s="30" t="s">
        <v>121</v>
      </c>
      <c r="AP11" t="s">
        <v>34</v>
      </c>
      <c r="AT11" s="66" t="s">
        <v>122</v>
      </c>
      <c r="AU11" s="64"/>
      <c r="AV11" s="70"/>
      <c r="AW11" s="71">
        <f>-0.1*AW10</f>
        <v>0</v>
      </c>
      <c r="AX11" s="65"/>
      <c r="AY11" s="72">
        <f>AV11</f>
        <v>0</v>
      </c>
      <c r="AZ11" s="431">
        <f>-0.1*AZ10</f>
        <v>0</v>
      </c>
      <c r="BA11" s="431"/>
      <c r="BB11" s="46">
        <f>AZ11-AW11</f>
        <v>0</v>
      </c>
      <c r="BC11" s="47" t="e">
        <f>BB11/AW11</f>
        <v>#DIV/0!</v>
      </c>
      <c r="BD11" s="47"/>
      <c r="BE11" s="48"/>
      <c r="CD11" s="37"/>
    </row>
    <row r="12" spans="1:89" ht="15.75" thickBot="1" x14ac:dyDescent="0.3">
      <c r="A12" t="s">
        <v>123</v>
      </c>
      <c r="I12" t="s">
        <v>124</v>
      </c>
      <c r="L12" s="56" t="s">
        <v>125</v>
      </c>
      <c r="T12" s="26"/>
      <c r="W12" t="s">
        <v>126</v>
      </c>
      <c r="Z12" s="27" t="s">
        <v>127</v>
      </c>
      <c r="AA12" s="27" t="s">
        <v>128</v>
      </c>
      <c r="AL12" s="364" t="s">
        <v>104</v>
      </c>
      <c r="AO12" s="30" t="s">
        <v>130</v>
      </c>
      <c r="AP12" t="s">
        <v>34</v>
      </c>
      <c r="AT12" s="73" t="s">
        <v>131</v>
      </c>
      <c r="AU12" s="74"/>
      <c r="AV12" s="74"/>
      <c r="AW12" s="75">
        <f>AW10+AW11</f>
        <v>0</v>
      </c>
      <c r="AX12" s="74"/>
      <c r="AY12" s="74"/>
      <c r="AZ12" s="427">
        <f>AZ10+AZ11</f>
        <v>0</v>
      </c>
      <c r="BA12" s="427"/>
      <c r="BB12" s="76">
        <f>AZ12-AW12</f>
        <v>0</v>
      </c>
      <c r="BC12" s="77" t="e">
        <f>BB12/AW12</f>
        <v>#DIV/0!</v>
      </c>
      <c r="BD12" s="78"/>
      <c r="BE12" s="79"/>
      <c r="CC12" s="36"/>
      <c r="CD12" s="37"/>
    </row>
    <row r="13" spans="1:89" x14ac:dyDescent="0.25">
      <c r="A13" t="s">
        <v>132</v>
      </c>
      <c r="I13" t="s">
        <v>133</v>
      </c>
      <c r="L13" s="56"/>
      <c r="T13" s="26"/>
      <c r="Z13" s="27"/>
      <c r="AA13" s="27"/>
      <c r="AL13" s="364" t="s">
        <v>113</v>
      </c>
      <c r="AO13" s="30" t="s">
        <v>135</v>
      </c>
      <c r="AP13" t="s">
        <v>34</v>
      </c>
      <c r="AT13" s="57"/>
      <c r="AU13" s="58"/>
      <c r="AV13" s="58"/>
      <c r="AW13" s="59"/>
      <c r="AX13" s="58"/>
      <c r="AY13" s="58"/>
      <c r="AZ13" s="428"/>
      <c r="BA13" s="429"/>
      <c r="BB13" s="60"/>
      <c r="BC13" s="61"/>
      <c r="BD13" s="62"/>
      <c r="BE13" s="63"/>
      <c r="CC13" s="36"/>
      <c r="CD13" s="37"/>
    </row>
    <row r="14" spans="1:89" x14ac:dyDescent="0.25">
      <c r="A14" t="s">
        <v>45</v>
      </c>
      <c r="I14" t="s">
        <v>136</v>
      </c>
      <c r="L14" s="56" t="s">
        <v>137</v>
      </c>
      <c r="T14" s="26"/>
      <c r="W14" t="s">
        <v>138</v>
      </c>
      <c r="Z14" s="27" t="s">
        <v>139</v>
      </c>
      <c r="AA14" s="27" t="s">
        <v>140</v>
      </c>
      <c r="AL14" s="364" t="s">
        <v>129</v>
      </c>
      <c r="AO14" s="30" t="s">
        <v>141</v>
      </c>
      <c r="AP14" t="s">
        <v>34</v>
      </c>
      <c r="AT14" s="52" t="s">
        <v>142</v>
      </c>
      <c r="AU14" s="64"/>
      <c r="AV14" s="64"/>
      <c r="AW14" s="46"/>
      <c r="AX14" s="65"/>
      <c r="AY14" s="65"/>
      <c r="AZ14" s="430"/>
      <c r="BA14" s="430"/>
      <c r="BB14" s="46">
        <f>AZ14-AW14</f>
        <v>0</v>
      </c>
      <c r="BC14" s="47"/>
      <c r="BD14" s="47"/>
      <c r="BE14" s="48"/>
      <c r="CD14" s="37"/>
    </row>
    <row r="15" spans="1:89" x14ac:dyDescent="0.25">
      <c r="A15" t="s">
        <v>143</v>
      </c>
      <c r="I15" t="s">
        <v>144</v>
      </c>
      <c r="L15" s="28" t="s">
        <v>31</v>
      </c>
      <c r="T15" s="26"/>
      <c r="W15" t="s">
        <v>145</v>
      </c>
      <c r="Z15" s="27" t="s">
        <v>146</v>
      </c>
      <c r="AA15" s="27" t="s">
        <v>147</v>
      </c>
      <c r="AL15" s="364" t="s">
        <v>134</v>
      </c>
      <c r="AM15" s="80"/>
      <c r="AO15" s="30" t="s">
        <v>148</v>
      </c>
      <c r="AP15" t="s">
        <v>34</v>
      </c>
      <c r="AT15" s="66" t="s">
        <v>106</v>
      </c>
      <c r="AU15" s="67"/>
      <c r="AV15" s="68"/>
      <c r="AW15" s="46">
        <f>AV15*AW14</f>
        <v>0</v>
      </c>
      <c r="AX15" s="67"/>
      <c r="AY15" s="68">
        <f>AV15</f>
        <v>0</v>
      </c>
      <c r="AZ15" s="430">
        <f>AY15*AZ14</f>
        <v>0</v>
      </c>
      <c r="BA15" s="430"/>
      <c r="BB15" s="46">
        <f>AZ15-AW15</f>
        <v>0</v>
      </c>
      <c r="BC15" s="47" t="e">
        <f>BB15/AW15</f>
        <v>#DIV/0!</v>
      </c>
      <c r="BD15" s="47"/>
      <c r="BE15" s="48"/>
      <c r="CD15" s="37"/>
    </row>
    <row r="16" spans="1:89" ht="30" x14ac:dyDescent="0.25">
      <c r="A16" t="s">
        <v>149</v>
      </c>
      <c r="I16" s="81" t="s">
        <v>150</v>
      </c>
      <c r="T16" s="26"/>
      <c r="W16" t="s">
        <v>151</v>
      </c>
      <c r="Z16" s="27" t="s">
        <v>152</v>
      </c>
      <c r="AA16" s="27" t="s">
        <v>153</v>
      </c>
      <c r="AL16" s="364" t="s">
        <v>876</v>
      </c>
      <c r="AM16" s="80"/>
      <c r="AO16" s="30" t="s">
        <v>154</v>
      </c>
      <c r="AP16" t="s">
        <v>34</v>
      </c>
      <c r="AT16" s="66" t="s">
        <v>115</v>
      </c>
      <c r="AU16" s="69"/>
      <c r="AV16" s="69"/>
      <c r="AW16" s="46">
        <f>AW15+AW14</f>
        <v>0</v>
      </c>
      <c r="AX16" s="69"/>
      <c r="AY16" s="69"/>
      <c r="AZ16" s="430">
        <f>AZ15+AZ14</f>
        <v>0</v>
      </c>
      <c r="BA16" s="430"/>
      <c r="BB16" s="46">
        <f>AZ16-AW16</f>
        <v>0</v>
      </c>
      <c r="BC16" s="47" t="e">
        <f>BB16/AW16</f>
        <v>#DIV/0!</v>
      </c>
      <c r="BD16" s="47"/>
      <c r="BE16" s="48"/>
      <c r="CD16" s="37"/>
    </row>
    <row r="17" spans="1:82" x14ac:dyDescent="0.25">
      <c r="A17" t="s">
        <v>141</v>
      </c>
      <c r="I17" t="s">
        <v>155</v>
      </c>
      <c r="T17" s="26"/>
      <c r="W17" t="s">
        <v>156</v>
      </c>
      <c r="Z17" s="27" t="s">
        <v>157</v>
      </c>
      <c r="AA17" s="27" t="s">
        <v>158</v>
      </c>
      <c r="AL17" s="364" t="s">
        <v>877</v>
      </c>
      <c r="AM17" s="80"/>
      <c r="AO17" s="30" t="s">
        <v>159</v>
      </c>
      <c r="AP17" t="s">
        <v>34</v>
      </c>
      <c r="AT17" s="66" t="s">
        <v>122</v>
      </c>
      <c r="AU17" s="64"/>
      <c r="AV17" s="70"/>
      <c r="AW17" s="71">
        <f>-0.1*AW16</f>
        <v>0</v>
      </c>
      <c r="AX17" s="65"/>
      <c r="AY17" s="72">
        <f>AV17</f>
        <v>0</v>
      </c>
      <c r="AZ17" s="431">
        <f>-0.1*AZ16</f>
        <v>0</v>
      </c>
      <c r="BA17" s="431"/>
      <c r="BB17" s="46">
        <f>AZ17-AW17</f>
        <v>0</v>
      </c>
      <c r="BC17" s="47" t="e">
        <f>BB17/AW17</f>
        <v>#DIV/0!</v>
      </c>
      <c r="BD17" s="47"/>
      <c r="BE17" s="48"/>
      <c r="CC17" s="36"/>
      <c r="CD17" s="37"/>
    </row>
    <row r="18" spans="1:82" ht="15.75" thickBot="1" x14ac:dyDescent="0.3">
      <c r="A18" t="s">
        <v>148</v>
      </c>
      <c r="I18" t="s">
        <v>160</v>
      </c>
      <c r="T18" s="26"/>
      <c r="W18" t="s">
        <v>161</v>
      </c>
      <c r="Z18" s="27" t="s">
        <v>162</v>
      </c>
      <c r="AA18" s="27" t="s">
        <v>163</v>
      </c>
      <c r="AL18" s="364" t="s">
        <v>879</v>
      </c>
      <c r="AM18" s="80"/>
      <c r="AO18" s="30" t="s">
        <v>164</v>
      </c>
      <c r="AP18" t="s">
        <v>34</v>
      </c>
      <c r="AT18" s="73" t="s">
        <v>165</v>
      </c>
      <c r="AU18" s="74"/>
      <c r="AV18" s="74"/>
      <c r="AW18" s="75">
        <f>AW16+AW17</f>
        <v>0</v>
      </c>
      <c r="AX18" s="74"/>
      <c r="AY18" s="74"/>
      <c r="AZ18" s="427">
        <f>AZ16+AZ17</f>
        <v>0</v>
      </c>
      <c r="BA18" s="427"/>
      <c r="BB18" s="76">
        <f>AZ18-AW18</f>
        <v>0</v>
      </c>
      <c r="BC18" s="77" t="e">
        <f>BB18/AW18</f>
        <v>#DIV/0!</v>
      </c>
      <c r="BD18" s="78"/>
      <c r="BE18" s="79"/>
      <c r="CD18" s="37"/>
    </row>
    <row r="19" spans="1:82" x14ac:dyDescent="0.25">
      <c r="A19" t="s">
        <v>166</v>
      </c>
      <c r="I19" t="s">
        <v>167</v>
      </c>
      <c r="T19" s="26"/>
      <c r="W19" t="s">
        <v>168</v>
      </c>
      <c r="Z19" s="27" t="s">
        <v>169</v>
      </c>
      <c r="AA19" s="27" t="s">
        <v>170</v>
      </c>
      <c r="AL19" s="364" t="s">
        <v>855</v>
      </c>
      <c r="AM19" s="80"/>
      <c r="AO19" s="30" t="s">
        <v>171</v>
      </c>
      <c r="AP19" t="s">
        <v>34</v>
      </c>
      <c r="CD19" s="37"/>
    </row>
    <row r="20" spans="1:82" x14ac:dyDescent="0.25">
      <c r="A20" t="s">
        <v>172</v>
      </c>
      <c r="I20" t="s">
        <v>173</v>
      </c>
      <c r="T20" s="26"/>
      <c r="W20" t="s">
        <v>174</v>
      </c>
      <c r="Z20" s="82" t="s">
        <v>175</v>
      </c>
      <c r="AA20" s="27" t="s">
        <v>176</v>
      </c>
      <c r="AL20" s="364" t="s">
        <v>856</v>
      </c>
      <c r="AO20" s="30" t="s">
        <v>178</v>
      </c>
      <c r="AP20" t="s">
        <v>34</v>
      </c>
      <c r="CD20" s="37"/>
    </row>
    <row r="21" spans="1:82" x14ac:dyDescent="0.25">
      <c r="A21" t="s">
        <v>179</v>
      </c>
      <c r="I21" t="s">
        <v>180</v>
      </c>
      <c r="S21" s="56"/>
      <c r="T21" s="26"/>
      <c r="W21" t="s">
        <v>181</v>
      </c>
      <c r="Z21" s="27" t="s">
        <v>182</v>
      </c>
      <c r="AA21" s="27" t="s">
        <v>183</v>
      </c>
      <c r="AL21" s="364" t="s">
        <v>177</v>
      </c>
      <c r="AO21" s="30" t="s">
        <v>184</v>
      </c>
      <c r="AP21" t="s">
        <v>34</v>
      </c>
      <c r="CC21" s="36"/>
      <c r="CD21" s="37"/>
    </row>
    <row r="22" spans="1:82" x14ac:dyDescent="0.25">
      <c r="A22" t="s">
        <v>185</v>
      </c>
      <c r="I22" t="s">
        <v>186</v>
      </c>
      <c r="T22" s="26"/>
      <c r="W22" t="s">
        <v>187</v>
      </c>
      <c r="Z22" s="27" t="s">
        <v>188</v>
      </c>
      <c r="AA22" s="27" t="s">
        <v>189</v>
      </c>
      <c r="AL22" s="364" t="s">
        <v>857</v>
      </c>
      <c r="AO22" s="30" t="s">
        <v>190</v>
      </c>
      <c r="AP22" t="s">
        <v>34</v>
      </c>
      <c r="CD22" s="37"/>
    </row>
    <row r="23" spans="1:82" x14ac:dyDescent="0.25">
      <c r="A23" t="s">
        <v>191</v>
      </c>
      <c r="I23" t="s">
        <v>192</v>
      </c>
      <c r="T23" s="26"/>
      <c r="W23" t="s">
        <v>193</v>
      </c>
      <c r="Z23" s="27" t="s">
        <v>194</v>
      </c>
      <c r="AA23" s="27" t="s">
        <v>195</v>
      </c>
      <c r="AL23" s="364" t="s">
        <v>858</v>
      </c>
      <c r="AO23" s="30" t="s">
        <v>197</v>
      </c>
      <c r="AP23" t="s">
        <v>34</v>
      </c>
      <c r="CD23" s="37"/>
    </row>
    <row r="24" spans="1:82" x14ac:dyDescent="0.25">
      <c r="A24" t="s">
        <v>198</v>
      </c>
      <c r="I24" t="s">
        <v>199</v>
      </c>
      <c r="T24" s="26"/>
      <c r="W24" t="s">
        <v>200</v>
      </c>
      <c r="Z24" s="27" t="s">
        <v>201</v>
      </c>
      <c r="AA24" s="27" t="s">
        <v>202</v>
      </c>
      <c r="AL24" s="364" t="s">
        <v>859</v>
      </c>
      <c r="AO24" s="30" t="s">
        <v>149</v>
      </c>
      <c r="AP24" t="s">
        <v>34</v>
      </c>
      <c r="CD24" s="37"/>
    </row>
    <row r="25" spans="1:82" x14ac:dyDescent="0.25">
      <c r="A25" t="s">
        <v>204</v>
      </c>
      <c r="I25" t="s">
        <v>205</v>
      </c>
      <c r="T25" s="26"/>
      <c r="W25" t="s">
        <v>206</v>
      </c>
      <c r="Z25" s="27" t="s">
        <v>207</v>
      </c>
      <c r="AA25" s="27" t="s">
        <v>208</v>
      </c>
      <c r="AL25" s="364" t="s">
        <v>196</v>
      </c>
      <c r="AO25" s="30" t="s">
        <v>210</v>
      </c>
      <c r="AP25" t="s">
        <v>34</v>
      </c>
      <c r="CC25" s="36"/>
      <c r="CD25" s="37"/>
    </row>
    <row r="26" spans="1:82" x14ac:dyDescent="0.25">
      <c r="A26" t="s">
        <v>211</v>
      </c>
      <c r="B26" t="s">
        <v>212</v>
      </c>
      <c r="I26" t="s">
        <v>213</v>
      </c>
      <c r="T26" s="26"/>
      <c r="W26" t="s">
        <v>214</v>
      </c>
      <c r="Z26" s="82" t="s">
        <v>215</v>
      </c>
      <c r="AA26" s="27" t="s">
        <v>216</v>
      </c>
      <c r="AL26" s="364" t="s">
        <v>203</v>
      </c>
      <c r="AO26" s="30" t="s">
        <v>218</v>
      </c>
      <c r="AP26" t="s">
        <v>34</v>
      </c>
      <c r="CD26" s="37"/>
    </row>
    <row r="27" spans="1:82" x14ac:dyDescent="0.25">
      <c r="A27" t="s">
        <v>219</v>
      </c>
      <c r="B27" t="s">
        <v>220</v>
      </c>
      <c r="I27" t="s">
        <v>221</v>
      </c>
      <c r="T27" s="26"/>
      <c r="W27" t="s">
        <v>222</v>
      </c>
      <c r="Z27" s="27" t="s">
        <v>223</v>
      </c>
      <c r="AA27" s="27" t="s">
        <v>224</v>
      </c>
      <c r="AL27" s="364" t="s">
        <v>209</v>
      </c>
      <c r="AO27" s="30" t="s">
        <v>89</v>
      </c>
      <c r="AP27" t="s">
        <v>34</v>
      </c>
      <c r="CD27" s="37"/>
    </row>
    <row r="28" spans="1:82" x14ac:dyDescent="0.25">
      <c r="A28" t="s">
        <v>225</v>
      </c>
      <c r="B28" t="s">
        <v>226</v>
      </c>
      <c r="I28" t="s">
        <v>227</v>
      </c>
      <c r="T28" s="26"/>
      <c r="W28" t="s">
        <v>228</v>
      </c>
      <c r="Z28" s="27" t="s">
        <v>229</v>
      </c>
      <c r="AA28" s="27" t="s">
        <v>230</v>
      </c>
      <c r="AL28" s="364" t="s">
        <v>217</v>
      </c>
      <c r="AO28" s="30" t="s">
        <v>231</v>
      </c>
      <c r="AP28" t="s">
        <v>34</v>
      </c>
      <c r="CD28" s="37"/>
    </row>
    <row r="29" spans="1:82" x14ac:dyDescent="0.25">
      <c r="A29" t="s">
        <v>33</v>
      </c>
      <c r="B29" t="s">
        <v>232</v>
      </c>
      <c r="I29" t="s">
        <v>233</v>
      </c>
      <c r="T29" s="26"/>
      <c r="W29" t="s">
        <v>234</v>
      </c>
      <c r="Z29" s="27" t="s">
        <v>235</v>
      </c>
      <c r="AA29" s="27" t="s">
        <v>236</v>
      </c>
      <c r="AL29" s="364" t="s">
        <v>860</v>
      </c>
      <c r="AO29" s="30" t="s">
        <v>237</v>
      </c>
      <c r="AP29" t="s">
        <v>34</v>
      </c>
      <c r="CC29" s="36"/>
      <c r="CD29" s="37"/>
    </row>
    <row r="30" spans="1:82" x14ac:dyDescent="0.25">
      <c r="A30" t="s">
        <v>238</v>
      </c>
      <c r="B30" t="s">
        <v>239</v>
      </c>
      <c r="I30" t="s">
        <v>240</v>
      </c>
      <c r="T30" s="26"/>
      <c r="W30" t="s">
        <v>241</v>
      </c>
      <c r="Z30" s="27" t="s">
        <v>242</v>
      </c>
      <c r="AA30" s="27" t="s">
        <v>157</v>
      </c>
      <c r="AL30" s="364" t="s">
        <v>243</v>
      </c>
      <c r="AO30" s="30" t="s">
        <v>244</v>
      </c>
      <c r="AP30" t="s">
        <v>34</v>
      </c>
      <c r="CD30" s="37"/>
    </row>
    <row r="31" spans="1:82" x14ac:dyDescent="0.25">
      <c r="A31" t="s">
        <v>245</v>
      </c>
      <c r="B31" t="s">
        <v>246</v>
      </c>
      <c r="I31" t="s">
        <v>247</v>
      </c>
      <c r="T31" s="26"/>
      <c r="W31" t="s">
        <v>248</v>
      </c>
      <c r="Z31" s="82" t="s">
        <v>249</v>
      </c>
      <c r="AA31" s="27" t="s">
        <v>250</v>
      </c>
      <c r="AL31" s="364" t="s">
        <v>861</v>
      </c>
      <c r="AO31" s="30" t="s">
        <v>251</v>
      </c>
      <c r="AP31" t="s">
        <v>34</v>
      </c>
      <c r="CD31" s="37"/>
    </row>
    <row r="32" spans="1:82" x14ac:dyDescent="0.25">
      <c r="A32" t="s">
        <v>252</v>
      </c>
      <c r="B32" t="s">
        <v>253</v>
      </c>
      <c r="I32" t="s">
        <v>254</v>
      </c>
      <c r="T32" s="26"/>
      <c r="W32" t="s">
        <v>255</v>
      </c>
      <c r="Z32" s="27" t="s">
        <v>256</v>
      </c>
      <c r="AA32" s="27" t="s">
        <v>257</v>
      </c>
      <c r="AL32" s="364" t="s">
        <v>258</v>
      </c>
      <c r="AO32" s="30" t="s">
        <v>259</v>
      </c>
      <c r="AP32" t="s">
        <v>34</v>
      </c>
      <c r="CD32" s="37"/>
    </row>
    <row r="33" spans="1:82" x14ac:dyDescent="0.25">
      <c r="A33" t="s">
        <v>260</v>
      </c>
      <c r="B33" t="s">
        <v>261</v>
      </c>
      <c r="I33" t="s">
        <v>262</v>
      </c>
      <c r="T33" s="26"/>
      <c r="W33" t="s">
        <v>263</v>
      </c>
      <c r="Z33" s="27" t="s">
        <v>264</v>
      </c>
      <c r="AA33" s="27" t="s">
        <v>188</v>
      </c>
      <c r="AL33" s="364" t="s">
        <v>265</v>
      </c>
      <c r="AO33" s="30" t="s">
        <v>219</v>
      </c>
      <c r="AP33" t="s">
        <v>34</v>
      </c>
      <c r="CC33" s="36"/>
      <c r="CD33" s="37"/>
    </row>
    <row r="34" spans="1:82" x14ac:dyDescent="0.25">
      <c r="A34" t="s">
        <v>266</v>
      </c>
      <c r="B34" t="s">
        <v>267</v>
      </c>
      <c r="I34" t="s">
        <v>268</v>
      </c>
      <c r="T34" s="26"/>
      <c r="W34" t="s">
        <v>269</v>
      </c>
      <c r="Z34" s="27" t="s">
        <v>270</v>
      </c>
      <c r="AA34" s="27" t="s">
        <v>271</v>
      </c>
      <c r="AL34" s="364" t="s">
        <v>272</v>
      </c>
      <c r="AO34" s="30" t="s">
        <v>273</v>
      </c>
      <c r="AP34" t="s">
        <v>34</v>
      </c>
      <c r="CD34" s="37"/>
    </row>
    <row r="35" spans="1:82" x14ac:dyDescent="0.25">
      <c r="A35" t="s">
        <v>274</v>
      </c>
      <c r="B35" t="s">
        <v>275</v>
      </c>
      <c r="I35" t="s">
        <v>276</v>
      </c>
      <c r="T35" s="26"/>
      <c r="Z35" s="27" t="s">
        <v>277</v>
      </c>
      <c r="AA35" s="27" t="s">
        <v>194</v>
      </c>
      <c r="AL35" s="364" t="s">
        <v>862</v>
      </c>
      <c r="AO35" s="30" t="s">
        <v>279</v>
      </c>
      <c r="AP35" t="s">
        <v>34</v>
      </c>
      <c r="CD35" s="37"/>
    </row>
    <row r="36" spans="1:82" x14ac:dyDescent="0.25">
      <c r="A36" t="s">
        <v>280</v>
      </c>
      <c r="B36" t="s">
        <v>281</v>
      </c>
      <c r="I36" t="s">
        <v>282</v>
      </c>
      <c r="T36" s="26"/>
      <c r="Z36" s="27" t="s">
        <v>283</v>
      </c>
      <c r="AA36" s="27" t="s">
        <v>284</v>
      </c>
      <c r="AL36" s="364" t="s">
        <v>863</v>
      </c>
      <c r="AM36" s="84"/>
      <c r="AO36" s="30" t="s">
        <v>285</v>
      </c>
      <c r="AP36" t="s">
        <v>34</v>
      </c>
      <c r="CD36" s="37"/>
    </row>
    <row r="37" spans="1:82" x14ac:dyDescent="0.25">
      <c r="A37" t="s">
        <v>286</v>
      </c>
      <c r="B37" t="s">
        <v>287</v>
      </c>
      <c r="I37" t="s">
        <v>288</v>
      </c>
      <c r="T37" s="26"/>
      <c r="Z37" s="27"/>
      <c r="AA37" s="27" t="s">
        <v>289</v>
      </c>
      <c r="AL37" s="364" t="s">
        <v>864</v>
      </c>
      <c r="AO37" s="30" t="s">
        <v>225</v>
      </c>
      <c r="AP37" t="s">
        <v>34</v>
      </c>
      <c r="CC37" s="36"/>
      <c r="CD37" s="37"/>
    </row>
    <row r="38" spans="1:82" x14ac:dyDescent="0.25">
      <c r="A38" t="s">
        <v>290</v>
      </c>
      <c r="I38" t="s">
        <v>291</v>
      </c>
      <c r="T38" s="26"/>
      <c r="Z38" s="27"/>
      <c r="AA38" s="27" t="s">
        <v>292</v>
      </c>
      <c r="AL38" s="364" t="s">
        <v>878</v>
      </c>
      <c r="AO38" s="30" t="s">
        <v>294</v>
      </c>
      <c r="AP38" t="s">
        <v>34</v>
      </c>
      <c r="CD38" s="37"/>
    </row>
    <row r="39" spans="1:82" x14ac:dyDescent="0.25">
      <c r="A39" t="s">
        <v>295</v>
      </c>
      <c r="I39" t="s">
        <v>296</v>
      </c>
      <c r="T39" s="26"/>
      <c r="Z39" s="27"/>
      <c r="AA39" s="27" t="s">
        <v>215</v>
      </c>
      <c r="AL39" s="364" t="s">
        <v>278</v>
      </c>
      <c r="AO39" s="30" t="s">
        <v>298</v>
      </c>
      <c r="AP39" t="s">
        <v>66</v>
      </c>
      <c r="CD39" s="37"/>
    </row>
    <row r="40" spans="1:82" x14ac:dyDescent="0.25">
      <c r="A40" t="s">
        <v>299</v>
      </c>
      <c r="I40" t="s">
        <v>300</v>
      </c>
      <c r="T40" s="26"/>
      <c r="Z40" s="27"/>
      <c r="AA40" s="27" t="s">
        <v>301</v>
      </c>
      <c r="AL40" s="364" t="s">
        <v>865</v>
      </c>
      <c r="AO40" s="30" t="s">
        <v>303</v>
      </c>
      <c r="AP40" t="s">
        <v>66</v>
      </c>
      <c r="CD40" s="37"/>
    </row>
    <row r="41" spans="1:82" x14ac:dyDescent="0.25">
      <c r="A41" t="s">
        <v>304</v>
      </c>
      <c r="I41" t="s">
        <v>305</v>
      </c>
      <c r="T41" s="26"/>
      <c r="Z41" s="27"/>
      <c r="AA41" s="27" t="s">
        <v>306</v>
      </c>
      <c r="AL41" s="364" t="s">
        <v>293</v>
      </c>
      <c r="AO41" s="30" t="s">
        <v>308</v>
      </c>
      <c r="AP41" t="s">
        <v>34</v>
      </c>
      <c r="CC41" s="36"/>
      <c r="CD41" s="37"/>
    </row>
    <row r="42" spans="1:82" x14ac:dyDescent="0.25">
      <c r="A42" t="s">
        <v>309</v>
      </c>
      <c r="I42" t="s">
        <v>310</v>
      </c>
      <c r="T42" s="26"/>
      <c r="Z42" s="27"/>
      <c r="AA42" s="27" t="s">
        <v>311</v>
      </c>
      <c r="AL42" s="364" t="s">
        <v>297</v>
      </c>
      <c r="AO42" s="30" t="s">
        <v>312</v>
      </c>
      <c r="AP42" t="s">
        <v>34</v>
      </c>
      <c r="CD42" s="37"/>
    </row>
    <row r="43" spans="1:82" x14ac:dyDescent="0.25">
      <c r="A43" t="s">
        <v>313</v>
      </c>
      <c r="I43" t="s">
        <v>314</v>
      </c>
      <c r="T43" s="26"/>
      <c r="Z43" s="27"/>
      <c r="AA43" s="27" t="s">
        <v>315</v>
      </c>
      <c r="AL43" s="364" t="s">
        <v>302</v>
      </c>
      <c r="AO43" s="30" t="s">
        <v>317</v>
      </c>
      <c r="AP43" t="s">
        <v>34</v>
      </c>
      <c r="CD43" s="37"/>
    </row>
    <row r="44" spans="1:82" ht="30" x14ac:dyDescent="0.25">
      <c r="A44" t="s">
        <v>121</v>
      </c>
      <c r="I44" s="81" t="s">
        <v>318</v>
      </c>
      <c r="T44" s="26"/>
      <c r="Z44" s="27"/>
      <c r="AA44" s="27" t="s">
        <v>319</v>
      </c>
      <c r="AL44" s="364" t="s">
        <v>307</v>
      </c>
      <c r="AO44" s="30" t="s">
        <v>320</v>
      </c>
      <c r="AP44" t="s">
        <v>34</v>
      </c>
      <c r="CD44" s="37"/>
    </row>
    <row r="45" spans="1:82" x14ac:dyDescent="0.25">
      <c r="A45" t="s">
        <v>321</v>
      </c>
      <c r="I45" t="s">
        <v>322</v>
      </c>
      <c r="T45" s="26"/>
      <c r="Z45" s="27"/>
      <c r="AA45" s="27" t="s">
        <v>323</v>
      </c>
      <c r="AL45" s="364" t="s">
        <v>866</v>
      </c>
      <c r="AO45" s="30" t="s">
        <v>324</v>
      </c>
      <c r="AP45" t="s">
        <v>34</v>
      </c>
      <c r="CC45" s="36"/>
      <c r="CD45" s="37"/>
    </row>
    <row r="46" spans="1:82" x14ac:dyDescent="0.25">
      <c r="A46" t="s">
        <v>325</v>
      </c>
      <c r="I46" t="s">
        <v>326</v>
      </c>
      <c r="T46" s="26"/>
      <c r="Z46" s="27"/>
      <c r="AA46" s="27" t="s">
        <v>327</v>
      </c>
      <c r="AL46" s="364" t="s">
        <v>316</v>
      </c>
      <c r="AO46" s="30" t="s">
        <v>329</v>
      </c>
      <c r="AP46" t="s">
        <v>34</v>
      </c>
      <c r="CD46" s="37"/>
    </row>
    <row r="47" spans="1:82" x14ac:dyDescent="0.25">
      <c r="A47" t="s">
        <v>330</v>
      </c>
      <c r="I47" t="s">
        <v>331</v>
      </c>
      <c r="T47" s="26"/>
      <c r="Z47" s="27"/>
      <c r="AA47" s="27" t="s">
        <v>242</v>
      </c>
      <c r="AL47" s="364" t="s">
        <v>328</v>
      </c>
      <c r="AO47" s="30" t="s">
        <v>333</v>
      </c>
      <c r="AP47" t="s">
        <v>34</v>
      </c>
      <c r="CD47" s="37"/>
    </row>
    <row r="48" spans="1:82" x14ac:dyDescent="0.25">
      <c r="A48" t="s">
        <v>308</v>
      </c>
      <c r="I48" t="s">
        <v>334</v>
      </c>
      <c r="T48" s="26"/>
      <c r="Z48" s="27"/>
      <c r="AA48" s="27" t="s">
        <v>335</v>
      </c>
      <c r="AL48" s="364" t="s">
        <v>867</v>
      </c>
      <c r="AO48" s="30" t="s">
        <v>337</v>
      </c>
      <c r="AP48" t="s">
        <v>66</v>
      </c>
      <c r="CD48" s="37"/>
    </row>
    <row r="49" spans="1:82" x14ac:dyDescent="0.25">
      <c r="A49" t="s">
        <v>338</v>
      </c>
      <c r="I49" t="s">
        <v>339</v>
      </c>
      <c r="T49" s="26"/>
      <c r="Z49" s="27"/>
      <c r="AA49" s="27" t="s">
        <v>340</v>
      </c>
      <c r="AL49" s="364" t="s">
        <v>868</v>
      </c>
      <c r="AO49" s="30" t="s">
        <v>341</v>
      </c>
      <c r="AP49" t="s">
        <v>66</v>
      </c>
      <c r="CC49" s="36"/>
      <c r="CD49" s="37"/>
    </row>
    <row r="50" spans="1:82" x14ac:dyDescent="0.25">
      <c r="A50" t="s">
        <v>342</v>
      </c>
      <c r="I50" t="s">
        <v>343</v>
      </c>
      <c r="T50" s="26"/>
      <c r="Z50" s="27"/>
      <c r="AA50" s="27" t="s">
        <v>344</v>
      </c>
      <c r="AL50" s="364" t="s">
        <v>332</v>
      </c>
      <c r="AO50" s="30" t="s">
        <v>345</v>
      </c>
      <c r="AP50" t="s">
        <v>66</v>
      </c>
      <c r="CC50" s="36"/>
      <c r="CD50" s="37"/>
    </row>
    <row r="51" spans="1:82" x14ac:dyDescent="0.25">
      <c r="I51" t="s">
        <v>346</v>
      </c>
      <c r="T51" s="26"/>
      <c r="Z51" s="27"/>
      <c r="AA51" s="27" t="s">
        <v>347</v>
      </c>
      <c r="AL51" s="364" t="s">
        <v>336</v>
      </c>
      <c r="AO51" s="30" t="s">
        <v>349</v>
      </c>
      <c r="AP51" t="s">
        <v>66</v>
      </c>
      <c r="CD51" s="37"/>
    </row>
    <row r="52" spans="1:82" x14ac:dyDescent="0.25">
      <c r="I52" t="s">
        <v>350</v>
      </c>
      <c r="T52" s="26"/>
      <c r="Z52" s="27"/>
      <c r="AA52" s="27" t="s">
        <v>351</v>
      </c>
      <c r="AL52" s="364" t="s">
        <v>880</v>
      </c>
      <c r="AO52" s="30" t="s">
        <v>353</v>
      </c>
      <c r="AP52" t="s">
        <v>66</v>
      </c>
      <c r="CD52" s="37"/>
    </row>
    <row r="53" spans="1:82" ht="30" x14ac:dyDescent="0.25">
      <c r="I53" s="81" t="s">
        <v>354</v>
      </c>
      <c r="T53" s="26"/>
      <c r="Z53" s="27"/>
      <c r="AA53" s="27" t="s">
        <v>355</v>
      </c>
      <c r="AL53" s="364" t="s">
        <v>881</v>
      </c>
      <c r="AO53" s="30" t="s">
        <v>357</v>
      </c>
      <c r="AP53" t="s">
        <v>34</v>
      </c>
      <c r="CC53" s="36"/>
      <c r="CD53" s="37"/>
    </row>
    <row r="54" spans="1:82" ht="30" x14ac:dyDescent="0.25">
      <c r="I54" s="81" t="s">
        <v>358</v>
      </c>
      <c r="T54" s="26"/>
      <c r="Z54" s="27"/>
      <c r="AA54" s="27" t="s">
        <v>359</v>
      </c>
      <c r="AL54" s="364" t="s">
        <v>348</v>
      </c>
      <c r="AO54" s="30" t="s">
        <v>361</v>
      </c>
      <c r="AP54" t="s">
        <v>34</v>
      </c>
      <c r="CD54" s="37"/>
    </row>
    <row r="55" spans="1:82" x14ac:dyDescent="0.25">
      <c r="I55" t="s">
        <v>362</v>
      </c>
      <c r="T55" s="26"/>
      <c r="Z55" s="27"/>
      <c r="AA55" s="27" t="s">
        <v>363</v>
      </c>
      <c r="AL55" s="364" t="s">
        <v>352</v>
      </c>
      <c r="AO55" s="30" t="s">
        <v>365</v>
      </c>
      <c r="AP55" t="s">
        <v>34</v>
      </c>
      <c r="CD55" s="85"/>
    </row>
    <row r="56" spans="1:82" x14ac:dyDescent="0.25">
      <c r="I56" t="s">
        <v>366</v>
      </c>
      <c r="T56" s="26"/>
      <c r="Z56" s="27"/>
      <c r="AA56" s="27" t="s">
        <v>367</v>
      </c>
      <c r="AL56" s="364" t="s">
        <v>356</v>
      </c>
      <c r="AO56" s="30" t="s">
        <v>369</v>
      </c>
      <c r="AP56" t="s">
        <v>34</v>
      </c>
      <c r="CC56" s="36"/>
      <c r="CD56" s="37"/>
    </row>
    <row r="57" spans="1:82" ht="30" x14ac:dyDescent="0.25">
      <c r="I57" s="81" t="s">
        <v>370</v>
      </c>
      <c r="T57" s="26"/>
      <c r="Z57" s="27"/>
      <c r="AA57" s="27" t="s">
        <v>371</v>
      </c>
      <c r="AL57" s="364" t="s">
        <v>360</v>
      </c>
      <c r="AO57" s="30" t="s">
        <v>116</v>
      </c>
      <c r="AP57" t="s">
        <v>34</v>
      </c>
      <c r="CD57" s="37"/>
    </row>
    <row r="58" spans="1:82" x14ac:dyDescent="0.25">
      <c r="I58" t="s">
        <v>373</v>
      </c>
      <c r="T58" s="26"/>
      <c r="Z58" s="27"/>
      <c r="AA58" s="27" t="s">
        <v>264</v>
      </c>
      <c r="AL58" s="364" t="s">
        <v>364</v>
      </c>
      <c r="AO58" s="30" t="s">
        <v>172</v>
      </c>
      <c r="AP58" t="s">
        <v>34</v>
      </c>
      <c r="CC58" s="36"/>
      <c r="CD58" s="37"/>
    </row>
    <row r="59" spans="1:82" x14ac:dyDescent="0.25">
      <c r="I59" t="s">
        <v>375</v>
      </c>
      <c r="T59" s="26"/>
      <c r="Z59" s="27"/>
      <c r="AA59" s="27" t="s">
        <v>270</v>
      </c>
      <c r="AL59" s="364" t="s">
        <v>368</v>
      </c>
      <c r="AO59" s="30" t="s">
        <v>179</v>
      </c>
      <c r="AP59" t="s">
        <v>34</v>
      </c>
      <c r="CD59" s="37"/>
    </row>
    <row r="60" spans="1:82" ht="30" x14ac:dyDescent="0.25">
      <c r="I60" s="81" t="s">
        <v>377</v>
      </c>
      <c r="T60" s="26"/>
      <c r="Z60" s="27"/>
      <c r="AA60" s="27" t="s">
        <v>378</v>
      </c>
      <c r="AL60" s="364" t="s">
        <v>372</v>
      </c>
      <c r="AO60" s="30" t="s">
        <v>166</v>
      </c>
      <c r="AP60" t="s">
        <v>34</v>
      </c>
      <c r="CD60" s="37"/>
    </row>
    <row r="61" spans="1:82" x14ac:dyDescent="0.25">
      <c r="I61" t="s">
        <v>380</v>
      </c>
      <c r="T61" s="26"/>
      <c r="Z61" s="27"/>
      <c r="AA61" s="27" t="s">
        <v>381</v>
      </c>
      <c r="AL61" s="364" t="s">
        <v>374</v>
      </c>
      <c r="AO61" s="30" t="s">
        <v>383</v>
      </c>
      <c r="AP61" t="s">
        <v>34</v>
      </c>
      <c r="CC61" s="36"/>
      <c r="CD61" s="37"/>
    </row>
    <row r="62" spans="1:82" x14ac:dyDescent="0.25">
      <c r="I62" t="s">
        <v>384</v>
      </c>
      <c r="T62" s="26"/>
      <c r="Z62" s="27"/>
      <c r="AA62" s="27" t="s">
        <v>385</v>
      </c>
      <c r="AL62" s="364" t="s">
        <v>376</v>
      </c>
      <c r="AO62" s="30" t="s">
        <v>386</v>
      </c>
      <c r="AP62" t="s">
        <v>40</v>
      </c>
      <c r="CD62" s="37"/>
    </row>
    <row r="63" spans="1:82" x14ac:dyDescent="0.25">
      <c r="I63" t="s">
        <v>387</v>
      </c>
      <c r="T63" s="86"/>
      <c r="Z63" s="27"/>
      <c r="AA63" s="27" t="s">
        <v>388</v>
      </c>
      <c r="AL63" s="364" t="s">
        <v>379</v>
      </c>
      <c r="AO63" s="30" t="s">
        <v>77</v>
      </c>
      <c r="AP63" t="s">
        <v>66</v>
      </c>
      <c r="CC63" s="36"/>
    </row>
    <row r="64" spans="1:82" x14ac:dyDescent="0.25">
      <c r="I64" t="s">
        <v>389</v>
      </c>
      <c r="T64" s="86"/>
      <c r="Z64" s="27"/>
      <c r="AA64" s="27" t="s">
        <v>390</v>
      </c>
      <c r="AL64" s="364" t="s">
        <v>382</v>
      </c>
      <c r="AO64" s="30" t="s">
        <v>392</v>
      </c>
      <c r="AP64" t="s">
        <v>66</v>
      </c>
      <c r="CC64" s="36"/>
    </row>
    <row r="65" spans="9:82" x14ac:dyDescent="0.25">
      <c r="I65" t="s">
        <v>393</v>
      </c>
      <c r="T65" s="86"/>
      <c r="Z65" s="27"/>
      <c r="AA65" s="27" t="s">
        <v>394</v>
      </c>
      <c r="AL65" s="364" t="s">
        <v>869</v>
      </c>
      <c r="AO65" s="30" t="s">
        <v>396</v>
      </c>
      <c r="AP65" t="s">
        <v>66</v>
      </c>
      <c r="CD65" s="37"/>
    </row>
    <row r="66" spans="9:82" x14ac:dyDescent="0.25">
      <c r="I66" t="s">
        <v>397</v>
      </c>
      <c r="T66" s="26"/>
      <c r="Z66" s="27"/>
      <c r="AA66" s="27" t="s">
        <v>398</v>
      </c>
      <c r="AL66" s="364" t="s">
        <v>870</v>
      </c>
      <c r="AO66" s="30" t="s">
        <v>399</v>
      </c>
      <c r="AP66" t="s">
        <v>66</v>
      </c>
      <c r="CC66" s="36"/>
      <c r="CD66" s="37"/>
    </row>
    <row r="67" spans="9:82" x14ac:dyDescent="0.25">
      <c r="I67" t="s">
        <v>400</v>
      </c>
      <c r="T67" s="86"/>
      <c r="Z67" s="27"/>
      <c r="AA67" s="27" t="s">
        <v>401</v>
      </c>
      <c r="AL67" s="364" t="s">
        <v>391</v>
      </c>
      <c r="AO67" s="30" t="s">
        <v>403</v>
      </c>
      <c r="AP67" t="s">
        <v>66</v>
      </c>
      <c r="CC67" s="36"/>
      <c r="CD67" s="37"/>
    </row>
    <row r="68" spans="9:82" x14ac:dyDescent="0.25">
      <c r="I68" t="s">
        <v>404</v>
      </c>
      <c r="T68" s="86"/>
      <c r="Z68" s="27"/>
      <c r="AA68" s="27" t="s">
        <v>405</v>
      </c>
      <c r="AL68" s="364" t="s">
        <v>395</v>
      </c>
      <c r="AO68" s="30" t="s">
        <v>407</v>
      </c>
      <c r="AP68" t="s">
        <v>66</v>
      </c>
      <c r="CD68" s="37"/>
    </row>
    <row r="69" spans="9:82" ht="30" x14ac:dyDescent="0.25">
      <c r="I69" s="81" t="s">
        <v>408</v>
      </c>
      <c r="T69" s="26"/>
      <c r="Z69" s="27"/>
      <c r="AA69" s="27" t="s">
        <v>409</v>
      </c>
      <c r="AL69" s="364" t="s">
        <v>402</v>
      </c>
      <c r="AO69" s="30" t="s">
        <v>411</v>
      </c>
      <c r="AP69" t="s">
        <v>66</v>
      </c>
      <c r="CC69" s="36"/>
      <c r="CD69" s="37"/>
    </row>
    <row r="70" spans="9:82" ht="30" x14ac:dyDescent="0.25">
      <c r="I70" s="81" t="s">
        <v>412</v>
      </c>
      <c r="T70" s="26"/>
      <c r="Z70" s="27"/>
      <c r="AA70" s="27" t="s">
        <v>413</v>
      </c>
      <c r="AL70" s="364" t="s">
        <v>406</v>
      </c>
      <c r="AO70" s="30" t="s">
        <v>415</v>
      </c>
      <c r="AP70" t="s">
        <v>66</v>
      </c>
      <c r="CC70" s="36"/>
      <c r="CD70" s="37"/>
    </row>
    <row r="71" spans="9:82" ht="30" x14ac:dyDescent="0.25">
      <c r="I71" s="81" t="s">
        <v>416</v>
      </c>
      <c r="T71" s="26"/>
      <c r="Z71" s="27"/>
      <c r="AA71" s="27" t="s">
        <v>417</v>
      </c>
      <c r="AL71" s="364" t="s">
        <v>410</v>
      </c>
      <c r="AO71" s="30" t="s">
        <v>418</v>
      </c>
      <c r="AP71" t="s">
        <v>66</v>
      </c>
      <c r="CD71" s="37"/>
    </row>
    <row r="72" spans="9:82" ht="30" x14ac:dyDescent="0.25">
      <c r="I72" s="81" t="s">
        <v>419</v>
      </c>
      <c r="T72" s="26"/>
      <c r="AL72" s="364" t="s">
        <v>414</v>
      </c>
      <c r="AO72" s="30" t="s">
        <v>421</v>
      </c>
      <c r="AP72" t="s">
        <v>66</v>
      </c>
      <c r="CC72" s="36"/>
      <c r="CD72" s="37"/>
    </row>
    <row r="73" spans="9:82" ht="30" x14ac:dyDescent="0.25">
      <c r="I73" s="81" t="s">
        <v>422</v>
      </c>
      <c r="T73" s="26"/>
      <c r="AL73" s="364" t="s">
        <v>420</v>
      </c>
      <c r="AO73" s="30" t="s">
        <v>423</v>
      </c>
      <c r="AP73" t="s">
        <v>66</v>
      </c>
      <c r="CC73" s="36"/>
      <c r="CD73" s="37"/>
    </row>
    <row r="74" spans="9:82" ht="30" x14ac:dyDescent="0.25">
      <c r="I74" s="81" t="s">
        <v>424</v>
      </c>
      <c r="T74" s="26"/>
      <c r="AL74" s="364"/>
      <c r="AO74" s="30" t="s">
        <v>425</v>
      </c>
      <c r="AP74" t="s">
        <v>66</v>
      </c>
      <c r="CD74" s="37"/>
    </row>
    <row r="75" spans="9:82" ht="30" x14ac:dyDescent="0.25">
      <c r="I75" s="81" t="s">
        <v>426</v>
      </c>
      <c r="T75" s="26"/>
      <c r="AL75" s="29"/>
      <c r="AO75" s="30" t="s">
        <v>427</v>
      </c>
      <c r="AP75" t="s">
        <v>66</v>
      </c>
      <c r="CC75" s="36"/>
      <c r="CD75" s="37"/>
    </row>
    <row r="76" spans="9:82" ht="30" x14ac:dyDescent="0.25">
      <c r="I76" s="81" t="s">
        <v>428</v>
      </c>
      <c r="T76" s="26"/>
      <c r="AL76" s="29"/>
      <c r="AM76" s="81"/>
      <c r="AO76" s="30" t="s">
        <v>429</v>
      </c>
      <c r="AP76" t="s">
        <v>66</v>
      </c>
      <c r="CC76" s="36"/>
    </row>
    <row r="77" spans="9:82" ht="30" x14ac:dyDescent="0.25">
      <c r="I77" s="81" t="s">
        <v>430</v>
      </c>
      <c r="T77" s="87"/>
      <c r="AL77" s="29"/>
      <c r="AO77" s="30" t="s">
        <v>342</v>
      </c>
      <c r="AP77" t="s">
        <v>66</v>
      </c>
      <c r="CD77" s="37"/>
    </row>
    <row r="78" spans="9:82" ht="30" x14ac:dyDescent="0.25">
      <c r="I78" s="81" t="s">
        <v>431</v>
      </c>
      <c r="T78" s="26"/>
      <c r="AL78" s="29"/>
      <c r="AM78" s="88"/>
      <c r="AO78" s="30" t="s">
        <v>432</v>
      </c>
      <c r="AP78" t="s">
        <v>66</v>
      </c>
      <c r="CC78" s="36"/>
      <c r="CD78" s="37"/>
    </row>
    <row r="79" spans="9:82" ht="30" x14ac:dyDescent="0.25">
      <c r="I79" s="81" t="s">
        <v>433</v>
      </c>
      <c r="T79" s="26"/>
      <c r="AL79" s="29"/>
      <c r="AM79" s="89"/>
      <c r="AO79" s="30" t="s">
        <v>434</v>
      </c>
      <c r="AP79" t="s">
        <v>66</v>
      </c>
      <c r="CC79" s="36"/>
    </row>
    <row r="80" spans="9:82" ht="30" x14ac:dyDescent="0.25">
      <c r="I80" s="81" t="s">
        <v>435</v>
      </c>
      <c r="T80" s="26"/>
      <c r="AL80" s="29"/>
      <c r="AM80" s="89"/>
      <c r="AO80" s="30" t="s">
        <v>132</v>
      </c>
      <c r="AP80" t="s">
        <v>34</v>
      </c>
    </row>
    <row r="81" spans="9:82" ht="30" x14ac:dyDescent="0.25">
      <c r="I81" s="81" t="s">
        <v>436</v>
      </c>
      <c r="T81" s="26"/>
      <c r="AL81" s="29"/>
      <c r="AM81" s="89"/>
      <c r="AO81" s="30" t="s">
        <v>437</v>
      </c>
      <c r="AP81" t="s">
        <v>66</v>
      </c>
      <c r="CC81" s="36"/>
    </row>
    <row r="82" spans="9:82" ht="30" x14ac:dyDescent="0.25">
      <c r="I82" s="81" t="s">
        <v>438</v>
      </c>
      <c r="T82" s="26"/>
      <c r="AL82" s="29"/>
      <c r="AM82" s="89"/>
      <c r="AO82" s="30" t="s">
        <v>439</v>
      </c>
      <c r="AP82" t="s">
        <v>66</v>
      </c>
      <c r="CC82" s="36"/>
    </row>
    <row r="83" spans="9:82" ht="30" x14ac:dyDescent="0.25">
      <c r="I83" s="81" t="s">
        <v>440</v>
      </c>
      <c r="T83" s="26"/>
      <c r="AL83" s="29"/>
      <c r="AM83" s="89"/>
      <c r="AO83" s="30" t="s">
        <v>441</v>
      </c>
      <c r="AP83" t="s">
        <v>66</v>
      </c>
      <c r="CD83" s="37"/>
    </row>
    <row r="84" spans="9:82" ht="30" x14ac:dyDescent="0.25">
      <c r="I84" s="81" t="s">
        <v>442</v>
      </c>
      <c r="T84" s="26"/>
      <c r="AL84" s="29"/>
      <c r="AM84" s="83"/>
      <c r="AO84" s="30" t="s">
        <v>443</v>
      </c>
      <c r="AP84" t="s">
        <v>66</v>
      </c>
      <c r="CC84" s="36"/>
      <c r="CD84" s="37"/>
    </row>
    <row r="85" spans="9:82" ht="30" x14ac:dyDescent="0.25">
      <c r="I85" s="81" t="s">
        <v>444</v>
      </c>
      <c r="T85" s="26"/>
      <c r="AL85" s="83"/>
      <c r="AM85" s="83"/>
      <c r="AO85" s="30" t="s">
        <v>445</v>
      </c>
      <c r="AP85" t="s">
        <v>66</v>
      </c>
      <c r="CC85" s="36"/>
      <c r="CD85" s="37"/>
    </row>
    <row r="86" spans="9:82" ht="30" x14ac:dyDescent="0.25">
      <c r="I86" s="81" t="s">
        <v>446</v>
      </c>
      <c r="T86" s="26"/>
      <c r="AL86" s="83"/>
      <c r="AM86" s="83"/>
      <c r="AO86" s="30" t="s">
        <v>447</v>
      </c>
      <c r="AP86" t="s">
        <v>66</v>
      </c>
      <c r="CD86" s="37"/>
    </row>
    <row r="87" spans="9:82" ht="30" x14ac:dyDescent="0.25">
      <c r="I87" s="81" t="s">
        <v>448</v>
      </c>
      <c r="T87" s="26"/>
      <c r="AL87" s="83"/>
      <c r="AM87" s="83"/>
      <c r="AO87" s="30" t="s">
        <v>449</v>
      </c>
      <c r="AP87" t="s">
        <v>66</v>
      </c>
      <c r="CC87" s="36"/>
      <c r="CD87" s="37"/>
    </row>
    <row r="88" spans="9:82" ht="30" x14ac:dyDescent="0.25">
      <c r="I88" s="81" t="s">
        <v>450</v>
      </c>
      <c r="T88" s="26"/>
      <c r="AM88" s="83"/>
      <c r="AO88" s="30" t="s">
        <v>451</v>
      </c>
      <c r="AP88" t="s">
        <v>34</v>
      </c>
      <c r="CC88" s="36"/>
      <c r="CD88" s="37"/>
    </row>
    <row r="89" spans="9:82" ht="30" x14ac:dyDescent="0.25">
      <c r="I89" s="81" t="s">
        <v>452</v>
      </c>
      <c r="T89" s="26"/>
      <c r="AO89" s="30" t="s">
        <v>453</v>
      </c>
      <c r="AP89" t="s">
        <v>34</v>
      </c>
      <c r="CD89" s="37"/>
    </row>
    <row r="90" spans="9:82" ht="30" x14ac:dyDescent="0.25">
      <c r="I90" s="81" t="s">
        <v>454</v>
      </c>
      <c r="T90" s="26"/>
      <c r="AO90" s="30" t="s">
        <v>455</v>
      </c>
      <c r="AP90" t="s">
        <v>34</v>
      </c>
      <c r="CC90" s="36"/>
      <c r="CD90" s="37"/>
    </row>
    <row r="91" spans="9:82" ht="30" x14ac:dyDescent="0.25">
      <c r="I91" s="81" t="s">
        <v>456</v>
      </c>
      <c r="T91" s="26"/>
      <c r="AO91" s="30" t="s">
        <v>457</v>
      </c>
      <c r="AP91" t="s">
        <v>34</v>
      </c>
      <c r="CC91" s="36"/>
      <c r="CD91" s="37"/>
    </row>
    <row r="92" spans="9:82" ht="30" x14ac:dyDescent="0.25">
      <c r="I92" s="81" t="s">
        <v>458</v>
      </c>
      <c r="T92" s="26"/>
      <c r="AO92" s="30" t="s">
        <v>143</v>
      </c>
      <c r="AP92" t="s">
        <v>34</v>
      </c>
      <c r="CD92" s="37"/>
    </row>
    <row r="93" spans="9:82" ht="30" x14ac:dyDescent="0.25">
      <c r="I93" s="81" t="s">
        <v>459</v>
      </c>
      <c r="T93" s="90"/>
      <c r="AO93" s="30" t="s">
        <v>460</v>
      </c>
      <c r="AP93" t="s">
        <v>34</v>
      </c>
      <c r="CC93" s="36"/>
      <c r="CD93" s="37"/>
    </row>
    <row r="94" spans="9:82" ht="30" x14ac:dyDescent="0.25">
      <c r="I94" s="81" t="s">
        <v>461</v>
      </c>
      <c r="T94" s="26"/>
      <c r="AO94" s="30" t="s">
        <v>462</v>
      </c>
      <c r="AP94" t="s">
        <v>34</v>
      </c>
      <c r="CC94" s="36"/>
    </row>
    <row r="95" spans="9:82" x14ac:dyDescent="0.25">
      <c r="I95" t="s">
        <v>463</v>
      </c>
      <c r="T95" s="26"/>
      <c r="AO95" s="30" t="s">
        <v>464</v>
      </c>
      <c r="AP95" t="s">
        <v>34</v>
      </c>
    </row>
    <row r="96" spans="9:82" x14ac:dyDescent="0.25">
      <c r="I96" t="s">
        <v>465</v>
      </c>
      <c r="T96" s="26"/>
      <c r="AO96" s="30" t="s">
        <v>466</v>
      </c>
      <c r="AP96" t="s">
        <v>34</v>
      </c>
    </row>
    <row r="97" spans="9:42" x14ac:dyDescent="0.25">
      <c r="I97" t="s">
        <v>467</v>
      </c>
      <c r="T97" s="87"/>
      <c r="AO97" s="30" t="s">
        <v>68</v>
      </c>
      <c r="AP97" t="s">
        <v>34</v>
      </c>
    </row>
    <row r="98" spans="9:42" x14ac:dyDescent="0.25">
      <c r="I98" t="s">
        <v>468</v>
      </c>
      <c r="T98" s="26"/>
      <c r="AO98" s="30" t="s">
        <v>469</v>
      </c>
      <c r="AP98" t="s">
        <v>34</v>
      </c>
    </row>
    <row r="99" spans="9:42" x14ac:dyDescent="0.25">
      <c r="I99" t="s">
        <v>470</v>
      </c>
      <c r="T99" s="26"/>
      <c r="AO99" s="30" t="s">
        <v>123</v>
      </c>
      <c r="AP99" t="s">
        <v>66</v>
      </c>
    </row>
    <row r="100" spans="9:42" x14ac:dyDescent="0.25">
      <c r="I100" t="s">
        <v>471</v>
      </c>
      <c r="T100" s="26"/>
      <c r="AO100" s="30" t="s">
        <v>472</v>
      </c>
      <c r="AP100" t="s">
        <v>34</v>
      </c>
    </row>
    <row r="101" spans="9:42" x14ac:dyDescent="0.25">
      <c r="I101" t="s">
        <v>473</v>
      </c>
      <c r="T101" s="26"/>
      <c r="AO101" s="30" t="s">
        <v>474</v>
      </c>
      <c r="AP101" t="s">
        <v>66</v>
      </c>
    </row>
    <row r="102" spans="9:42" x14ac:dyDescent="0.25">
      <c r="I102" t="s">
        <v>475</v>
      </c>
      <c r="T102" s="26"/>
      <c r="AO102" s="38" t="s">
        <v>476</v>
      </c>
      <c r="AP102" t="s">
        <v>34</v>
      </c>
    </row>
    <row r="103" spans="9:42" x14ac:dyDescent="0.25">
      <c r="I103" t="s">
        <v>477</v>
      </c>
      <c r="T103" s="26"/>
      <c r="AO103" s="38" t="s">
        <v>478</v>
      </c>
      <c r="AP103" t="s">
        <v>66</v>
      </c>
    </row>
    <row r="104" spans="9:42" x14ac:dyDescent="0.25">
      <c r="I104" t="s">
        <v>479</v>
      </c>
      <c r="T104" s="26"/>
    </row>
    <row r="105" spans="9:42" x14ac:dyDescent="0.25">
      <c r="I105" t="s">
        <v>480</v>
      </c>
      <c r="T105" s="26"/>
    </row>
    <row r="106" spans="9:42" x14ac:dyDescent="0.25">
      <c r="I106" t="s">
        <v>481</v>
      </c>
      <c r="T106" s="26"/>
    </row>
    <row r="107" spans="9:42" x14ac:dyDescent="0.25">
      <c r="I107" t="s">
        <v>482</v>
      </c>
      <c r="T107" s="26"/>
    </row>
    <row r="108" spans="9:42" ht="30" x14ac:dyDescent="0.25">
      <c r="I108" s="81" t="s">
        <v>483</v>
      </c>
      <c r="T108" s="26"/>
    </row>
    <row r="109" spans="9:42" ht="30" x14ac:dyDescent="0.25">
      <c r="I109" s="81" t="s">
        <v>484</v>
      </c>
      <c r="T109" s="26"/>
      <c r="AO109"/>
    </row>
    <row r="110" spans="9:42" ht="30" x14ac:dyDescent="0.25">
      <c r="I110" s="81" t="s">
        <v>485</v>
      </c>
      <c r="T110" s="26"/>
      <c r="AO110"/>
    </row>
    <row r="111" spans="9:42" ht="30" x14ac:dyDescent="0.25">
      <c r="I111" s="81" t="s">
        <v>486</v>
      </c>
      <c r="T111" s="26"/>
      <c r="AO111"/>
    </row>
    <row r="112" spans="9:42" x14ac:dyDescent="0.25">
      <c r="I112" t="s">
        <v>487</v>
      </c>
      <c r="T112" s="26"/>
      <c r="AO112"/>
    </row>
    <row r="113" spans="9:41" x14ac:dyDescent="0.25">
      <c r="I113" t="s">
        <v>488</v>
      </c>
      <c r="T113" s="90"/>
      <c r="AO113"/>
    </row>
    <row r="114" spans="9:41" x14ac:dyDescent="0.25">
      <c r="I114" t="s">
        <v>489</v>
      </c>
      <c r="T114" s="26"/>
      <c r="AO114"/>
    </row>
    <row r="115" spans="9:41" ht="30" x14ac:dyDescent="0.25">
      <c r="I115" s="81" t="s">
        <v>490</v>
      </c>
      <c r="T115" s="26"/>
      <c r="AO115"/>
    </row>
    <row r="116" spans="9:41" ht="30" x14ac:dyDescent="0.25">
      <c r="I116" s="81" t="s">
        <v>491</v>
      </c>
      <c r="T116" s="26"/>
      <c r="AO116"/>
    </row>
    <row r="117" spans="9:41" ht="30" x14ac:dyDescent="0.25">
      <c r="I117" s="81" t="s">
        <v>492</v>
      </c>
      <c r="T117" s="87"/>
      <c r="AO117"/>
    </row>
    <row r="118" spans="9:41" ht="30" x14ac:dyDescent="0.25">
      <c r="I118" s="81" t="s">
        <v>493</v>
      </c>
      <c r="T118" s="26"/>
      <c r="AO118"/>
    </row>
    <row r="119" spans="9:41" ht="30" x14ac:dyDescent="0.25">
      <c r="I119" s="81" t="s">
        <v>494</v>
      </c>
      <c r="T119" s="26"/>
      <c r="AO119"/>
    </row>
    <row r="120" spans="9:41" ht="30" x14ac:dyDescent="0.25">
      <c r="I120" s="81" t="s">
        <v>495</v>
      </c>
      <c r="T120" s="26"/>
      <c r="AO120"/>
    </row>
    <row r="121" spans="9:41" ht="30" x14ac:dyDescent="0.25">
      <c r="I121" s="81" t="s">
        <v>496</v>
      </c>
      <c r="T121" s="26"/>
      <c r="AO121"/>
    </row>
    <row r="122" spans="9:41" x14ac:dyDescent="0.25">
      <c r="I122" t="s">
        <v>497</v>
      </c>
      <c r="T122" s="26"/>
      <c r="AO122"/>
    </row>
    <row r="123" spans="9:41" x14ac:dyDescent="0.25">
      <c r="I123" t="s">
        <v>498</v>
      </c>
      <c r="T123" s="26"/>
      <c r="AO123"/>
    </row>
    <row r="124" spans="9:41" x14ac:dyDescent="0.25">
      <c r="I124" t="s">
        <v>499</v>
      </c>
      <c r="T124" s="26"/>
      <c r="AO124"/>
    </row>
    <row r="125" spans="9:41" ht="30" x14ac:dyDescent="0.25">
      <c r="I125" s="81" t="s">
        <v>500</v>
      </c>
      <c r="T125" s="26"/>
      <c r="AO125"/>
    </row>
    <row r="126" spans="9:41" x14ac:dyDescent="0.25">
      <c r="I126" t="s">
        <v>501</v>
      </c>
      <c r="T126" s="26"/>
      <c r="AO126"/>
    </row>
    <row r="127" spans="9:41" x14ac:dyDescent="0.25">
      <c r="I127" t="s">
        <v>502</v>
      </c>
      <c r="T127" s="26"/>
      <c r="AO127"/>
    </row>
    <row r="128" spans="9:41" x14ac:dyDescent="0.25">
      <c r="I128" t="s">
        <v>503</v>
      </c>
      <c r="T128" s="26"/>
      <c r="AO128"/>
    </row>
    <row r="129" spans="9:41" x14ac:dyDescent="0.25">
      <c r="I129" t="s">
        <v>504</v>
      </c>
      <c r="T129" s="26"/>
      <c r="AO129"/>
    </row>
    <row r="130" spans="9:41" x14ac:dyDescent="0.25">
      <c r="I130" t="s">
        <v>505</v>
      </c>
      <c r="T130" s="26"/>
      <c r="AO130"/>
    </row>
    <row r="131" spans="9:41" x14ac:dyDescent="0.25">
      <c r="I131" t="s">
        <v>506</v>
      </c>
      <c r="T131" s="26"/>
      <c r="AO131"/>
    </row>
    <row r="132" spans="9:41" ht="30" x14ac:dyDescent="0.25">
      <c r="I132" s="81" t="s">
        <v>507</v>
      </c>
      <c r="T132" s="26"/>
      <c r="AO132"/>
    </row>
    <row r="133" spans="9:41" ht="30" x14ac:dyDescent="0.25">
      <c r="I133" s="81" t="s">
        <v>507</v>
      </c>
      <c r="T133" s="90"/>
      <c r="AO133"/>
    </row>
    <row r="134" spans="9:41" ht="30" x14ac:dyDescent="0.25">
      <c r="I134" s="81" t="s">
        <v>508</v>
      </c>
      <c r="T134" s="26"/>
      <c r="AO134"/>
    </row>
    <row r="135" spans="9:41" ht="30" x14ac:dyDescent="0.25">
      <c r="I135" s="81" t="s">
        <v>509</v>
      </c>
      <c r="T135" s="26"/>
      <c r="AO135"/>
    </row>
    <row r="136" spans="9:41" x14ac:dyDescent="0.25">
      <c r="I136" t="s">
        <v>510</v>
      </c>
      <c r="T136" s="26"/>
      <c r="AO136"/>
    </row>
    <row r="137" spans="9:41" x14ac:dyDescent="0.25">
      <c r="I137" t="s">
        <v>511</v>
      </c>
      <c r="T137" s="86"/>
      <c r="AO137"/>
    </row>
    <row r="138" spans="9:41" ht="30" x14ac:dyDescent="0.25">
      <c r="I138" s="81" t="s">
        <v>512</v>
      </c>
      <c r="T138" s="87"/>
      <c r="AO138"/>
    </row>
    <row r="139" spans="9:41" ht="30" x14ac:dyDescent="0.25">
      <c r="I139" s="81" t="s">
        <v>512</v>
      </c>
      <c r="T139" s="26"/>
      <c r="AO139"/>
    </row>
    <row r="140" spans="9:41" ht="30" x14ac:dyDescent="0.25">
      <c r="I140" s="81" t="s">
        <v>513</v>
      </c>
      <c r="T140" s="26"/>
      <c r="AO140"/>
    </row>
    <row r="141" spans="9:41" ht="30" x14ac:dyDescent="0.25">
      <c r="I141" s="81" t="s">
        <v>514</v>
      </c>
      <c r="T141" s="26"/>
      <c r="AO141"/>
    </row>
    <row r="142" spans="9:41" x14ac:dyDescent="0.25">
      <c r="I142" t="s">
        <v>515</v>
      </c>
      <c r="T142" s="26"/>
      <c r="AO142"/>
    </row>
    <row r="143" spans="9:41" ht="30" x14ac:dyDescent="0.25">
      <c r="I143" s="81" t="s">
        <v>516</v>
      </c>
      <c r="T143" s="26"/>
      <c r="AO143"/>
    </row>
    <row r="144" spans="9:41" ht="30" x14ac:dyDescent="0.25">
      <c r="I144" s="81" t="s">
        <v>517</v>
      </c>
      <c r="T144" s="26"/>
      <c r="AO144"/>
    </row>
    <row r="145" spans="9:41" x14ac:dyDescent="0.25">
      <c r="I145" t="s">
        <v>518</v>
      </c>
      <c r="T145" s="26"/>
      <c r="AO145"/>
    </row>
    <row r="146" spans="9:41" ht="45" x14ac:dyDescent="0.25">
      <c r="I146" s="81" t="s">
        <v>519</v>
      </c>
      <c r="T146" s="26"/>
      <c r="AO146"/>
    </row>
    <row r="147" spans="9:41" ht="30" x14ac:dyDescent="0.25">
      <c r="I147" s="81" t="s">
        <v>520</v>
      </c>
      <c r="T147" s="26"/>
      <c r="AO147"/>
    </row>
    <row r="148" spans="9:41" ht="30" x14ac:dyDescent="0.25">
      <c r="I148" s="81" t="s">
        <v>521</v>
      </c>
      <c r="T148" s="26"/>
      <c r="AO148"/>
    </row>
    <row r="149" spans="9:41" ht="30" x14ac:dyDescent="0.25">
      <c r="I149" s="81" t="s">
        <v>522</v>
      </c>
      <c r="T149" s="26"/>
      <c r="AO149"/>
    </row>
    <row r="150" spans="9:41" ht="30" x14ac:dyDescent="0.25">
      <c r="I150" s="81" t="s">
        <v>523</v>
      </c>
      <c r="T150" s="26"/>
      <c r="AO150"/>
    </row>
    <row r="151" spans="9:41" ht="30" x14ac:dyDescent="0.25">
      <c r="I151" s="81" t="s">
        <v>524</v>
      </c>
      <c r="T151" s="26"/>
      <c r="AO151"/>
    </row>
    <row r="152" spans="9:41" ht="30" x14ac:dyDescent="0.25">
      <c r="I152" s="81" t="s">
        <v>525</v>
      </c>
      <c r="T152" s="26"/>
      <c r="AO152"/>
    </row>
    <row r="153" spans="9:41" ht="30" x14ac:dyDescent="0.25">
      <c r="I153" s="81" t="s">
        <v>526</v>
      </c>
      <c r="T153" s="26"/>
      <c r="AO153"/>
    </row>
    <row r="154" spans="9:41" ht="30" x14ac:dyDescent="0.25">
      <c r="I154" s="81" t="s">
        <v>527</v>
      </c>
      <c r="T154" s="90"/>
      <c r="AO154"/>
    </row>
    <row r="155" spans="9:41" x14ac:dyDescent="0.25">
      <c r="I155" t="s">
        <v>528</v>
      </c>
      <c r="T155" s="26"/>
      <c r="AO155"/>
    </row>
    <row r="156" spans="9:41" ht="30" x14ac:dyDescent="0.25">
      <c r="I156" s="81" t="s">
        <v>529</v>
      </c>
      <c r="T156" s="26"/>
      <c r="AO156"/>
    </row>
    <row r="157" spans="9:41" ht="30" x14ac:dyDescent="0.25">
      <c r="I157" s="81" t="s">
        <v>530</v>
      </c>
      <c r="T157" s="26"/>
      <c r="AO157"/>
    </row>
    <row r="158" spans="9:41" ht="30" x14ac:dyDescent="0.25">
      <c r="I158" s="81" t="s">
        <v>531</v>
      </c>
      <c r="T158" s="87"/>
      <c r="AO158"/>
    </row>
    <row r="159" spans="9:41" ht="30" x14ac:dyDescent="0.25">
      <c r="I159" s="81" t="s">
        <v>532</v>
      </c>
      <c r="T159" s="26"/>
      <c r="AO159"/>
    </row>
    <row r="160" spans="9:41" ht="30" x14ac:dyDescent="0.25">
      <c r="I160" s="91" t="s">
        <v>533</v>
      </c>
      <c r="T160" s="26"/>
      <c r="AO160"/>
    </row>
    <row r="161" spans="9:41" x14ac:dyDescent="0.25">
      <c r="I161" t="s">
        <v>534</v>
      </c>
      <c r="T161" s="26"/>
      <c r="AO161"/>
    </row>
    <row r="162" spans="9:41" x14ac:dyDescent="0.25">
      <c r="I162" t="s">
        <v>535</v>
      </c>
      <c r="T162" s="26"/>
      <c r="AO162"/>
    </row>
    <row r="163" spans="9:41" x14ac:dyDescent="0.25">
      <c r="I163" t="s">
        <v>536</v>
      </c>
      <c r="T163" s="26"/>
      <c r="AO163"/>
    </row>
    <row r="164" spans="9:41" x14ac:dyDescent="0.25">
      <c r="I164" t="s">
        <v>537</v>
      </c>
      <c r="T164" s="26"/>
      <c r="AO164"/>
    </row>
    <row r="165" spans="9:41" x14ac:dyDescent="0.25">
      <c r="I165" t="s">
        <v>538</v>
      </c>
      <c r="T165" s="26"/>
      <c r="AO165"/>
    </row>
    <row r="166" spans="9:41" x14ac:dyDescent="0.25">
      <c r="I166" t="s">
        <v>539</v>
      </c>
      <c r="T166" s="26"/>
      <c r="AO166"/>
    </row>
    <row r="167" spans="9:41" x14ac:dyDescent="0.25">
      <c r="I167" t="s">
        <v>540</v>
      </c>
      <c r="T167" s="26"/>
      <c r="AO167"/>
    </row>
    <row r="168" spans="9:41" x14ac:dyDescent="0.25">
      <c r="I168" t="s">
        <v>541</v>
      </c>
      <c r="T168" s="26"/>
      <c r="AO168"/>
    </row>
    <row r="169" spans="9:41" x14ac:dyDescent="0.25">
      <c r="I169" t="s">
        <v>542</v>
      </c>
      <c r="T169" s="26"/>
      <c r="AO169"/>
    </row>
    <row r="170" spans="9:41" x14ac:dyDescent="0.25">
      <c r="I170" t="s">
        <v>543</v>
      </c>
      <c r="T170" s="26"/>
      <c r="AO170"/>
    </row>
    <row r="171" spans="9:41" x14ac:dyDescent="0.25">
      <c r="I171" t="s">
        <v>544</v>
      </c>
      <c r="T171" s="26"/>
      <c r="AO171"/>
    </row>
    <row r="172" spans="9:41" x14ac:dyDescent="0.25">
      <c r="I172" t="s">
        <v>545</v>
      </c>
      <c r="T172" s="26"/>
      <c r="AO172"/>
    </row>
    <row r="173" spans="9:41" x14ac:dyDescent="0.25">
      <c r="I173" t="s">
        <v>546</v>
      </c>
      <c r="T173" s="26"/>
      <c r="AO173"/>
    </row>
    <row r="174" spans="9:41" x14ac:dyDescent="0.25">
      <c r="I174" t="s">
        <v>547</v>
      </c>
      <c r="T174" s="90"/>
      <c r="AO174"/>
    </row>
    <row r="175" spans="9:41" x14ac:dyDescent="0.25">
      <c r="I175" t="s">
        <v>548</v>
      </c>
      <c r="T175" s="26"/>
      <c r="AO175"/>
    </row>
    <row r="176" spans="9:41" x14ac:dyDescent="0.25">
      <c r="I176" t="s">
        <v>549</v>
      </c>
      <c r="T176" s="26"/>
      <c r="AO176"/>
    </row>
    <row r="177" spans="1:41" ht="30" x14ac:dyDescent="0.25">
      <c r="I177" s="81" t="s">
        <v>550</v>
      </c>
      <c r="T177" s="26"/>
      <c r="AO177"/>
    </row>
    <row r="178" spans="1:41" x14ac:dyDescent="0.25">
      <c r="I178" t="s">
        <v>551</v>
      </c>
      <c r="T178" s="87"/>
      <c r="AO178"/>
    </row>
    <row r="179" spans="1:41" x14ac:dyDescent="0.25">
      <c r="I179" t="s">
        <v>552</v>
      </c>
      <c r="T179" s="26"/>
      <c r="AO179"/>
    </row>
    <row r="180" spans="1:41" x14ac:dyDescent="0.25">
      <c r="I180" t="s">
        <v>553</v>
      </c>
      <c r="T180" s="26"/>
      <c r="AO180"/>
    </row>
    <row r="181" spans="1:41" x14ac:dyDescent="0.25">
      <c r="I181" t="s">
        <v>554</v>
      </c>
      <c r="T181" s="26"/>
      <c r="AO181"/>
    </row>
    <row r="182" spans="1:41" x14ac:dyDescent="0.25">
      <c r="I182" t="s">
        <v>555</v>
      </c>
      <c r="T182" s="26"/>
      <c r="AO182"/>
    </row>
    <row r="183" spans="1:41" x14ac:dyDescent="0.25">
      <c r="I183" t="s">
        <v>556</v>
      </c>
      <c r="T183" s="26"/>
      <c r="AO183"/>
    </row>
    <row r="184" spans="1:41" x14ac:dyDescent="0.25">
      <c r="I184" t="s">
        <v>557</v>
      </c>
      <c r="T184" s="26"/>
      <c r="AO184"/>
    </row>
    <row r="185" spans="1:41" x14ac:dyDescent="0.25">
      <c r="I185" t="s">
        <v>558</v>
      </c>
      <c r="T185" s="26"/>
      <c r="AO185"/>
    </row>
    <row r="186" spans="1:41" ht="30" x14ac:dyDescent="0.25">
      <c r="I186" s="81" t="s">
        <v>559</v>
      </c>
      <c r="T186" s="26"/>
      <c r="AO186"/>
    </row>
    <row r="187" spans="1:41" ht="30" x14ac:dyDescent="0.25">
      <c r="I187" s="81" t="s">
        <v>560</v>
      </c>
      <c r="T187" s="26"/>
      <c r="AO187"/>
    </row>
    <row r="188" spans="1:41" ht="30" x14ac:dyDescent="0.25">
      <c r="I188" s="81" t="s">
        <v>561</v>
      </c>
      <c r="T188" s="26"/>
      <c r="AO188"/>
    </row>
    <row r="189" spans="1:41" ht="30" x14ac:dyDescent="0.25">
      <c r="I189" s="81" t="s">
        <v>562</v>
      </c>
      <c r="T189" s="26"/>
      <c r="AO189"/>
    </row>
    <row r="190" spans="1:41" ht="30" x14ac:dyDescent="0.25">
      <c r="A190" s="92"/>
      <c r="I190" s="81" t="s">
        <v>563</v>
      </c>
      <c r="T190" s="26"/>
      <c r="AO190"/>
    </row>
    <row r="191" spans="1:41" x14ac:dyDescent="0.25">
      <c r="A191" s="92"/>
      <c r="I191" t="s">
        <v>564</v>
      </c>
      <c r="T191" s="26"/>
      <c r="AO191"/>
    </row>
    <row r="192" spans="1:41" x14ac:dyDescent="0.25">
      <c r="I192" t="s">
        <v>565</v>
      </c>
      <c r="T192" s="26"/>
      <c r="AO192"/>
    </row>
    <row r="193" spans="1:41" x14ac:dyDescent="0.25">
      <c r="I193" t="s">
        <v>566</v>
      </c>
      <c r="T193" s="26"/>
      <c r="AO193"/>
    </row>
    <row r="194" spans="1:41" x14ac:dyDescent="0.25">
      <c r="I194" t="s">
        <v>567</v>
      </c>
      <c r="T194" s="90"/>
      <c r="AO194"/>
    </row>
    <row r="195" spans="1:41" x14ac:dyDescent="0.25">
      <c r="A195" s="92"/>
      <c r="I195" t="s">
        <v>568</v>
      </c>
      <c r="T195" s="26"/>
      <c r="AO195"/>
    </row>
    <row r="196" spans="1:41" x14ac:dyDescent="0.25">
      <c r="A196" s="92"/>
      <c r="I196" t="s">
        <v>569</v>
      </c>
      <c r="AO196"/>
    </row>
    <row r="197" spans="1:41" x14ac:dyDescent="0.25">
      <c r="I197" t="s">
        <v>570</v>
      </c>
      <c r="AO197"/>
    </row>
    <row r="198" spans="1:41" ht="14.25" customHeight="1" x14ac:dyDescent="0.25">
      <c r="A198" s="92"/>
      <c r="I198" t="s">
        <v>571</v>
      </c>
      <c r="AO198"/>
    </row>
    <row r="199" spans="1:41" ht="30" x14ac:dyDescent="0.25">
      <c r="A199" s="94"/>
      <c r="I199" s="81" t="s">
        <v>572</v>
      </c>
      <c r="AO199"/>
    </row>
    <row r="200" spans="1:41" x14ac:dyDescent="0.25">
      <c r="I200" t="s">
        <v>57</v>
      </c>
      <c r="AO200"/>
    </row>
    <row r="201" spans="1:41" ht="45" x14ac:dyDescent="0.25">
      <c r="I201" s="81" t="s">
        <v>573</v>
      </c>
      <c r="AO201"/>
    </row>
    <row r="202" spans="1:41" x14ac:dyDescent="0.25">
      <c r="I202" t="s">
        <v>574</v>
      </c>
      <c r="AO202"/>
    </row>
    <row r="203" spans="1:41" x14ac:dyDescent="0.25">
      <c r="I203" t="s">
        <v>575</v>
      </c>
      <c r="AO203"/>
    </row>
    <row r="204" spans="1:41" x14ac:dyDescent="0.25">
      <c r="I204" t="s">
        <v>576</v>
      </c>
      <c r="AO204"/>
    </row>
    <row r="205" spans="1:41" x14ac:dyDescent="0.25">
      <c r="I205" t="s">
        <v>577</v>
      </c>
      <c r="AO205"/>
    </row>
    <row r="206" spans="1:41" x14ac:dyDescent="0.25">
      <c r="I206" t="s">
        <v>578</v>
      </c>
      <c r="AO206"/>
    </row>
    <row r="207" spans="1:41" x14ac:dyDescent="0.25">
      <c r="I207" t="s">
        <v>579</v>
      </c>
      <c r="AO207"/>
    </row>
    <row r="208" spans="1:41" x14ac:dyDescent="0.25">
      <c r="I208" t="s">
        <v>580</v>
      </c>
      <c r="AO208"/>
    </row>
    <row r="209" spans="9:41" x14ac:dyDescent="0.25">
      <c r="I209" t="s">
        <v>581</v>
      </c>
      <c r="AO209"/>
    </row>
    <row r="210" spans="9:41" x14ac:dyDescent="0.25">
      <c r="I210" s="95" t="s">
        <v>582</v>
      </c>
      <c r="AO210"/>
    </row>
    <row r="211" spans="9:41" ht="45" x14ac:dyDescent="0.25">
      <c r="I211" s="81" t="s">
        <v>583</v>
      </c>
      <c r="AO211"/>
    </row>
    <row r="212" spans="9:41" ht="45" x14ac:dyDescent="0.25">
      <c r="I212" s="81" t="s">
        <v>584</v>
      </c>
      <c r="AO212"/>
    </row>
    <row r="213" spans="9:41" ht="30" x14ac:dyDescent="0.25">
      <c r="I213" s="81" t="s">
        <v>585</v>
      </c>
      <c r="AO213"/>
    </row>
    <row r="214" spans="9:41" x14ac:dyDescent="0.25">
      <c r="I214" t="s">
        <v>586</v>
      </c>
      <c r="AO214"/>
    </row>
    <row r="215" spans="9:41" x14ac:dyDescent="0.25">
      <c r="I215" s="96"/>
      <c r="AO215"/>
    </row>
    <row r="216" spans="9:41" x14ac:dyDescent="0.25">
      <c r="I216" s="96"/>
      <c r="AO216"/>
    </row>
    <row r="217" spans="9:41" x14ac:dyDescent="0.25">
      <c r="I217" s="97"/>
      <c r="AO217"/>
    </row>
    <row r="218" spans="9:41" x14ac:dyDescent="0.25">
      <c r="I218" s="98"/>
      <c r="AO218"/>
    </row>
    <row r="219" spans="9:41" x14ac:dyDescent="0.25">
      <c r="I219" s="96"/>
      <c r="AO219"/>
    </row>
    <row r="220" spans="9:41" x14ac:dyDescent="0.25">
      <c r="I220" s="96"/>
      <c r="AO220"/>
    </row>
    <row r="221" spans="9:41" x14ac:dyDescent="0.25">
      <c r="I221" s="96"/>
      <c r="AO221"/>
    </row>
    <row r="222" spans="9:41" x14ac:dyDescent="0.25">
      <c r="I222" s="96"/>
      <c r="AO222"/>
    </row>
    <row r="223" spans="9:41" x14ac:dyDescent="0.25">
      <c r="I223" s="98"/>
      <c r="AO223"/>
    </row>
    <row r="224" spans="9:41" x14ac:dyDescent="0.25">
      <c r="I224" s="98"/>
      <c r="AO224"/>
    </row>
    <row r="225" spans="9:41" x14ac:dyDescent="0.25">
      <c r="I225" s="96"/>
      <c r="AO225"/>
    </row>
    <row r="226" spans="9:41" x14ac:dyDescent="0.25">
      <c r="I226" s="98"/>
      <c r="AO226"/>
    </row>
    <row r="227" spans="9:41" x14ac:dyDescent="0.25">
      <c r="I227" s="56"/>
      <c r="AO227"/>
    </row>
    <row r="228" spans="9:41" x14ac:dyDescent="0.25">
      <c r="I228" s="56"/>
      <c r="AO228"/>
    </row>
    <row r="229" spans="9:41" x14ac:dyDescent="0.25">
      <c r="I229" s="56"/>
      <c r="AO229"/>
    </row>
    <row r="230" spans="9:41" x14ac:dyDescent="0.25">
      <c r="I230" s="56"/>
      <c r="AO230"/>
    </row>
    <row r="231" spans="9:41" x14ac:dyDescent="0.25">
      <c r="I231" s="56"/>
      <c r="AO231"/>
    </row>
    <row r="232" spans="9:41" x14ac:dyDescent="0.25">
      <c r="I232" s="56"/>
      <c r="AO232"/>
    </row>
    <row r="233" spans="9:41" x14ac:dyDescent="0.25">
      <c r="I233" s="56"/>
      <c r="AO233"/>
    </row>
    <row r="234" spans="9:41" x14ac:dyDescent="0.25">
      <c r="I234" s="56"/>
      <c r="AO234"/>
    </row>
    <row r="235" spans="9:41" x14ac:dyDescent="0.25">
      <c r="I235" s="56"/>
      <c r="AO235"/>
    </row>
    <row r="236" spans="9:41" x14ac:dyDescent="0.25">
      <c r="I236" s="56"/>
      <c r="AO236"/>
    </row>
    <row r="237" spans="9:41" x14ac:dyDescent="0.25">
      <c r="I237" s="56"/>
      <c r="AO237"/>
    </row>
    <row r="238" spans="9:41" x14ac:dyDescent="0.25">
      <c r="I238" s="56"/>
      <c r="AO238"/>
    </row>
    <row r="239" spans="9:41" x14ac:dyDescent="0.25">
      <c r="I239" s="56"/>
      <c r="AO239"/>
    </row>
    <row r="240" spans="9:41" x14ac:dyDescent="0.25">
      <c r="I240" s="56"/>
      <c r="AO240"/>
    </row>
    <row r="241" spans="9:41" x14ac:dyDescent="0.25">
      <c r="I241" s="56"/>
      <c r="AO241"/>
    </row>
    <row r="242" spans="9:41" x14ac:dyDescent="0.25">
      <c r="I242" s="56"/>
      <c r="AO242"/>
    </row>
    <row r="243" spans="9:41" x14ac:dyDescent="0.25">
      <c r="I243" s="56"/>
      <c r="AO243"/>
    </row>
    <row r="244" spans="9:41" x14ac:dyDescent="0.25">
      <c r="I244" s="56"/>
      <c r="AO244"/>
    </row>
    <row r="245" spans="9:41" x14ac:dyDescent="0.25">
      <c r="AO245"/>
    </row>
    <row r="246" spans="9:41" x14ac:dyDescent="0.25">
      <c r="AO246"/>
    </row>
    <row r="247" spans="9:41" x14ac:dyDescent="0.25">
      <c r="AO247"/>
    </row>
    <row r="248" spans="9:41" x14ac:dyDescent="0.25">
      <c r="AO248"/>
    </row>
    <row r="249" spans="9:41" x14ac:dyDescent="0.25">
      <c r="AO249"/>
    </row>
    <row r="250" spans="9:41" x14ac:dyDescent="0.25">
      <c r="AO250"/>
    </row>
    <row r="251" spans="9:41" x14ac:dyDescent="0.25">
      <c r="AO251"/>
    </row>
    <row r="252" spans="9:41" x14ac:dyDescent="0.25">
      <c r="AO252"/>
    </row>
    <row r="253" spans="9:41" x14ac:dyDescent="0.25">
      <c r="AO253"/>
    </row>
    <row r="254" spans="9:41" x14ac:dyDescent="0.25">
      <c r="AO254"/>
    </row>
    <row r="255" spans="9:41" x14ac:dyDescent="0.25">
      <c r="AO255"/>
    </row>
    <row r="256" spans="9:41" x14ac:dyDescent="0.25">
      <c r="AO256"/>
    </row>
    <row r="257" spans="41:41" x14ac:dyDescent="0.25">
      <c r="AO257"/>
    </row>
    <row r="258" spans="41:41" x14ac:dyDescent="0.25">
      <c r="AO258"/>
    </row>
    <row r="259" spans="41:41" x14ac:dyDescent="0.25">
      <c r="AO259"/>
    </row>
    <row r="260" spans="41:41" x14ac:dyDescent="0.25">
      <c r="AO260"/>
    </row>
    <row r="261" spans="41:41" x14ac:dyDescent="0.25">
      <c r="AO261"/>
    </row>
    <row r="262" spans="41:41" x14ac:dyDescent="0.25">
      <c r="AO262"/>
    </row>
    <row r="263" spans="41:41" x14ac:dyDescent="0.25">
      <c r="AO263"/>
    </row>
    <row r="264" spans="41:41" x14ac:dyDescent="0.25">
      <c r="AO264"/>
    </row>
    <row r="265" spans="41:41" x14ac:dyDescent="0.25">
      <c r="AO265"/>
    </row>
    <row r="266" spans="41:41" x14ac:dyDescent="0.25">
      <c r="AO266"/>
    </row>
    <row r="267" spans="41:41" x14ac:dyDescent="0.25">
      <c r="AO267"/>
    </row>
    <row r="268" spans="41:41" x14ac:dyDescent="0.25">
      <c r="AO268"/>
    </row>
    <row r="269" spans="41:41" x14ac:dyDescent="0.25">
      <c r="AO269"/>
    </row>
    <row r="270" spans="41:41" x14ac:dyDescent="0.25">
      <c r="AO270"/>
    </row>
    <row r="271" spans="41:41" x14ac:dyDescent="0.25">
      <c r="AO271"/>
    </row>
    <row r="272" spans="41:41" x14ac:dyDescent="0.25">
      <c r="AO272"/>
    </row>
    <row r="273" spans="41:41" x14ac:dyDescent="0.25">
      <c r="AO273"/>
    </row>
    <row r="274" spans="41:41" x14ac:dyDescent="0.25">
      <c r="AO274"/>
    </row>
    <row r="275" spans="41:41" x14ac:dyDescent="0.25">
      <c r="AO275"/>
    </row>
    <row r="276" spans="41:41" x14ac:dyDescent="0.25">
      <c r="AO276"/>
    </row>
    <row r="277" spans="41:41" x14ac:dyDescent="0.25">
      <c r="AO277"/>
    </row>
    <row r="278" spans="41:41" x14ac:dyDescent="0.25">
      <c r="AO278"/>
    </row>
    <row r="279" spans="41:41" x14ac:dyDescent="0.25">
      <c r="AO279"/>
    </row>
    <row r="280" spans="41:41" x14ac:dyDescent="0.25">
      <c r="AO280"/>
    </row>
    <row r="281" spans="41:41" x14ac:dyDescent="0.25">
      <c r="AO281"/>
    </row>
    <row r="282" spans="41:41" x14ac:dyDescent="0.25">
      <c r="AO282"/>
    </row>
    <row r="283" spans="41:41" x14ac:dyDescent="0.25">
      <c r="AO283"/>
    </row>
    <row r="284" spans="41:41" x14ac:dyDescent="0.25">
      <c r="AO284"/>
    </row>
    <row r="285" spans="41:41" x14ac:dyDescent="0.25">
      <c r="AO285"/>
    </row>
    <row r="286" spans="41:41" x14ac:dyDescent="0.25">
      <c r="AO286"/>
    </row>
    <row r="287" spans="41:41" x14ac:dyDescent="0.25">
      <c r="AO287"/>
    </row>
    <row r="288" spans="41:41" x14ac:dyDescent="0.25">
      <c r="AO288"/>
    </row>
    <row r="289" spans="41:41" x14ac:dyDescent="0.25">
      <c r="AO289"/>
    </row>
    <row r="290" spans="41:41" x14ac:dyDescent="0.25">
      <c r="AO290"/>
    </row>
    <row r="291" spans="41:41" x14ac:dyDescent="0.25">
      <c r="AO291"/>
    </row>
    <row r="292" spans="41:41" x14ac:dyDescent="0.25">
      <c r="AO292"/>
    </row>
    <row r="293" spans="41:41" x14ac:dyDescent="0.25">
      <c r="AO293"/>
    </row>
    <row r="294" spans="41:41" x14ac:dyDescent="0.25">
      <c r="AO294"/>
    </row>
    <row r="295" spans="41:41" x14ac:dyDescent="0.25">
      <c r="AO295"/>
    </row>
    <row r="296" spans="41:41" x14ac:dyDescent="0.25">
      <c r="AO296"/>
    </row>
    <row r="297" spans="41:41" x14ac:dyDescent="0.25">
      <c r="AO297"/>
    </row>
    <row r="298" spans="41:41" x14ac:dyDescent="0.25">
      <c r="AO298" s="92"/>
    </row>
    <row r="299" spans="41:41" x14ac:dyDescent="0.25">
      <c r="AO299" s="92"/>
    </row>
    <row r="300" spans="41:41" x14ac:dyDescent="0.25">
      <c r="AO300"/>
    </row>
    <row r="301" spans="41:41" x14ac:dyDescent="0.25">
      <c r="AO301"/>
    </row>
    <row r="302" spans="41:41" x14ac:dyDescent="0.25">
      <c r="AO302"/>
    </row>
    <row r="303" spans="41:41" x14ac:dyDescent="0.25">
      <c r="AO303" s="92"/>
    </row>
    <row r="304" spans="41:41" x14ac:dyDescent="0.25">
      <c r="AO304" s="92"/>
    </row>
    <row r="305" spans="41:41" x14ac:dyDescent="0.25">
      <c r="AO305"/>
    </row>
    <row r="306" spans="41:41" x14ac:dyDescent="0.25">
      <c r="AO306" s="92"/>
    </row>
    <row r="307" spans="41:41" x14ac:dyDescent="0.25">
      <c r="AO307" s="94"/>
    </row>
    <row r="308" spans="41:41" x14ac:dyDescent="0.25">
      <c r="AO308"/>
    </row>
    <row r="309" spans="41:41" x14ac:dyDescent="0.25">
      <c r="AO309"/>
    </row>
    <row r="310" spans="41:41" x14ac:dyDescent="0.25">
      <c r="AO310"/>
    </row>
    <row r="311" spans="41:41" x14ac:dyDescent="0.25">
      <c r="AO311"/>
    </row>
    <row r="312" spans="41:41" x14ac:dyDescent="0.25">
      <c r="AO312"/>
    </row>
    <row r="313" spans="41:41" x14ac:dyDescent="0.25">
      <c r="AO313"/>
    </row>
    <row r="314" spans="41:41" x14ac:dyDescent="0.25">
      <c r="AO314"/>
    </row>
    <row r="315" spans="41:41" x14ac:dyDescent="0.25">
      <c r="AO315"/>
    </row>
    <row r="316" spans="41:41" x14ac:dyDescent="0.25">
      <c r="AO316"/>
    </row>
    <row r="317" spans="41:41" x14ac:dyDescent="0.25">
      <c r="AO317"/>
    </row>
    <row r="318" spans="41:41" x14ac:dyDescent="0.25">
      <c r="AO318"/>
    </row>
    <row r="319" spans="41:41" x14ac:dyDescent="0.25">
      <c r="AO319"/>
    </row>
    <row r="320" spans="41:41" x14ac:dyDescent="0.25">
      <c r="AO320"/>
    </row>
  </sheetData>
  <sheetProtection algorithmName="SHA-512" hashValue="Ntr2JRUDpftI++lkJwe1ZEq2VYy1PTyj0ogPnq/j0DsCaCxc+MFKpPMLxJQiiKotxqihnrNtT9xiIgbk/Z7snQ==" saltValue="5Znz+R6kmop2DR9wyKxStw==" spinCount="100000" sheet="1" objects="1" scenarios="1"/>
  <mergeCells count="18">
    <mergeCell ref="AZ18:BA18"/>
    <mergeCell ref="AZ7:BA7"/>
    <mergeCell ref="AZ8:BA8"/>
    <mergeCell ref="AZ9:BA9"/>
    <mergeCell ref="AZ10:BA10"/>
    <mergeCell ref="AZ11:BA11"/>
    <mergeCell ref="AZ12:BA12"/>
    <mergeCell ref="AZ13:BA13"/>
    <mergeCell ref="AZ14:BA14"/>
    <mergeCell ref="AZ15:BA15"/>
    <mergeCell ref="AZ16:BA16"/>
    <mergeCell ref="AZ17:BA17"/>
    <mergeCell ref="AZ6:BA6"/>
    <mergeCell ref="AZ1:BA1"/>
    <mergeCell ref="AZ2:BA2"/>
    <mergeCell ref="AZ3:BA3"/>
    <mergeCell ref="AZ4:BA4"/>
    <mergeCell ref="AZ5:BA5"/>
  </mergeCells>
  <dataValidations count="1">
    <dataValidation allowBlank="1" showInputMessage="1" showErrorMessage="1" sqref="I67"/>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07"/>
  <sheetViews>
    <sheetView showGridLines="0" topLeftCell="A51" zoomScaleNormal="100" workbookViewId="0">
      <selection activeCell="J61" sqref="J61"/>
    </sheetView>
  </sheetViews>
  <sheetFormatPr defaultColWidth="9.140625" defaultRowHeight="15" customHeight="1" x14ac:dyDescent="0.2"/>
  <cols>
    <col min="1" max="1" width="4.140625" style="126" customWidth="1"/>
    <col min="2" max="2" width="13.5703125" style="126" customWidth="1"/>
    <col min="3" max="3" width="61.5703125" style="126" customWidth="1"/>
    <col min="4" max="4" width="3.5703125" style="126" customWidth="1"/>
    <col min="5" max="5" width="27.5703125" style="126" customWidth="1"/>
    <col min="6" max="6" width="39.140625" style="126" bestFit="1" customWidth="1"/>
    <col min="7" max="7" width="3.5703125" style="126" customWidth="1"/>
    <col min="8" max="15" width="9.140625" style="126" customWidth="1"/>
    <col min="16" max="16" width="3.5703125" style="126" customWidth="1"/>
    <col min="17" max="16384" width="9.140625" style="126"/>
  </cols>
  <sheetData>
    <row r="1" spans="1:6" x14ac:dyDescent="0.2">
      <c r="A1" s="124"/>
      <c r="B1" s="124"/>
      <c r="C1" s="124"/>
      <c r="D1" s="124"/>
      <c r="E1" s="124"/>
      <c r="F1" s="124"/>
    </row>
    <row r="2" spans="1:6" s="124" customFormat="1" ht="18" x14ac:dyDescent="0.25">
      <c r="C2" s="127"/>
    </row>
    <row r="3" spans="1:6" s="124" customFormat="1" ht="29.25" customHeight="1" x14ac:dyDescent="0.25">
      <c r="C3" s="127"/>
    </row>
    <row r="4" spans="1:6" s="124" customFormat="1" ht="29.25" customHeight="1" x14ac:dyDescent="0.25">
      <c r="C4" s="127"/>
    </row>
    <row r="5" spans="1:6" s="124" customFormat="1" ht="29.25" customHeight="1" x14ac:dyDescent="0.25">
      <c r="C5" s="127"/>
    </row>
    <row r="6" spans="1:6" s="124" customFormat="1" x14ac:dyDescent="0.2"/>
    <row r="7" spans="1:6" s="124" customFormat="1" x14ac:dyDescent="0.2"/>
    <row r="8" spans="1:6" s="124" customFormat="1" ht="15.75" x14ac:dyDescent="0.25">
      <c r="A8" s="161" t="s">
        <v>722</v>
      </c>
    </row>
    <row r="9" spans="1:6" s="124" customFormat="1" ht="23.25" x14ac:dyDescent="0.2">
      <c r="C9" s="491" t="str">
        <f>IF('1. Information Sheet'!F26 = "COS", "Preliminary Materiality Threshold Calculation", "Final Materiality Threshold Calculation")</f>
        <v>Final Materiality Threshold Calculation</v>
      </c>
      <c r="D9" s="491"/>
      <c r="E9" s="491"/>
    </row>
    <row r="10" spans="1:6" s="124" customFormat="1" ht="15.75" customHeight="1" x14ac:dyDescent="0.4">
      <c r="C10" s="162"/>
    </row>
    <row r="11" spans="1:6" s="124" customFormat="1" x14ac:dyDescent="0.2"/>
    <row r="12" spans="1:6" s="124" customFormat="1" x14ac:dyDescent="0.2"/>
    <row r="13" spans="1:6" s="124" customFormat="1" ht="23.25" customHeight="1" x14ac:dyDescent="0.25">
      <c r="C13" s="128" t="s">
        <v>723</v>
      </c>
      <c r="E13" s="183">
        <f>IF('1. Information Sheet'!F26="COS",'1. Information Sheet'!M26,'1. Information Sheet'!F34)</f>
        <v>2011</v>
      </c>
    </row>
    <row r="14" spans="1:6" s="124" customFormat="1" ht="15.75" x14ac:dyDescent="0.25">
      <c r="C14" s="128" t="s">
        <v>724</v>
      </c>
      <c r="E14" s="183">
        <f>IF('1. Information Sheet'!F26="CoS", "COS",'1. Information Sheet'!F28)</f>
        <v>12</v>
      </c>
      <c r="F14" s="161"/>
    </row>
    <row r="15" spans="1:6" s="124" customFormat="1" x14ac:dyDescent="0.2">
      <c r="E15" s="163"/>
    </row>
    <row r="16" spans="1:6" s="124" customFormat="1" ht="15.75" x14ac:dyDescent="0.25">
      <c r="C16" s="164" t="s">
        <v>16</v>
      </c>
      <c r="D16" s="165"/>
      <c r="E16" s="166">
        <f>'1. Information Sheet'!F46</f>
        <v>3.0000000000000002E-2</v>
      </c>
      <c r="F16" s="161"/>
    </row>
    <row r="17" spans="3:6" s="124" customFormat="1" ht="15.75" x14ac:dyDescent="0.25">
      <c r="C17" s="128" t="s">
        <v>725</v>
      </c>
    </row>
    <row r="18" spans="3:6" s="124" customFormat="1" ht="21" customHeight="1" x14ac:dyDescent="0.25">
      <c r="C18" s="167" t="str">
        <f>'1. Information Sheet'!F48</f>
        <v>Revenues Based on 2021 Actual Distribution Demand</v>
      </c>
      <c r="E18" s="168">
        <f>'4. Growth Factor - NUM_CALC2'!N23</f>
        <v>25353511.700999998</v>
      </c>
      <c r="F18" s="128"/>
    </row>
    <row r="19" spans="3:6" s="124" customFormat="1" ht="12.75" customHeight="1" x14ac:dyDescent="0.25">
      <c r="C19" s="167" t="str">
        <f>'1. Information Sheet'!F49</f>
        <v>Revenues Based on 2011 Board-Approved Distribution Demand</v>
      </c>
      <c r="E19" s="168">
        <f>'6. Growth Factor - DEN_CALC'!N23</f>
        <v>22825997.504199993</v>
      </c>
      <c r="F19" s="128"/>
    </row>
    <row r="20" spans="3:6" s="124" customFormat="1" ht="15.75" x14ac:dyDescent="0.25">
      <c r="C20" s="164" t="s">
        <v>726</v>
      </c>
      <c r="D20" s="165"/>
      <c r="E20" s="166">
        <f>IF(ISERROR(E18/E19-1),0,(E18/E19-1)/('1. Information Sheet'!I48-'1. Information Sheet'!I49))</f>
        <v>1.1072962731792724E-2</v>
      </c>
      <c r="F20" s="161"/>
    </row>
    <row r="21" spans="3:6" s="124" customFormat="1" ht="15.75" x14ac:dyDescent="0.25">
      <c r="C21" s="164" t="s">
        <v>727</v>
      </c>
      <c r="D21" s="165"/>
      <c r="E21" s="169">
        <v>0.1</v>
      </c>
      <c r="F21" s="128"/>
    </row>
    <row r="22" spans="3:6" s="124" customFormat="1" ht="24.75" customHeight="1" x14ac:dyDescent="0.25">
      <c r="C22" s="128" t="s">
        <v>616</v>
      </c>
      <c r="E22" s="163"/>
    </row>
    <row r="23" spans="3:6" s="124" customFormat="1" x14ac:dyDescent="0.2">
      <c r="C23" s="124" t="s">
        <v>728</v>
      </c>
      <c r="E23" s="170">
        <f>'5. Rev_Requ_Check'!C10</f>
        <v>129145318</v>
      </c>
    </row>
    <row r="24" spans="3:6" s="124" customFormat="1" x14ac:dyDescent="0.2">
      <c r="C24" s="133" t="s">
        <v>729</v>
      </c>
      <c r="E24" s="170">
        <f>'5. Rev_Requ_Check'!C11</f>
        <v>0</v>
      </c>
    </row>
    <row r="25" spans="3:6" s="124" customFormat="1" x14ac:dyDescent="0.2">
      <c r="C25" s="133" t="s">
        <v>730</v>
      </c>
      <c r="E25" s="170">
        <f>'5. Rev_Requ_Check'!C12</f>
        <v>0</v>
      </c>
    </row>
    <row r="26" spans="3:6" s="124" customFormat="1" x14ac:dyDescent="0.2">
      <c r="C26" s="133" t="s">
        <v>731</v>
      </c>
      <c r="E26" s="170">
        <f>'5. Rev_Requ_Check'!C13</f>
        <v>0</v>
      </c>
    </row>
    <row r="27" spans="3:6" s="124" customFormat="1" x14ac:dyDescent="0.2">
      <c r="C27" s="133" t="s">
        <v>732</v>
      </c>
      <c r="E27" s="170">
        <f>'5. Rev_Requ_Check'!C14</f>
        <v>0</v>
      </c>
    </row>
    <row r="28" spans="3:6" s="124" customFormat="1" x14ac:dyDescent="0.2">
      <c r="C28" s="133" t="s">
        <v>733</v>
      </c>
      <c r="E28" s="170">
        <f>'5. Rev_Requ_Check'!C15</f>
        <v>0</v>
      </c>
    </row>
    <row r="29" spans="3:6" s="124" customFormat="1" x14ac:dyDescent="0.2">
      <c r="C29" s="124" t="s">
        <v>734</v>
      </c>
      <c r="E29" s="170">
        <f>'5. Rev_Requ_Check'!C16</f>
        <v>129145318</v>
      </c>
    </row>
    <row r="30" spans="3:6" s="124" customFormat="1" x14ac:dyDescent="0.2">
      <c r="E30" s="170"/>
    </row>
    <row r="31" spans="3:6" s="124" customFormat="1" x14ac:dyDescent="0.2">
      <c r="C31" s="124" t="s">
        <v>628</v>
      </c>
      <c r="E31" s="171">
        <f>(E23+E29)/2</f>
        <v>129145318</v>
      </c>
    </row>
    <row r="32" spans="3:6" s="124" customFormat="1" x14ac:dyDescent="0.2">
      <c r="E32" s="170"/>
    </row>
    <row r="33" spans="3:6" s="124" customFormat="1" x14ac:dyDescent="0.2">
      <c r="C33" s="133" t="s">
        <v>735</v>
      </c>
      <c r="E33" s="170">
        <f>'5. Rev_Requ_Check'!C19</f>
        <v>64061997</v>
      </c>
    </row>
    <row r="34" spans="3:6" s="124" customFormat="1" ht="15.75" x14ac:dyDescent="0.25">
      <c r="C34" s="172" t="s">
        <v>736</v>
      </c>
      <c r="E34" s="170">
        <f>'5. Rev_Requ_Check'!C20</f>
        <v>4800644</v>
      </c>
      <c r="F34" s="128"/>
    </row>
    <row r="35" spans="3:6" s="124" customFormat="1" x14ac:dyDescent="0.2">
      <c r="C35" s="172" t="s">
        <v>737</v>
      </c>
      <c r="E35" s="170">
        <f>'5. Rev_Requ_Check'!C21</f>
        <v>0</v>
      </c>
    </row>
    <row r="36" spans="3:6" s="124" customFormat="1" x14ac:dyDescent="0.2">
      <c r="C36" s="172" t="s">
        <v>738</v>
      </c>
      <c r="E36" s="170">
        <f>'5. Rev_Requ_Check'!C22</f>
        <v>0</v>
      </c>
    </row>
    <row r="37" spans="3:6" s="124" customFormat="1" x14ac:dyDescent="0.2">
      <c r="C37" s="133" t="s">
        <v>739</v>
      </c>
      <c r="E37" s="170">
        <f>'5. Rev_Requ_Check'!C23</f>
        <v>68862641</v>
      </c>
    </row>
    <row r="38" spans="3:6" s="124" customFormat="1" x14ac:dyDescent="0.2">
      <c r="C38" s="133"/>
      <c r="E38" s="170"/>
    </row>
    <row r="39" spans="3:6" s="124" customFormat="1" x14ac:dyDescent="0.2">
      <c r="C39" s="124" t="s">
        <v>640</v>
      </c>
      <c r="E39" s="171">
        <f>(E33+E37)/2</f>
        <v>66462319</v>
      </c>
    </row>
    <row r="40" spans="3:6" s="124" customFormat="1" x14ac:dyDescent="0.2">
      <c r="E40" s="170"/>
    </row>
    <row r="41" spans="3:6" s="124" customFormat="1" ht="15.75" x14ac:dyDescent="0.25">
      <c r="C41" s="128" t="s">
        <v>642</v>
      </c>
      <c r="E41" s="171">
        <f>E31-E39</f>
        <v>62682999</v>
      </c>
      <c r="F41" s="128"/>
    </row>
    <row r="42" spans="3:6" s="124" customFormat="1" x14ac:dyDescent="0.2">
      <c r="E42" s="173"/>
    </row>
    <row r="43" spans="3:6" s="124" customFormat="1" x14ac:dyDescent="0.2">
      <c r="E43" s="173"/>
    </row>
    <row r="44" spans="3:6" s="124" customFormat="1" ht="15.75" x14ac:dyDescent="0.25">
      <c r="C44" s="128" t="s">
        <v>644</v>
      </c>
      <c r="E44" s="173"/>
    </row>
    <row r="45" spans="3:6" s="124" customFormat="1" x14ac:dyDescent="0.2">
      <c r="C45" s="133" t="s">
        <v>645</v>
      </c>
      <c r="E45" s="170">
        <f>'5. Rev_Requ_Check'!C29</f>
        <v>87235651</v>
      </c>
    </row>
    <row r="46" spans="3:6" s="124" customFormat="1" x14ac:dyDescent="0.2">
      <c r="C46" s="133" t="s">
        <v>647</v>
      </c>
      <c r="E46" s="174">
        <f>'5. Rev_Requ_Check'!C30</f>
        <v>0.15</v>
      </c>
    </row>
    <row r="47" spans="3:6" s="124" customFormat="1" ht="15.75" x14ac:dyDescent="0.25">
      <c r="C47" s="128" t="s">
        <v>644</v>
      </c>
      <c r="E47" s="171">
        <f>E45*E46</f>
        <v>13085347.65</v>
      </c>
      <c r="F47" s="128"/>
    </row>
    <row r="48" spans="3:6" s="124" customFormat="1" x14ac:dyDescent="0.2">
      <c r="E48" s="173"/>
    </row>
    <row r="49" spans="2:6" s="124" customFormat="1" ht="16.5" thickBot="1" x14ac:dyDescent="0.3">
      <c r="C49" s="128" t="s">
        <v>650</v>
      </c>
      <c r="E49" s="151">
        <f>E41+E47</f>
        <v>75768346.650000006</v>
      </c>
      <c r="F49" s="161"/>
    </row>
    <row r="50" spans="2:6" s="124" customFormat="1" x14ac:dyDescent="0.2">
      <c r="E50" s="173"/>
      <c r="F50" s="133"/>
    </row>
    <row r="51" spans="2:6" s="124" customFormat="1" ht="15.75" x14ac:dyDescent="0.25">
      <c r="C51" s="128" t="s">
        <v>740</v>
      </c>
      <c r="D51" s="175"/>
      <c r="E51" s="144">
        <f>E34</f>
        <v>4800644</v>
      </c>
      <c r="F51" s="161"/>
    </row>
    <row r="52" spans="2:6" s="124" customFormat="1" x14ac:dyDescent="0.2">
      <c r="E52" s="173"/>
    </row>
    <row r="53" spans="2:6" s="124" customFormat="1" ht="15.75" x14ac:dyDescent="0.25">
      <c r="C53" s="128" t="s">
        <v>741</v>
      </c>
      <c r="E53" s="176"/>
      <c r="F53" s="177"/>
    </row>
    <row r="54" spans="2:6" s="124" customFormat="1" ht="15.75" x14ac:dyDescent="0.25">
      <c r="B54" s="418">
        <v>1</v>
      </c>
      <c r="C54" s="140" t="str">
        <f>CONCATENATE("    Price Cap IR Year ",E$13+B54)</f>
        <v xml:space="preserve">    Price Cap IR Year 2012</v>
      </c>
      <c r="E54" s="178">
        <f t="shared" ref="E54:E72" si="0">IF(ISERROR(1+((RB/d)*(g+PCI*(1+g)))*((1+g)*(1+PCI))^(B54-1) + 10%), 0, 1+((RB/d)*(g+PCI*(1+g)))*((1+g)*(1+PCI))^(B54-1) + 10%)</f>
        <v>1.753495631120773</v>
      </c>
      <c r="F54" s="128"/>
    </row>
    <row r="55" spans="2:6" s="124" customFormat="1" ht="15.75" x14ac:dyDescent="0.25">
      <c r="B55" s="418">
        <v>2</v>
      </c>
      <c r="C55" s="140" t="str">
        <f t="shared" ref="C55:C72" si="1">CONCATENATE("    Price Cap IR Year ",E$13+B55)</f>
        <v xml:space="preserve">    Price Cap IR Year 2013</v>
      </c>
      <c r="E55" s="178">
        <f t="shared" si="0"/>
        <v>1.7805537168062497</v>
      </c>
      <c r="F55" s="128"/>
    </row>
    <row r="56" spans="2:6" s="124" customFormat="1" ht="15.75" x14ac:dyDescent="0.25">
      <c r="B56" s="418">
        <v>3</v>
      </c>
      <c r="C56" s="140" t="str">
        <f t="shared" si="1"/>
        <v xml:space="preserve">    Price Cap IR Year 2014</v>
      </c>
      <c r="E56" s="178">
        <f t="shared" si="0"/>
        <v>1.8087321466319113</v>
      </c>
    </row>
    <row r="57" spans="2:6" s="124" customFormat="1" ht="15.75" x14ac:dyDescent="0.25">
      <c r="B57" s="418">
        <v>4</v>
      </c>
      <c r="C57" s="140" t="str">
        <f t="shared" si="1"/>
        <v xml:space="preserve">    Price Cap IR Year 2015</v>
      </c>
      <c r="E57" s="178">
        <f t="shared" si="0"/>
        <v>1.8380773086167417</v>
      </c>
    </row>
    <row r="58" spans="2:6" s="124" customFormat="1" ht="15.75" x14ac:dyDescent="0.25">
      <c r="B58" s="418">
        <v>5</v>
      </c>
      <c r="C58" s="140" t="str">
        <f t="shared" si="1"/>
        <v xml:space="preserve">    Price Cap IR Year 2016</v>
      </c>
      <c r="E58" s="178">
        <f t="shared" si="0"/>
        <v>1.8686375114826839</v>
      </c>
    </row>
    <row r="59" spans="2:6" s="124" customFormat="1" ht="15.75" x14ac:dyDescent="0.25">
      <c r="B59" s="418">
        <v>6</v>
      </c>
      <c r="C59" s="140" t="str">
        <f t="shared" si="1"/>
        <v xml:space="preserve">    Price Cap IR Year 2017</v>
      </c>
      <c r="E59" s="178">
        <f t="shared" si="0"/>
        <v>1.9004630641816376</v>
      </c>
    </row>
    <row r="60" spans="2:6" s="124" customFormat="1" ht="15.75" x14ac:dyDescent="0.25">
      <c r="B60" s="418">
        <v>7</v>
      </c>
      <c r="C60" s="140" t="str">
        <f t="shared" si="1"/>
        <v xml:space="preserve">    Price Cap IR Year 2018</v>
      </c>
      <c r="E60" s="178">
        <f t="shared" si="0"/>
        <v>1.9336063587152823</v>
      </c>
    </row>
    <row r="61" spans="2:6" s="124" customFormat="1" ht="15.75" x14ac:dyDescent="0.25">
      <c r="B61" s="418">
        <v>8</v>
      </c>
      <c r="C61" s="140" t="str">
        <f t="shared" si="1"/>
        <v xml:space="preserve">    Price Cap IR Year 2019</v>
      </c>
      <c r="E61" s="178">
        <f t="shared" si="0"/>
        <v>1.9681219563840719</v>
      </c>
    </row>
    <row r="62" spans="2:6" s="124" customFormat="1" ht="15.75" x14ac:dyDescent="0.25">
      <c r="B62" s="418">
        <v>9</v>
      </c>
      <c r="C62" s="140" t="str">
        <f t="shared" si="1"/>
        <v xml:space="preserve">    Price Cap IR Year 2020</v>
      </c>
      <c r="E62" s="178">
        <f t="shared" si="0"/>
        <v>2.0040666776073768</v>
      </c>
    </row>
    <row r="63" spans="2:6" s="124" customFormat="1" ht="15.75" x14ac:dyDescent="0.25">
      <c r="B63" s="418">
        <v>10</v>
      </c>
      <c r="C63" s="140" t="str">
        <f t="shared" si="1"/>
        <v xml:space="preserve">    Price Cap IR Year 2021</v>
      </c>
      <c r="E63" s="178">
        <f t="shared" si="0"/>
        <v>2.0414996954626461</v>
      </c>
    </row>
    <row r="64" spans="2:6" s="124" customFormat="1" ht="15.75" x14ac:dyDescent="0.25">
      <c r="B64" s="418">
        <v>11</v>
      </c>
      <c r="C64" s="140" t="str">
        <f t="shared" si="1"/>
        <v xml:space="preserve">    Price Cap IR Year 2022</v>
      </c>
      <c r="E64" s="178">
        <f t="shared" si="0"/>
        <v>2.0804826330975734</v>
      </c>
    </row>
    <row r="65" spans="2:6" s="124" customFormat="1" ht="15.75" x14ac:dyDescent="0.25">
      <c r="B65" s="418">
        <v>12</v>
      </c>
      <c r="C65" s="140" t="str">
        <f t="shared" si="1"/>
        <v xml:space="preserve">    Price Cap IR Year 2023</v>
      </c>
      <c r="E65" s="178">
        <f t="shared" si="0"/>
        <v>2.1210796651756243</v>
      </c>
    </row>
    <row r="66" spans="2:6" s="124" customFormat="1" ht="15.75" x14ac:dyDescent="0.25">
      <c r="B66" s="418">
        <v>13</v>
      </c>
      <c r="C66" s="140" t="str">
        <f t="shared" si="1"/>
        <v xml:space="preserve">    Price Cap IR Year 2024</v>
      </c>
      <c r="E66" s="178">
        <f t="shared" si="0"/>
        <v>2.1633576235219345</v>
      </c>
    </row>
    <row r="67" spans="2:6" s="124" customFormat="1" ht="15.75" x14ac:dyDescent="0.25">
      <c r="B67" s="418">
        <v>14</v>
      </c>
      <c r="C67" s="140" t="str">
        <f t="shared" si="1"/>
        <v xml:space="preserve">    Price Cap IR Year 2025</v>
      </c>
      <c r="E67" s="178">
        <f t="shared" si="0"/>
        <v>2.2073861071434933</v>
      </c>
    </row>
    <row r="68" spans="2:6" s="124" customFormat="1" ht="15.75" x14ac:dyDescent="0.25">
      <c r="B68" s="418">
        <v>15</v>
      </c>
      <c r="C68" s="140" t="str">
        <f t="shared" si="1"/>
        <v xml:space="preserve">    Price Cap IR Year 2026</v>
      </c>
      <c r="E68" s="178">
        <f t="shared" si="0"/>
        <v>2.2532375968047265</v>
      </c>
    </row>
    <row r="69" spans="2:6" s="124" customFormat="1" ht="15.75" x14ac:dyDescent="0.25">
      <c r="B69" s="418">
        <v>16</v>
      </c>
      <c r="C69" s="140" t="str">
        <f t="shared" si="1"/>
        <v xml:space="preserve">    Price Cap IR Year 2027</v>
      </c>
      <c r="E69" s="178">
        <f t="shared" si="0"/>
        <v>2.3009875743470989</v>
      </c>
    </row>
    <row r="70" spans="2:6" s="124" customFormat="1" ht="15.75" x14ac:dyDescent="0.25">
      <c r="B70" s="418">
        <v>17</v>
      </c>
      <c r="C70" s="140" t="str">
        <f t="shared" si="1"/>
        <v xml:space="preserve">    Price Cap IR Year 2028</v>
      </c>
      <c r="E70" s="178">
        <f t="shared" si="0"/>
        <v>2.3507146469491667</v>
      </c>
    </row>
    <row r="71" spans="2:6" s="124" customFormat="1" ht="15.75" x14ac:dyDescent="0.25">
      <c r="B71" s="418">
        <v>18</v>
      </c>
      <c r="C71" s="140" t="str">
        <f t="shared" si="1"/>
        <v xml:space="preserve">    Price Cap IR Year 2029</v>
      </c>
      <c r="E71" s="178">
        <f t="shared" si="0"/>
        <v>2.4025006765316301</v>
      </c>
    </row>
    <row r="72" spans="2:6" s="124" customFormat="1" ht="15.75" x14ac:dyDescent="0.25">
      <c r="B72" s="418">
        <v>19</v>
      </c>
      <c r="C72" s="140" t="str">
        <f t="shared" si="1"/>
        <v xml:space="preserve">    Price Cap IR Year 2030</v>
      </c>
      <c r="E72" s="178">
        <f t="shared" si="0"/>
        <v>2.4564309145204302</v>
      </c>
    </row>
    <row r="73" spans="2:6" s="124" customFormat="1" ht="15.75" x14ac:dyDescent="0.25">
      <c r="C73" s="128"/>
      <c r="E73" s="173"/>
    </row>
    <row r="74" spans="2:6" s="124" customFormat="1" ht="15.75" x14ac:dyDescent="0.25">
      <c r="C74" s="128" t="s">
        <v>742</v>
      </c>
      <c r="E74" s="179"/>
      <c r="F74" s="177"/>
    </row>
    <row r="75" spans="2:6" s="124" customFormat="1" ht="15.75" x14ac:dyDescent="0.25">
      <c r="C75" s="124" t="str">
        <f>C54</f>
        <v xml:space="preserve">    Price Cap IR Year 2012</v>
      </c>
      <c r="E75" s="180">
        <f t="shared" ref="E75:E93" si="2">IF(ISERROR(d*E54), "", d*E54)</f>
        <v>8417908.2805661522</v>
      </c>
    </row>
    <row r="76" spans="2:6" s="124" customFormat="1" ht="15.75" x14ac:dyDescent="0.25">
      <c r="C76" s="124" t="str">
        <f t="shared" ref="C76:C93" si="3">C55</f>
        <v xml:space="preserve">    Price Cap IR Year 2013</v>
      </c>
      <c r="E76" s="180">
        <f t="shared" si="2"/>
        <v>8547804.5172636211</v>
      </c>
    </row>
    <row r="77" spans="2:6" s="124" customFormat="1" ht="15.75" x14ac:dyDescent="0.25">
      <c r="C77" s="124" t="str">
        <f t="shared" si="3"/>
        <v xml:space="preserve">    Price Cap IR Year 2014</v>
      </c>
      <c r="E77" s="180">
        <f t="shared" si="2"/>
        <v>8683079.1273356043</v>
      </c>
    </row>
    <row r="78" spans="2:6" s="124" customFormat="1" ht="15.75" x14ac:dyDescent="0.25">
      <c r="C78" s="124" t="str">
        <f t="shared" si="3"/>
        <v xml:space="preserve">    Price Cap IR Year 2015</v>
      </c>
      <c r="E78" s="180">
        <f t="shared" si="2"/>
        <v>8823954.8031471092</v>
      </c>
    </row>
    <row r="79" spans="2:6" s="124" customFormat="1" ht="15.75" x14ac:dyDescent="0.25">
      <c r="C79" s="124" t="str">
        <f t="shared" si="3"/>
        <v xml:space="preserve">    Price Cap IR Year 2016</v>
      </c>
      <c r="E79" s="180">
        <f t="shared" si="2"/>
        <v>8970663.4576742779</v>
      </c>
    </row>
    <row r="80" spans="2:6" s="124" customFormat="1" ht="15.75" x14ac:dyDescent="0.25">
      <c r="C80" s="124" t="str">
        <f t="shared" si="3"/>
        <v xml:space="preserve">    Price Cap IR Year 2017</v>
      </c>
      <c r="E80" s="180">
        <f t="shared" si="2"/>
        <v>9123446.6062851939</v>
      </c>
    </row>
    <row r="81" spans="2:6" s="124" customFormat="1" ht="15.75" x14ac:dyDescent="0.25">
      <c r="C81" s="124" t="str">
        <f t="shared" si="3"/>
        <v xml:space="preserve">    Price Cap IR Year 2018</v>
      </c>
      <c r="E81" s="180">
        <f t="shared" si="2"/>
        <v>9282555.764328368</v>
      </c>
    </row>
    <row r="82" spans="2:6" s="124" customFormat="1" ht="15.75" x14ac:dyDescent="0.25">
      <c r="C82" s="124" t="str">
        <f t="shared" si="3"/>
        <v xml:space="preserve">    Price Cap IR Year 2019</v>
      </c>
      <c r="E82" s="180">
        <f t="shared" si="2"/>
        <v>9448252.8611834571</v>
      </c>
    </row>
    <row r="83" spans="2:6" s="124" customFormat="1" ht="15.75" x14ac:dyDescent="0.25">
      <c r="C83" s="124" t="str">
        <f t="shared" si="3"/>
        <v xml:space="preserve">    Price Cap IR Year 2020</v>
      </c>
      <c r="E83" s="180">
        <f t="shared" si="2"/>
        <v>9620810.6714557875</v>
      </c>
    </row>
    <row r="84" spans="2:6" s="124" customFormat="1" ht="15.75" x14ac:dyDescent="0.25">
      <c r="C84" s="124" t="str">
        <f t="shared" si="3"/>
        <v xml:space="preserve">    Price Cap IR Year 2021</v>
      </c>
      <c r="E84" s="180">
        <f t="shared" si="2"/>
        <v>9800513.2640245799</v>
      </c>
    </row>
    <row r="85" spans="2:6" s="124" customFormat="1" ht="15.75" x14ac:dyDescent="0.25">
      <c r="C85" s="124" t="str">
        <f t="shared" si="3"/>
        <v xml:space="preserve">    Price Cap IR Year 2022</v>
      </c>
      <c r="E85" s="180">
        <f t="shared" si="2"/>
        <v>9987656.4696840681</v>
      </c>
    </row>
    <row r="86" spans="2:6" s="124" customFormat="1" ht="15.75" x14ac:dyDescent="0.25">
      <c r="C86" s="124" t="str">
        <f t="shared" si="3"/>
        <v xml:space="preserve">    Price Cap IR Year 2023</v>
      </c>
      <c r="E86" s="180">
        <f t="shared" si="2"/>
        <v>10182548.368147369</v>
      </c>
    </row>
    <row r="87" spans="2:6" s="124" customFormat="1" ht="15.75" x14ac:dyDescent="0.25">
      <c r="C87" s="124" t="str">
        <f t="shared" si="3"/>
        <v xml:space="preserve">    Price Cap IR Year 2024</v>
      </c>
      <c r="E87" s="180">
        <f t="shared" si="2"/>
        <v>10385509.795214834</v>
      </c>
    </row>
    <row r="88" spans="2:6" s="124" customFormat="1" ht="15.75" x14ac:dyDescent="0.25">
      <c r="C88" s="124" t="str">
        <f t="shared" si="3"/>
        <v xml:space="preserve">    Price Cap IR Year 2025</v>
      </c>
      <c r="E88" s="180">
        <f t="shared" si="2"/>
        <v>10596874.870941767</v>
      </c>
    </row>
    <row r="89" spans="2:6" s="124" customFormat="1" ht="15.75" x14ac:dyDescent="0.25">
      <c r="C89" s="124" t="str">
        <f t="shared" si="3"/>
        <v xml:space="preserve">    Price Cap IR Year 2026</v>
      </c>
      <c r="E89" s="180">
        <f t="shared" si="2"/>
        <v>10816991.549675029</v>
      </c>
    </row>
    <row r="90" spans="2:6" s="124" customFormat="1" ht="15.75" x14ac:dyDescent="0.25">
      <c r="C90" s="124" t="str">
        <f t="shared" si="3"/>
        <v xml:space="preserve">    Price Cap IR Year 2027</v>
      </c>
      <c r="E90" s="180">
        <f t="shared" si="2"/>
        <v>11046222.192863954</v>
      </c>
    </row>
    <row r="91" spans="2:6" s="124" customFormat="1" ht="15.75" x14ac:dyDescent="0.25">
      <c r="C91" s="124" t="str">
        <f t="shared" si="3"/>
        <v xml:space="preserve">    Price Cap IR Year 2028</v>
      </c>
      <c r="E91" s="180">
        <f t="shared" si="2"/>
        <v>11284944.165588636</v>
      </c>
    </row>
    <row r="92" spans="2:6" s="124" customFormat="1" ht="15.75" x14ac:dyDescent="0.25">
      <c r="C92" s="124" t="str">
        <f t="shared" si="3"/>
        <v xml:space="preserve">    Price Cap IR Year 2029</v>
      </c>
      <c r="E92" s="180">
        <f t="shared" si="2"/>
        <v>11533550.457787512</v>
      </c>
    </row>
    <row r="93" spans="2:6" s="124" customFormat="1" ht="15.75" x14ac:dyDescent="0.25">
      <c r="C93" s="124" t="str">
        <f t="shared" si="3"/>
        <v xml:space="preserve">    Price Cap IR Year 2030</v>
      </c>
      <c r="E93" s="180">
        <f t="shared" si="2"/>
        <v>11792450.331207016</v>
      </c>
    </row>
    <row r="94" spans="2:6" s="124" customFormat="1" x14ac:dyDescent="0.2"/>
    <row r="95" spans="2:6" s="124" customFormat="1" ht="44.25" customHeight="1" x14ac:dyDescent="0.2">
      <c r="B95" s="181" t="s">
        <v>743</v>
      </c>
      <c r="C95" s="492" t="s">
        <v>744</v>
      </c>
      <c r="D95" s="492"/>
      <c r="E95" s="492"/>
      <c r="F95" s="492"/>
    </row>
    <row r="96" spans="2:6" s="124" customFormat="1" x14ac:dyDescent="0.2">
      <c r="F96" s="182"/>
    </row>
    <row r="97" s="124" customFormat="1" x14ac:dyDescent="0.2"/>
    <row r="98" s="124" customFormat="1" x14ac:dyDescent="0.2"/>
    <row r="99" s="124" customFormat="1" x14ac:dyDescent="0.2"/>
    <row r="100" s="124" customFormat="1" x14ac:dyDescent="0.2"/>
    <row r="101" s="124" customFormat="1" x14ac:dyDescent="0.2"/>
    <row r="102" s="124" customFormat="1" x14ac:dyDescent="0.2"/>
    <row r="103" s="124" customFormat="1" x14ac:dyDescent="0.2"/>
    <row r="104" s="124" customFormat="1" x14ac:dyDescent="0.2"/>
    <row r="105" s="124" customFormat="1" x14ac:dyDescent="0.2"/>
    <row r="106" s="124" customFormat="1" x14ac:dyDescent="0.2"/>
    <row r="107" s="124" customFormat="1" x14ac:dyDescent="0.2"/>
  </sheetData>
  <sheetProtection algorithmName="SHA-512" hashValue="Z1w9GebZ6NjByNThJ/XaytQqSfGD7oM641c3N4ZMsQyZHwBxOukjGXJh+G/5/xp3vGb9sKkeoTW4VGxih+mewQ==" saltValue="Bt8/+1EhrDFZfr1NNoIOxg==" spinCount="100000" sheet="1" objects="1" scenarios="1"/>
  <mergeCells count="2">
    <mergeCell ref="C9:E9"/>
    <mergeCell ref="C95:F95"/>
  </mergeCells>
  <printOptions horizontalCentered="1"/>
  <pageMargins left="0.35433070866141703" right="0.39370078740157499" top="0.33" bottom="0.35" header="0.28999999999999998" footer="0.17"/>
  <pageSetup scale="65" orientation="landscape"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1:M110"/>
  <sheetViews>
    <sheetView showGridLines="0" zoomScale="85" zoomScaleNormal="85" workbookViewId="0"/>
  </sheetViews>
  <sheetFormatPr defaultRowHeight="15" x14ac:dyDescent="0.25"/>
  <cols>
    <col min="1" max="1" width="60.85546875" customWidth="1"/>
    <col min="2" max="2" width="16.42578125" customWidth="1"/>
    <col min="3" max="6" width="18.5703125" customWidth="1"/>
    <col min="7" max="7" width="20.5703125" bestFit="1" customWidth="1"/>
    <col min="8" max="8" width="20.5703125" customWidth="1"/>
    <col min="9" max="9" width="14.42578125" bestFit="1" customWidth="1"/>
    <col min="10" max="10" width="20.5703125" bestFit="1" customWidth="1"/>
    <col min="11" max="11" width="20.5703125" customWidth="1"/>
    <col min="12" max="12" width="14.42578125" bestFit="1" customWidth="1"/>
    <col min="13" max="13" width="20.5703125" bestFit="1" customWidth="1"/>
    <col min="14" max="14" width="20.5703125" customWidth="1"/>
    <col min="15" max="15" width="12.5703125" bestFit="1" customWidth="1"/>
  </cols>
  <sheetData>
    <row r="11" spans="1:12" ht="15.75" x14ac:dyDescent="0.25">
      <c r="A11" s="196" t="s">
        <v>748</v>
      </c>
    </row>
    <row r="12" spans="1:12" ht="16.5" thickBot="1" x14ac:dyDescent="0.3">
      <c r="A12" s="196"/>
    </row>
    <row r="13" spans="1:12" ht="15.75" thickBot="1" x14ac:dyDescent="0.3">
      <c r="B13" s="117" t="s">
        <v>749</v>
      </c>
      <c r="C13" s="493" t="s">
        <v>750</v>
      </c>
      <c r="D13" s="493"/>
      <c r="E13" s="493"/>
      <c r="F13" s="493"/>
      <c r="G13" s="494" t="s">
        <v>845</v>
      </c>
      <c r="H13" s="495"/>
      <c r="I13" s="495"/>
      <c r="J13" s="495"/>
      <c r="K13" s="495"/>
      <c r="L13" s="496"/>
    </row>
    <row r="14" spans="1:12" ht="15.75" customHeight="1" x14ac:dyDescent="0.25">
      <c r="B14" s="309" t="s">
        <v>751</v>
      </c>
      <c r="C14" s="308" t="s">
        <v>752</v>
      </c>
      <c r="D14" s="309" t="s">
        <v>753</v>
      </c>
      <c r="E14" s="308" t="s">
        <v>754</v>
      </c>
      <c r="F14" s="309" t="s">
        <v>755</v>
      </c>
      <c r="G14" s="324" t="s">
        <v>756</v>
      </c>
      <c r="H14" s="322" t="s">
        <v>757</v>
      </c>
      <c r="I14" s="323" t="s">
        <v>758</v>
      </c>
      <c r="J14" s="326" t="s">
        <v>759</v>
      </c>
      <c r="K14" s="323" t="s">
        <v>760</v>
      </c>
      <c r="L14" s="321" t="s">
        <v>761</v>
      </c>
    </row>
    <row r="15" spans="1:12" ht="15.75" customHeight="1" x14ac:dyDescent="0.25">
      <c r="B15" s="309">
        <f>'1. Information Sheet'!K26</f>
        <v>0</v>
      </c>
      <c r="C15" s="308">
        <f t="shared" ref="C15:L15" si="0">B15+1</f>
        <v>1</v>
      </c>
      <c r="D15" s="309">
        <f t="shared" si="0"/>
        <v>2</v>
      </c>
      <c r="E15" s="308">
        <f t="shared" si="0"/>
        <v>3</v>
      </c>
      <c r="F15" s="309">
        <f t="shared" si="0"/>
        <v>4</v>
      </c>
      <c r="G15" s="324">
        <f t="shared" si="0"/>
        <v>5</v>
      </c>
      <c r="H15" s="322">
        <f t="shared" si="0"/>
        <v>6</v>
      </c>
      <c r="I15" s="323">
        <f t="shared" si="0"/>
        <v>7</v>
      </c>
      <c r="J15" s="322">
        <f t="shared" si="0"/>
        <v>8</v>
      </c>
      <c r="K15" s="323">
        <f t="shared" si="0"/>
        <v>9</v>
      </c>
      <c r="L15" s="321">
        <f t="shared" si="0"/>
        <v>10</v>
      </c>
    </row>
    <row r="16" spans="1:12" x14ac:dyDescent="0.25">
      <c r="A16" s="197" t="s">
        <v>762</v>
      </c>
      <c r="B16" s="198"/>
      <c r="C16" s="198"/>
      <c r="D16" s="198"/>
      <c r="E16" s="198"/>
      <c r="F16" s="317"/>
      <c r="G16" s="319"/>
      <c r="H16" s="198"/>
      <c r="I16" s="198"/>
      <c r="J16" s="198"/>
      <c r="K16" s="198"/>
      <c r="L16" s="320"/>
    </row>
    <row r="17" spans="1:13" x14ac:dyDescent="0.25">
      <c r="A17" s="197"/>
      <c r="G17" s="338"/>
      <c r="H17" s="279"/>
      <c r="I17" s="279"/>
      <c r="J17" s="279"/>
      <c r="K17" s="279"/>
      <c r="L17" s="337"/>
    </row>
    <row r="18" spans="1:13" x14ac:dyDescent="0.25">
      <c r="A18" s="197" t="s">
        <v>763</v>
      </c>
      <c r="B18" s="199"/>
      <c r="C18" s="200">
        <f>IF('8. Threshold Test'!$E$75="", 0, '8. Threshold Test'!$E$75)</f>
        <v>8417908.2805661522</v>
      </c>
      <c r="D18" s="200">
        <f>IF('8. Threshold Test'!$E$76="", 0, '8. Threshold Test'!$E$76)</f>
        <v>8547804.5172636211</v>
      </c>
      <c r="E18" s="200">
        <f>IF('8. Threshold Test'!$E$77="", 0, '8. Threshold Test'!$E$77)</f>
        <v>8683079.1273356043</v>
      </c>
      <c r="F18" s="341">
        <f>IF('8. Threshold Test'!$E$78="", 0, '8. Threshold Test'!$E$78)</f>
        <v>8823954.8031471092</v>
      </c>
      <c r="G18" s="340">
        <f>IF('8. Threshold Test'!$E$79="", 0, '8. Threshold Test'!$E$79)</f>
        <v>8970663.4576742779</v>
      </c>
      <c r="H18" s="200">
        <f>IF('8. Threshold Test'!$E$80="", 0, '8. Threshold Test'!$E$80)</f>
        <v>9123446.6062851939</v>
      </c>
      <c r="I18" s="200">
        <f>IF('8. Threshold Test'!$E$81="", 0, '8. Threshold Test'!$E$81)</f>
        <v>9282555.764328368</v>
      </c>
      <c r="J18" s="200">
        <f>IF('8. Threshold Test'!$E$82="", 0, '8. Threshold Test'!$E$82)</f>
        <v>9448252.8611834571</v>
      </c>
      <c r="K18" s="200">
        <f>IF('8. Threshold Test'!$E$83="", 0, '8. Threshold Test'!$E$83)</f>
        <v>9620810.6714557875</v>
      </c>
      <c r="L18" s="339">
        <f>IF('8. Threshold Test'!$E$84="", 0, '8. Threshold Test'!$E$84)</f>
        <v>9800513.2640245799</v>
      </c>
    </row>
    <row r="19" spans="1:13" x14ac:dyDescent="0.25">
      <c r="A19" s="197"/>
      <c r="B19" s="88"/>
      <c r="C19" s="207"/>
      <c r="D19" s="207"/>
      <c r="E19" s="207"/>
      <c r="F19" s="207"/>
      <c r="G19" s="343"/>
      <c r="H19" s="207"/>
      <c r="I19" s="207"/>
      <c r="J19" s="207"/>
      <c r="K19" s="207"/>
      <c r="L19" s="342"/>
    </row>
    <row r="20" spans="1:13" ht="30" x14ac:dyDescent="0.25">
      <c r="A20" s="201" t="s">
        <v>847</v>
      </c>
      <c r="B20" s="199"/>
      <c r="C20" s="200">
        <f t="shared" ref="C20:L20" si="1">MAX(0,C16-C18)</f>
        <v>0</v>
      </c>
      <c r="D20" s="200">
        <f t="shared" si="1"/>
        <v>0</v>
      </c>
      <c r="E20" s="200">
        <f t="shared" si="1"/>
        <v>0</v>
      </c>
      <c r="F20" s="341">
        <f t="shared" si="1"/>
        <v>0</v>
      </c>
      <c r="G20" s="340">
        <f t="shared" si="1"/>
        <v>0</v>
      </c>
      <c r="H20" s="200">
        <f t="shared" si="1"/>
        <v>0</v>
      </c>
      <c r="I20" s="200">
        <f t="shared" si="1"/>
        <v>0</v>
      </c>
      <c r="J20" s="200">
        <f t="shared" si="1"/>
        <v>0</v>
      </c>
      <c r="K20" s="200">
        <f t="shared" si="1"/>
        <v>0</v>
      </c>
      <c r="L20" s="339">
        <f t="shared" si="1"/>
        <v>0</v>
      </c>
    </row>
    <row r="21" spans="1:13" x14ac:dyDescent="0.25">
      <c r="A21" s="117"/>
      <c r="G21" s="338"/>
      <c r="H21" s="279"/>
      <c r="I21" s="279"/>
      <c r="J21" s="279"/>
      <c r="K21" s="279"/>
      <c r="L21" s="337"/>
    </row>
    <row r="22" spans="1:13" ht="30.75" thickBot="1" x14ac:dyDescent="0.3">
      <c r="A22" s="201" t="s">
        <v>764</v>
      </c>
      <c r="B22" s="202"/>
      <c r="C22" s="203">
        <f t="shared" ref="C22:L22" si="2">IF(C18&gt;C16,0,C16-C18)</f>
        <v>0</v>
      </c>
      <c r="D22" s="203">
        <f t="shared" si="2"/>
        <v>0</v>
      </c>
      <c r="E22" s="203">
        <f t="shared" si="2"/>
        <v>0</v>
      </c>
      <c r="F22" s="336">
        <f t="shared" si="2"/>
        <v>0</v>
      </c>
      <c r="G22" s="335">
        <f t="shared" si="2"/>
        <v>0</v>
      </c>
      <c r="H22" s="334">
        <f t="shared" si="2"/>
        <v>0</v>
      </c>
      <c r="I22" s="333">
        <f t="shared" si="2"/>
        <v>0</v>
      </c>
      <c r="J22" s="333">
        <f t="shared" si="2"/>
        <v>0</v>
      </c>
      <c r="K22" s="333">
        <f t="shared" si="2"/>
        <v>0</v>
      </c>
      <c r="L22" s="332">
        <f t="shared" si="2"/>
        <v>0</v>
      </c>
    </row>
    <row r="23" spans="1:13" x14ac:dyDescent="0.25">
      <c r="A23" s="201"/>
      <c r="B23" s="202"/>
      <c r="C23" s="330"/>
      <c r="D23" s="330"/>
      <c r="E23" s="330"/>
      <c r="F23" s="330"/>
      <c r="G23" s="329"/>
    </row>
    <row r="24" spans="1:13" ht="15.75" thickBot="1" x14ac:dyDescent="0.3">
      <c r="A24" s="331" t="s">
        <v>846</v>
      </c>
      <c r="B24" s="202"/>
      <c r="C24" s="330"/>
      <c r="D24" s="330"/>
      <c r="E24" s="330"/>
      <c r="F24" s="330"/>
      <c r="G24" s="329"/>
    </row>
    <row r="25" spans="1:13" ht="15.75" thickBot="1" x14ac:dyDescent="0.3">
      <c r="A25" s="117"/>
      <c r="B25" s="117" t="str">
        <f>B13</f>
        <v>Cost of Service</v>
      </c>
      <c r="C25" s="493" t="str">
        <f>C13</f>
        <v>Price Cap IR</v>
      </c>
      <c r="D25" s="493"/>
      <c r="E25" s="493"/>
      <c r="F25" s="493"/>
      <c r="G25" s="494" t="s">
        <v>845</v>
      </c>
      <c r="H25" s="495"/>
      <c r="I25" s="495"/>
      <c r="J25" s="495"/>
      <c r="K25" s="495"/>
      <c r="L25" s="496"/>
    </row>
    <row r="26" spans="1:13" x14ac:dyDescent="0.25">
      <c r="A26" s="117" t="s">
        <v>765</v>
      </c>
      <c r="B26" s="309" t="s">
        <v>751</v>
      </c>
      <c r="C26" s="308" t="s">
        <v>752</v>
      </c>
      <c r="D26" s="309" t="s">
        <v>753</v>
      </c>
      <c r="E26" s="308" t="s">
        <v>754</v>
      </c>
      <c r="F26" s="309" t="s">
        <v>755</v>
      </c>
      <c r="G26" s="328" t="s">
        <v>756</v>
      </c>
      <c r="H26" s="326" t="s">
        <v>757</v>
      </c>
      <c r="I26" s="327" t="s">
        <v>758</v>
      </c>
      <c r="J26" s="326" t="s">
        <v>759</v>
      </c>
      <c r="K26" s="308" t="s">
        <v>760</v>
      </c>
      <c r="L26" s="325" t="s">
        <v>761</v>
      </c>
      <c r="M26" s="497" t="s">
        <v>767</v>
      </c>
    </row>
    <row r="27" spans="1:13" x14ac:dyDescent="0.25">
      <c r="A27" s="117"/>
      <c r="B27" s="309">
        <f t="shared" ref="B27:L27" si="3">B15</f>
        <v>0</v>
      </c>
      <c r="C27" s="308">
        <f t="shared" si="3"/>
        <v>1</v>
      </c>
      <c r="D27" s="309">
        <f t="shared" si="3"/>
        <v>2</v>
      </c>
      <c r="E27" s="308">
        <f t="shared" si="3"/>
        <v>3</v>
      </c>
      <c r="F27" s="309">
        <f t="shared" si="3"/>
        <v>4</v>
      </c>
      <c r="G27" s="324">
        <f t="shared" si="3"/>
        <v>5</v>
      </c>
      <c r="H27" s="322">
        <f t="shared" si="3"/>
        <v>6</v>
      </c>
      <c r="I27" s="323">
        <f t="shared" si="3"/>
        <v>7</v>
      </c>
      <c r="J27" s="322">
        <f t="shared" si="3"/>
        <v>8</v>
      </c>
      <c r="K27" s="308">
        <f t="shared" si="3"/>
        <v>9</v>
      </c>
      <c r="L27" s="321">
        <f t="shared" si="3"/>
        <v>10</v>
      </c>
      <c r="M27" s="498"/>
    </row>
    <row r="28" spans="1:13" x14ac:dyDescent="0.25">
      <c r="A28" s="204"/>
      <c r="B28" s="199"/>
      <c r="C28" s="198"/>
      <c r="D28" s="198"/>
      <c r="E28" s="198"/>
      <c r="F28" s="317"/>
      <c r="G28" s="319"/>
      <c r="H28" s="198"/>
      <c r="I28" s="198"/>
      <c r="J28" s="317"/>
      <c r="K28" s="198"/>
      <c r="L28" s="320"/>
      <c r="M28" s="313">
        <f t="shared" ref="M28:M47" si="4">SUM(C28:F28)</f>
        <v>0</v>
      </c>
    </row>
    <row r="29" spans="1:13" x14ac:dyDescent="0.25">
      <c r="A29" s="205"/>
      <c r="B29" s="199"/>
      <c r="C29" s="198"/>
      <c r="D29" s="198"/>
      <c r="E29" s="198"/>
      <c r="F29" s="317"/>
      <c r="G29" s="319"/>
      <c r="H29" s="198"/>
      <c r="I29" s="198"/>
      <c r="J29" s="317"/>
      <c r="K29" s="198"/>
      <c r="L29" s="320"/>
      <c r="M29" s="313">
        <f t="shared" si="4"/>
        <v>0</v>
      </c>
    </row>
    <row r="30" spans="1:13" x14ac:dyDescent="0.25">
      <c r="A30" s="205"/>
      <c r="B30" s="199"/>
      <c r="C30" s="198"/>
      <c r="D30" s="198"/>
      <c r="E30" s="198"/>
      <c r="F30" s="317"/>
      <c r="G30" s="319"/>
      <c r="H30" s="198"/>
      <c r="I30" s="198"/>
      <c r="J30" s="317"/>
      <c r="K30" s="198"/>
      <c r="L30" s="320"/>
      <c r="M30" s="313">
        <f t="shared" si="4"/>
        <v>0</v>
      </c>
    </row>
    <row r="31" spans="1:13" x14ac:dyDescent="0.25">
      <c r="A31" s="205"/>
      <c r="B31" s="199"/>
      <c r="C31" s="198"/>
      <c r="D31" s="198"/>
      <c r="E31" s="198"/>
      <c r="F31" s="317"/>
      <c r="G31" s="319"/>
      <c r="H31" s="198"/>
      <c r="I31" s="198"/>
      <c r="J31" s="317"/>
      <c r="K31" s="198"/>
      <c r="L31" s="320"/>
      <c r="M31" s="313">
        <f t="shared" si="4"/>
        <v>0</v>
      </c>
    </row>
    <row r="32" spans="1:13" x14ac:dyDescent="0.25">
      <c r="A32" s="205"/>
      <c r="B32" s="199"/>
      <c r="C32" s="198"/>
      <c r="D32" s="198"/>
      <c r="E32" s="198"/>
      <c r="F32" s="317"/>
      <c r="G32" s="319"/>
      <c r="H32" s="198"/>
      <c r="I32" s="198"/>
      <c r="J32" s="317"/>
      <c r="K32" s="198"/>
      <c r="L32" s="320"/>
      <c r="M32" s="313">
        <f t="shared" si="4"/>
        <v>0</v>
      </c>
    </row>
    <row r="33" spans="1:13" x14ac:dyDescent="0.25">
      <c r="A33" s="205"/>
      <c r="B33" s="199"/>
      <c r="C33" s="198"/>
      <c r="D33" s="198"/>
      <c r="E33" s="198"/>
      <c r="F33" s="317"/>
      <c r="G33" s="319"/>
      <c r="H33" s="198"/>
      <c r="I33" s="198"/>
      <c r="J33" s="317"/>
      <c r="K33" s="198"/>
      <c r="L33" s="320"/>
      <c r="M33" s="313">
        <f t="shared" si="4"/>
        <v>0</v>
      </c>
    </row>
    <row r="34" spans="1:13" x14ac:dyDescent="0.25">
      <c r="A34" s="205"/>
      <c r="B34" s="199"/>
      <c r="C34" s="198"/>
      <c r="D34" s="198"/>
      <c r="E34" s="198"/>
      <c r="F34" s="317"/>
      <c r="G34" s="319"/>
      <c r="H34" s="198"/>
      <c r="I34" s="198"/>
      <c r="J34" s="317"/>
      <c r="K34" s="198"/>
      <c r="L34" s="320"/>
      <c r="M34" s="313">
        <f t="shared" si="4"/>
        <v>0</v>
      </c>
    </row>
    <row r="35" spans="1:13" x14ac:dyDescent="0.25">
      <c r="A35" s="205"/>
      <c r="B35" s="199"/>
      <c r="C35" s="198"/>
      <c r="D35" s="198"/>
      <c r="E35" s="198"/>
      <c r="F35" s="317"/>
      <c r="G35" s="319"/>
      <c r="H35" s="198"/>
      <c r="I35" s="198"/>
      <c r="J35" s="317"/>
      <c r="K35" s="198"/>
      <c r="L35" s="320"/>
      <c r="M35" s="313">
        <f t="shared" si="4"/>
        <v>0</v>
      </c>
    </row>
    <row r="36" spans="1:13" x14ac:dyDescent="0.25">
      <c r="A36" s="205"/>
      <c r="B36" s="199"/>
      <c r="C36" s="198"/>
      <c r="D36" s="198"/>
      <c r="E36" s="198"/>
      <c r="F36" s="317"/>
      <c r="G36" s="319"/>
      <c r="H36" s="198"/>
      <c r="I36" s="198"/>
      <c r="J36" s="317"/>
      <c r="K36" s="198"/>
      <c r="L36" s="320"/>
      <c r="M36" s="313">
        <f t="shared" si="4"/>
        <v>0</v>
      </c>
    </row>
    <row r="37" spans="1:13" x14ac:dyDescent="0.25">
      <c r="A37" s="205"/>
      <c r="B37" s="199"/>
      <c r="C37" s="198"/>
      <c r="D37" s="198"/>
      <c r="E37" s="198"/>
      <c r="F37" s="317"/>
      <c r="G37" s="319"/>
      <c r="H37" s="198"/>
      <c r="I37" s="198"/>
      <c r="J37" s="317"/>
      <c r="K37" s="198"/>
      <c r="L37" s="320"/>
      <c r="M37" s="313">
        <f t="shared" si="4"/>
        <v>0</v>
      </c>
    </row>
    <row r="38" spans="1:13" x14ac:dyDescent="0.25">
      <c r="A38" s="205"/>
      <c r="B38" s="199"/>
      <c r="C38" s="198"/>
      <c r="D38" s="198"/>
      <c r="E38" s="198"/>
      <c r="F38" s="317"/>
      <c r="G38" s="319"/>
      <c r="H38" s="198"/>
      <c r="I38" s="198"/>
      <c r="J38" s="317"/>
      <c r="K38" s="198"/>
      <c r="L38" s="320"/>
      <c r="M38" s="313">
        <f t="shared" si="4"/>
        <v>0</v>
      </c>
    </row>
    <row r="39" spans="1:13" x14ac:dyDescent="0.25">
      <c r="A39" s="205"/>
      <c r="B39" s="199"/>
      <c r="C39" s="198"/>
      <c r="D39" s="198"/>
      <c r="E39" s="198"/>
      <c r="F39" s="317"/>
      <c r="G39" s="319"/>
      <c r="H39" s="198"/>
      <c r="I39" s="198"/>
      <c r="J39" s="317"/>
      <c r="K39" s="198"/>
      <c r="L39" s="320"/>
      <c r="M39" s="313">
        <f t="shared" si="4"/>
        <v>0</v>
      </c>
    </row>
    <row r="40" spans="1:13" x14ac:dyDescent="0.25">
      <c r="A40" s="205"/>
      <c r="B40" s="199"/>
      <c r="C40" s="198"/>
      <c r="D40" s="198"/>
      <c r="E40" s="198"/>
      <c r="F40" s="317"/>
      <c r="G40" s="319"/>
      <c r="H40" s="198"/>
      <c r="I40" s="198"/>
      <c r="J40" s="317"/>
      <c r="K40" s="198"/>
      <c r="L40" s="320"/>
      <c r="M40" s="313">
        <f t="shared" si="4"/>
        <v>0</v>
      </c>
    </row>
    <row r="41" spans="1:13" x14ac:dyDescent="0.25">
      <c r="A41" s="205"/>
      <c r="B41" s="199"/>
      <c r="C41" s="198"/>
      <c r="D41" s="198"/>
      <c r="E41" s="198"/>
      <c r="F41" s="317"/>
      <c r="G41" s="319"/>
      <c r="H41" s="198"/>
      <c r="I41" s="198"/>
      <c r="J41" s="317"/>
      <c r="K41" s="198"/>
      <c r="L41" s="320"/>
      <c r="M41" s="313">
        <f t="shared" si="4"/>
        <v>0</v>
      </c>
    </row>
    <row r="42" spans="1:13" x14ac:dyDescent="0.25">
      <c r="A42" s="205"/>
      <c r="B42" s="199"/>
      <c r="C42" s="198"/>
      <c r="D42" s="198"/>
      <c r="E42" s="198"/>
      <c r="F42" s="317"/>
      <c r="G42" s="319"/>
      <c r="H42" s="198"/>
      <c r="I42" s="198"/>
      <c r="J42" s="317"/>
      <c r="K42" s="198"/>
      <c r="L42" s="320"/>
      <c r="M42" s="313">
        <f t="shared" si="4"/>
        <v>0</v>
      </c>
    </row>
    <row r="43" spans="1:13" x14ac:dyDescent="0.25">
      <c r="A43" s="205"/>
      <c r="B43" s="199"/>
      <c r="C43" s="198"/>
      <c r="D43" s="198"/>
      <c r="E43" s="198"/>
      <c r="F43" s="317"/>
      <c r="G43" s="319"/>
      <c r="H43" s="198"/>
      <c r="I43" s="198"/>
      <c r="J43" s="317"/>
      <c r="K43" s="198"/>
      <c r="L43" s="320"/>
      <c r="M43" s="313">
        <f t="shared" si="4"/>
        <v>0</v>
      </c>
    </row>
    <row r="44" spans="1:13" x14ac:dyDescent="0.25">
      <c r="A44" s="205"/>
      <c r="B44" s="199"/>
      <c r="C44" s="198"/>
      <c r="D44" s="198"/>
      <c r="E44" s="198"/>
      <c r="F44" s="317"/>
      <c r="G44" s="319"/>
      <c r="H44" s="198"/>
      <c r="I44" s="198"/>
      <c r="J44" s="317"/>
      <c r="K44" s="198"/>
      <c r="L44" s="320"/>
      <c r="M44" s="313">
        <f t="shared" si="4"/>
        <v>0</v>
      </c>
    </row>
    <row r="45" spans="1:13" x14ac:dyDescent="0.25">
      <c r="A45" s="205"/>
      <c r="B45" s="199"/>
      <c r="C45" s="198"/>
      <c r="D45" s="198"/>
      <c r="E45" s="198"/>
      <c r="F45" s="317"/>
      <c r="G45" s="319"/>
      <c r="H45" s="198"/>
      <c r="I45" s="198"/>
      <c r="J45" s="317"/>
      <c r="K45" s="198"/>
      <c r="L45" s="320"/>
      <c r="M45" s="313">
        <f t="shared" si="4"/>
        <v>0</v>
      </c>
    </row>
    <row r="46" spans="1:13" x14ac:dyDescent="0.25">
      <c r="A46" s="205"/>
      <c r="B46" s="199"/>
      <c r="C46" s="198"/>
      <c r="D46" s="198"/>
      <c r="E46" s="198"/>
      <c r="F46" s="317"/>
      <c r="G46" s="319"/>
      <c r="H46" s="198"/>
      <c r="I46" s="198"/>
      <c r="J46" s="198"/>
      <c r="K46" s="198"/>
      <c r="L46" s="318"/>
      <c r="M46" s="313">
        <f t="shared" si="4"/>
        <v>0</v>
      </c>
    </row>
    <row r="47" spans="1:13" ht="15.75" thickBot="1" x14ac:dyDescent="0.3">
      <c r="A47" s="206"/>
      <c r="B47" s="199"/>
      <c r="C47" s="198"/>
      <c r="D47" s="198"/>
      <c r="E47" s="198"/>
      <c r="F47" s="317"/>
      <c r="G47" s="316"/>
      <c r="H47" s="315"/>
      <c r="I47" s="315"/>
      <c r="J47" s="315"/>
      <c r="K47" s="315"/>
      <c r="L47" s="314"/>
      <c r="M47" s="313">
        <f t="shared" si="4"/>
        <v>0</v>
      </c>
    </row>
    <row r="48" spans="1:13" x14ac:dyDescent="0.25">
      <c r="B48" s="312"/>
    </row>
    <row r="49" spans="1:12" x14ac:dyDescent="0.25">
      <c r="A49" s="197" t="s">
        <v>844</v>
      </c>
      <c r="B49" s="310"/>
      <c r="C49" s="200">
        <f t="shared" ref="C49:L49" si="5">SUM(C28:C47)</f>
        <v>0</v>
      </c>
      <c r="D49" s="200">
        <f t="shared" si="5"/>
        <v>0</v>
      </c>
      <c r="E49" s="200">
        <f t="shared" si="5"/>
        <v>0</v>
      </c>
      <c r="F49" s="200">
        <f t="shared" si="5"/>
        <v>0</v>
      </c>
      <c r="G49" s="200">
        <f t="shared" si="5"/>
        <v>0</v>
      </c>
      <c r="H49" s="200">
        <f t="shared" si="5"/>
        <v>0</v>
      </c>
      <c r="I49" s="200">
        <f t="shared" si="5"/>
        <v>0</v>
      </c>
      <c r="J49" s="200">
        <f t="shared" si="5"/>
        <v>0</v>
      </c>
      <c r="K49" s="200">
        <f t="shared" si="5"/>
        <v>0</v>
      </c>
      <c r="L49" s="200">
        <f t="shared" si="5"/>
        <v>0</v>
      </c>
    </row>
    <row r="50" spans="1:12" x14ac:dyDescent="0.25">
      <c r="A50" s="197"/>
      <c r="B50" s="207"/>
      <c r="C50" s="207"/>
      <c r="D50" s="207"/>
      <c r="E50" s="207"/>
      <c r="F50" s="207"/>
      <c r="G50" s="208"/>
    </row>
    <row r="51" spans="1:12" x14ac:dyDescent="0.25">
      <c r="A51" s="311" t="s">
        <v>769</v>
      </c>
      <c r="B51" s="310"/>
      <c r="C51" s="200">
        <f t="shared" ref="C51:L51" si="6">MIN(C49,C22)</f>
        <v>0</v>
      </c>
      <c r="D51" s="200">
        <f t="shared" si="6"/>
        <v>0</v>
      </c>
      <c r="E51" s="200">
        <f t="shared" si="6"/>
        <v>0</v>
      </c>
      <c r="F51" s="200">
        <f t="shared" si="6"/>
        <v>0</v>
      </c>
      <c r="G51" s="200">
        <f t="shared" si="6"/>
        <v>0</v>
      </c>
      <c r="H51" s="200">
        <f t="shared" si="6"/>
        <v>0</v>
      </c>
      <c r="I51" s="200">
        <f t="shared" si="6"/>
        <v>0</v>
      </c>
      <c r="J51" s="200">
        <f t="shared" si="6"/>
        <v>0</v>
      </c>
      <c r="K51" s="200">
        <f t="shared" si="6"/>
        <v>0</v>
      </c>
      <c r="L51" s="200">
        <f t="shared" si="6"/>
        <v>0</v>
      </c>
    </row>
    <row r="108" spans="2:7" x14ac:dyDescent="0.25">
      <c r="B108" s="279"/>
      <c r="G108" s="279"/>
    </row>
    <row r="110" spans="2:7" x14ac:dyDescent="0.25">
      <c r="G110" s="279"/>
    </row>
  </sheetData>
  <sheetProtection algorithmName="SHA-512" hashValue="tXBoi316dIyflBDziwg10pCFh84i+f19EZgWrv01q2cmtUVzynSpkeWRRxNsRn4XqNRIVVqvDK0XkyVhv5/phw==" saltValue="iPlmIJwBsVHFP+UNwfGmGQ==" spinCount="100000" sheet="1" objects="1" scenarios="1"/>
  <mergeCells count="5">
    <mergeCell ref="C13:F13"/>
    <mergeCell ref="G13:L13"/>
    <mergeCell ref="C25:F25"/>
    <mergeCell ref="G25:L25"/>
    <mergeCell ref="M26:M27"/>
  </mergeCells>
  <pageMargins left="0.70866141732283472" right="0.70866141732283472" top="0.74803149606299213" bottom="0.74803149606299213" header="0.31496062992125984" footer="0.31496062992125984"/>
  <pageSetup scale="39"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1:O208"/>
  <sheetViews>
    <sheetView showGridLines="0" topLeftCell="A85" zoomScale="80" zoomScaleNormal="80" workbookViewId="0">
      <selection activeCell="A103" sqref="A103"/>
    </sheetView>
  </sheetViews>
  <sheetFormatPr defaultColWidth="8.85546875" defaultRowHeight="15" x14ac:dyDescent="0.25"/>
  <cols>
    <col min="1" max="1" width="61.140625" style="1" customWidth="1"/>
    <col min="2" max="3" width="16.42578125" style="1" customWidth="1"/>
    <col min="4" max="4" width="20.5703125" style="1" bestFit="1" customWidth="1"/>
    <col min="5" max="5" width="20.5703125" style="1" customWidth="1"/>
    <col min="6" max="6" width="16.42578125" style="1" customWidth="1"/>
    <col min="7" max="7" width="20.5703125" style="1" bestFit="1" customWidth="1"/>
    <col min="8" max="8" width="20.5703125" style="1" customWidth="1"/>
    <col min="9" max="9" width="14.42578125" style="1" bestFit="1" customWidth="1"/>
    <col min="10" max="10" width="20.5703125" style="1" bestFit="1" customWidth="1"/>
    <col min="11" max="11" width="20.5703125" style="1" customWidth="1"/>
    <col min="12" max="12" width="14.42578125" style="1" bestFit="1" customWidth="1"/>
    <col min="13" max="13" width="18.85546875" style="1" bestFit="1" customWidth="1"/>
    <col min="14" max="14" width="20.5703125" style="1" customWidth="1"/>
    <col min="15" max="15" width="12.5703125" style="1" bestFit="1" customWidth="1"/>
    <col min="16" max="16384" width="8.85546875" style="1"/>
  </cols>
  <sheetData>
    <row r="11" spans="1:15" ht="15.75" x14ac:dyDescent="0.25">
      <c r="A11" s="346" t="s">
        <v>871</v>
      </c>
    </row>
    <row r="12" spans="1:15" ht="15.75" x14ac:dyDescent="0.25">
      <c r="A12" s="346"/>
    </row>
    <row r="13" spans="1:15" x14ac:dyDescent="0.25">
      <c r="C13" s="347" t="s">
        <v>749</v>
      </c>
      <c r="D13" s="507" t="s">
        <v>750</v>
      </c>
      <c r="E13" s="507"/>
      <c r="F13" s="507"/>
      <c r="G13" s="507" t="s">
        <v>750</v>
      </c>
      <c r="H13" s="507"/>
      <c r="I13" s="507"/>
      <c r="J13" s="507" t="s">
        <v>750</v>
      </c>
      <c r="K13" s="507"/>
      <c r="L13" s="507"/>
      <c r="M13" s="507" t="s">
        <v>750</v>
      </c>
      <c r="N13" s="507"/>
      <c r="O13" s="507"/>
    </row>
    <row r="14" spans="1:15" x14ac:dyDescent="0.25">
      <c r="C14" s="362" t="s">
        <v>751</v>
      </c>
      <c r="D14" s="505" t="s">
        <v>752</v>
      </c>
      <c r="E14" s="505"/>
      <c r="F14" s="505"/>
      <c r="G14" s="506" t="s">
        <v>753</v>
      </c>
      <c r="H14" s="506"/>
      <c r="I14" s="506"/>
      <c r="J14" s="505" t="s">
        <v>754</v>
      </c>
      <c r="K14" s="505"/>
      <c r="L14" s="505"/>
      <c r="M14" s="508" t="s">
        <v>755</v>
      </c>
      <c r="N14" s="508"/>
      <c r="O14" s="508"/>
    </row>
    <row r="15" spans="1:15" x14ac:dyDescent="0.25">
      <c r="C15" s="362">
        <f>'1. Information Sheet'!F34</f>
        <v>2011</v>
      </c>
      <c r="D15" s="505">
        <f>C15+1</f>
        <v>2012</v>
      </c>
      <c r="E15" s="505"/>
      <c r="F15" s="505"/>
      <c r="G15" s="508">
        <f>D15+1</f>
        <v>2013</v>
      </c>
      <c r="H15" s="508"/>
      <c r="I15" s="508"/>
      <c r="J15" s="505">
        <f>G15+1</f>
        <v>2014</v>
      </c>
      <c r="K15" s="505"/>
      <c r="L15" s="505"/>
      <c r="M15" s="508">
        <f>J15+1</f>
        <v>2015</v>
      </c>
      <c r="N15" s="508"/>
      <c r="O15" s="508"/>
    </row>
    <row r="16" spans="1:15" ht="15" customHeight="1" x14ac:dyDescent="0.25">
      <c r="A16" s="348" t="s">
        <v>872</v>
      </c>
      <c r="B16" s="499"/>
      <c r="C16" s="198"/>
      <c r="D16" s="198"/>
      <c r="G16" s="198"/>
      <c r="J16" s="198"/>
      <c r="M16" s="198"/>
    </row>
    <row r="17" spans="1:15" x14ac:dyDescent="0.25">
      <c r="A17" s="348"/>
      <c r="B17" s="499"/>
    </row>
    <row r="18" spans="1:15" x14ac:dyDescent="0.25">
      <c r="A18" s="348" t="s">
        <v>763</v>
      </c>
      <c r="B18" s="499"/>
      <c r="C18" s="349"/>
      <c r="D18" s="350">
        <f>IF('8. Threshold Test'!$E$75="", 0, '8. Threshold Test'!$E$75)</f>
        <v>8417908.2805661522</v>
      </c>
      <c r="G18" s="350">
        <f>IF('8. Threshold Test'!$E$76="", 0, '8. Threshold Test'!$E$76)</f>
        <v>8547804.5172636211</v>
      </c>
      <c r="J18" s="350">
        <f>IF('8. Threshold Test'!$E$77="", 0, '8. Threshold Test'!$E$77)</f>
        <v>8683079.1273356043</v>
      </c>
      <c r="M18" s="350">
        <f>IF('8. Threshold Test'!$E$78="", 0, '8. Threshold Test'!$E$78)</f>
        <v>8823954.8031471092</v>
      </c>
    </row>
    <row r="19" spans="1:15" x14ac:dyDescent="0.25">
      <c r="A19" s="6"/>
      <c r="B19" s="499"/>
    </row>
    <row r="20" spans="1:15" ht="30" x14ac:dyDescent="0.25">
      <c r="A20" s="351" t="s">
        <v>764</v>
      </c>
      <c r="B20" s="348"/>
      <c r="C20" s="352"/>
      <c r="D20" s="353">
        <f>IF(D18&gt;D16,0,D16-D18)</f>
        <v>0</v>
      </c>
      <c r="G20" s="353">
        <f>IF(G18&gt;G16,0,G16-G18)</f>
        <v>0</v>
      </c>
      <c r="J20" s="353">
        <f>IF(J18&gt;J16,0,J16-J18)</f>
        <v>0</v>
      </c>
      <c r="M20" s="353">
        <f>IF(M18&gt;M16,0,M16-M18)</f>
        <v>0</v>
      </c>
    </row>
    <row r="21" spans="1:15" x14ac:dyDescent="0.25">
      <c r="A21" s="351"/>
      <c r="B21" s="348"/>
      <c r="C21" s="352"/>
      <c r="D21" s="354"/>
      <c r="G21" s="354"/>
      <c r="J21" s="354"/>
      <c r="M21" s="354"/>
    </row>
    <row r="22" spans="1:15" x14ac:dyDescent="0.25">
      <c r="A22" s="6"/>
      <c r="B22" s="6"/>
      <c r="C22" s="362" t="s">
        <v>751</v>
      </c>
      <c r="D22" s="500" t="s">
        <v>752</v>
      </c>
      <c r="E22" s="500"/>
      <c r="F22" s="500"/>
      <c r="G22" s="501" t="s">
        <v>753</v>
      </c>
      <c r="H22" s="501"/>
      <c r="I22" s="501"/>
      <c r="J22" s="500" t="s">
        <v>754</v>
      </c>
      <c r="K22" s="500"/>
      <c r="L22" s="500"/>
      <c r="M22" s="501" t="s">
        <v>755</v>
      </c>
      <c r="N22" s="501"/>
      <c r="O22" s="501"/>
    </row>
    <row r="23" spans="1:15" x14ac:dyDescent="0.25">
      <c r="A23" s="6"/>
      <c r="B23" s="6"/>
      <c r="C23" s="355">
        <f>C15</f>
        <v>2011</v>
      </c>
      <c r="D23" s="505">
        <f>D15</f>
        <v>2012</v>
      </c>
      <c r="E23" s="505"/>
      <c r="F23" s="505"/>
      <c r="G23" s="506">
        <f>G15</f>
        <v>2013</v>
      </c>
      <c r="H23" s="506"/>
      <c r="I23" s="506"/>
      <c r="J23" s="505">
        <f>J15</f>
        <v>2014</v>
      </c>
      <c r="K23" s="505"/>
      <c r="L23" s="505"/>
      <c r="M23" s="506">
        <f>M15</f>
        <v>2015</v>
      </c>
      <c r="N23" s="506"/>
      <c r="O23" s="506"/>
    </row>
    <row r="24" spans="1:15" x14ac:dyDescent="0.25">
      <c r="A24" s="6" t="s">
        <v>765</v>
      </c>
      <c r="B24" s="362" t="s">
        <v>766</v>
      </c>
      <c r="C24" s="362"/>
      <c r="D24" s="363" t="s">
        <v>770</v>
      </c>
      <c r="E24" s="362" t="s">
        <v>771</v>
      </c>
      <c r="F24" s="362" t="s">
        <v>772</v>
      </c>
      <c r="G24" s="363" t="s">
        <v>770</v>
      </c>
      <c r="H24" s="362" t="s">
        <v>771</v>
      </c>
      <c r="I24" s="362" t="s">
        <v>772</v>
      </c>
      <c r="J24" s="363" t="s">
        <v>770</v>
      </c>
      <c r="K24" s="362" t="s">
        <v>771</v>
      </c>
      <c r="L24" s="362" t="s">
        <v>772</v>
      </c>
      <c r="M24" s="363" t="s">
        <v>770</v>
      </c>
      <c r="N24" s="362" t="s">
        <v>771</v>
      </c>
      <c r="O24" s="362" t="s">
        <v>772</v>
      </c>
    </row>
    <row r="25" spans="1:15" x14ac:dyDescent="0.25">
      <c r="A25" s="344"/>
      <c r="B25" s="345"/>
      <c r="C25" s="349"/>
      <c r="D25" s="198"/>
      <c r="E25" s="198"/>
      <c r="F25" s="198"/>
      <c r="G25" s="198"/>
      <c r="H25" s="198"/>
      <c r="I25" s="198"/>
      <c r="J25" s="198"/>
      <c r="K25" s="198"/>
      <c r="L25" s="198"/>
      <c r="M25" s="198"/>
      <c r="N25" s="198"/>
      <c r="O25" s="198"/>
    </row>
    <row r="26" spans="1:15" x14ac:dyDescent="0.25">
      <c r="A26" s="344"/>
      <c r="B26" s="345"/>
      <c r="C26" s="349"/>
      <c r="D26" s="198"/>
      <c r="E26" s="198"/>
      <c r="F26" s="198"/>
      <c r="G26" s="198"/>
      <c r="H26" s="198"/>
      <c r="I26" s="198"/>
      <c r="J26" s="198"/>
      <c r="K26" s="198"/>
      <c r="L26" s="198"/>
      <c r="M26" s="198"/>
      <c r="N26" s="198"/>
      <c r="O26" s="198"/>
    </row>
    <row r="27" spans="1:15" x14ac:dyDescent="0.25">
      <c r="A27" s="344"/>
      <c r="B27" s="345"/>
      <c r="C27" s="349"/>
      <c r="D27" s="198"/>
      <c r="E27" s="198"/>
      <c r="F27" s="198"/>
      <c r="G27" s="198"/>
      <c r="H27" s="198"/>
      <c r="I27" s="198"/>
      <c r="J27" s="198"/>
      <c r="K27" s="198"/>
      <c r="L27" s="198"/>
      <c r="M27" s="198"/>
      <c r="N27" s="198"/>
      <c r="O27" s="198"/>
    </row>
    <row r="28" spans="1:15" x14ac:dyDescent="0.25">
      <c r="A28" s="344"/>
      <c r="B28" s="345"/>
      <c r="C28" s="349"/>
      <c r="D28" s="198"/>
      <c r="E28" s="198"/>
      <c r="F28" s="198"/>
      <c r="G28" s="198"/>
      <c r="H28" s="198"/>
      <c r="I28" s="198"/>
      <c r="J28" s="198"/>
      <c r="K28" s="198"/>
      <c r="L28" s="198"/>
      <c r="M28" s="198"/>
      <c r="N28" s="198"/>
      <c r="O28" s="198"/>
    </row>
    <row r="29" spans="1:15" x14ac:dyDescent="0.25">
      <c r="A29" s="344"/>
      <c r="B29" s="345"/>
      <c r="C29" s="349"/>
      <c r="D29" s="198"/>
      <c r="E29" s="198"/>
      <c r="F29" s="198"/>
      <c r="G29" s="198"/>
      <c r="H29" s="198"/>
      <c r="I29" s="198"/>
      <c r="J29" s="198"/>
      <c r="K29" s="198"/>
      <c r="L29" s="198"/>
      <c r="M29" s="198"/>
      <c r="N29" s="198"/>
      <c r="O29" s="198"/>
    </row>
    <row r="30" spans="1:15" x14ac:dyDescent="0.25">
      <c r="A30" s="344"/>
      <c r="B30" s="345"/>
      <c r="C30" s="349"/>
      <c r="D30" s="198"/>
      <c r="E30" s="198"/>
      <c r="F30" s="198"/>
      <c r="G30" s="198"/>
      <c r="H30" s="198"/>
      <c r="I30" s="198"/>
      <c r="J30" s="198"/>
      <c r="K30" s="198"/>
      <c r="L30" s="198"/>
      <c r="M30" s="198"/>
      <c r="N30" s="198"/>
      <c r="O30" s="198"/>
    </row>
    <row r="31" spans="1:15" x14ac:dyDescent="0.25">
      <c r="A31" s="344"/>
      <c r="B31" s="345"/>
      <c r="C31" s="349"/>
      <c r="D31" s="198"/>
      <c r="E31" s="198"/>
      <c r="F31" s="198"/>
      <c r="G31" s="198"/>
      <c r="H31" s="198"/>
      <c r="I31" s="198"/>
      <c r="J31" s="198"/>
      <c r="K31" s="198"/>
      <c r="L31" s="198"/>
      <c r="M31" s="198"/>
      <c r="N31" s="198"/>
      <c r="O31" s="198"/>
    </row>
    <row r="32" spans="1:15" x14ac:dyDescent="0.25">
      <c r="A32" s="344"/>
      <c r="B32" s="345"/>
      <c r="C32" s="349"/>
      <c r="D32" s="198"/>
      <c r="E32" s="198"/>
      <c r="F32" s="198"/>
      <c r="G32" s="198"/>
      <c r="H32" s="198"/>
      <c r="I32" s="198"/>
      <c r="J32" s="198"/>
      <c r="K32" s="198"/>
      <c r="L32" s="198"/>
      <c r="M32" s="198"/>
      <c r="N32" s="198"/>
      <c r="O32" s="198"/>
    </row>
    <row r="33" spans="1:15" x14ac:dyDescent="0.25">
      <c r="A33" s="344"/>
      <c r="B33" s="345"/>
      <c r="C33" s="349"/>
      <c r="D33" s="198"/>
      <c r="E33" s="198"/>
      <c r="F33" s="198"/>
      <c r="G33" s="198"/>
      <c r="H33" s="198"/>
      <c r="I33" s="198"/>
      <c r="J33" s="198"/>
      <c r="K33" s="198"/>
      <c r="L33" s="198"/>
      <c r="M33" s="198"/>
      <c r="N33" s="198"/>
      <c r="O33" s="198"/>
    </row>
    <row r="34" spans="1:15" x14ac:dyDescent="0.25">
      <c r="A34" s="344"/>
      <c r="B34" s="345"/>
      <c r="C34" s="349"/>
      <c r="D34" s="198"/>
      <c r="E34" s="198"/>
      <c r="F34" s="198"/>
      <c r="G34" s="198"/>
      <c r="H34" s="198"/>
      <c r="I34" s="198"/>
      <c r="J34" s="198"/>
      <c r="K34" s="198"/>
      <c r="L34" s="198"/>
      <c r="M34" s="198"/>
      <c r="N34" s="198"/>
      <c r="O34" s="198"/>
    </row>
    <row r="35" spans="1:15" x14ac:dyDescent="0.25">
      <c r="A35" s="344"/>
      <c r="B35" s="345"/>
      <c r="C35" s="349"/>
      <c r="D35" s="198"/>
      <c r="E35" s="198"/>
      <c r="F35" s="198"/>
      <c r="G35" s="198"/>
      <c r="H35" s="198"/>
      <c r="I35" s="198"/>
      <c r="J35" s="198"/>
      <c r="K35" s="198"/>
      <c r="L35" s="198"/>
      <c r="M35" s="198"/>
      <c r="N35" s="198"/>
      <c r="O35" s="198"/>
    </row>
    <row r="36" spans="1:15" x14ac:dyDescent="0.25">
      <c r="A36" s="344"/>
      <c r="B36" s="345"/>
      <c r="C36" s="349"/>
      <c r="D36" s="198"/>
      <c r="E36" s="198"/>
      <c r="F36" s="198"/>
      <c r="G36" s="198"/>
      <c r="H36" s="198"/>
      <c r="I36" s="198"/>
      <c r="J36" s="198"/>
      <c r="K36" s="198"/>
      <c r="L36" s="198"/>
      <c r="M36" s="198"/>
      <c r="N36" s="198"/>
      <c r="O36" s="198"/>
    </row>
    <row r="37" spans="1:15" x14ac:dyDescent="0.25">
      <c r="A37" s="344"/>
      <c r="B37" s="345"/>
      <c r="C37" s="349"/>
      <c r="D37" s="198"/>
      <c r="E37" s="198"/>
      <c r="F37" s="198"/>
      <c r="G37" s="198"/>
      <c r="H37" s="198"/>
      <c r="I37" s="198"/>
      <c r="J37" s="198"/>
      <c r="K37" s="198"/>
      <c r="L37" s="198"/>
      <c r="M37" s="198"/>
      <c r="N37" s="198"/>
      <c r="O37" s="198"/>
    </row>
    <row r="38" spans="1:15" x14ac:dyDescent="0.25">
      <c r="A38" s="344"/>
      <c r="B38" s="345"/>
      <c r="C38" s="349"/>
      <c r="D38" s="198"/>
      <c r="E38" s="198"/>
      <c r="F38" s="198"/>
      <c r="G38" s="198"/>
      <c r="H38" s="198"/>
      <c r="I38" s="198"/>
      <c r="J38" s="198"/>
      <c r="K38" s="198"/>
      <c r="L38" s="198"/>
      <c r="M38" s="198"/>
      <c r="N38" s="198"/>
      <c r="O38" s="198"/>
    </row>
    <row r="39" spans="1:15" x14ac:dyDescent="0.25">
      <c r="A39" s="344"/>
      <c r="B39" s="345"/>
      <c r="C39" s="349"/>
      <c r="D39" s="198"/>
      <c r="E39" s="198"/>
      <c r="F39" s="198"/>
      <c r="G39" s="198"/>
      <c r="H39" s="198"/>
      <c r="I39" s="198"/>
      <c r="J39" s="198"/>
      <c r="K39" s="198"/>
      <c r="L39" s="198"/>
      <c r="M39" s="198"/>
      <c r="N39" s="198"/>
      <c r="O39" s="198"/>
    </row>
    <row r="40" spans="1:15" x14ac:dyDescent="0.25">
      <c r="A40" s="344"/>
      <c r="B40" s="345"/>
      <c r="C40" s="349"/>
      <c r="D40" s="198"/>
      <c r="E40" s="198"/>
      <c r="F40" s="198"/>
      <c r="G40" s="198"/>
      <c r="H40" s="198"/>
      <c r="I40" s="198"/>
      <c r="J40" s="198"/>
      <c r="K40" s="198"/>
      <c r="L40" s="198"/>
      <c r="M40" s="198"/>
      <c r="N40" s="198"/>
      <c r="O40" s="198"/>
    </row>
    <row r="41" spans="1:15" x14ac:dyDescent="0.25">
      <c r="A41" s="344"/>
      <c r="B41" s="345"/>
      <c r="C41" s="349"/>
      <c r="D41" s="198"/>
      <c r="E41" s="198"/>
      <c r="F41" s="198"/>
      <c r="G41" s="198"/>
      <c r="H41" s="198"/>
      <c r="I41" s="198"/>
      <c r="J41" s="198"/>
      <c r="K41" s="198"/>
      <c r="L41" s="198"/>
      <c r="M41" s="198"/>
      <c r="N41" s="198"/>
      <c r="O41" s="198"/>
    </row>
    <row r="42" spans="1:15" x14ac:dyDescent="0.25">
      <c r="A42" s="344"/>
      <c r="B42" s="345"/>
      <c r="C42" s="349"/>
      <c r="D42" s="198"/>
      <c r="E42" s="198"/>
      <c r="F42" s="198"/>
      <c r="G42" s="198"/>
      <c r="H42" s="198"/>
      <c r="I42" s="198"/>
      <c r="J42" s="198"/>
      <c r="K42" s="198"/>
      <c r="L42" s="198"/>
      <c r="M42" s="198"/>
      <c r="N42" s="198"/>
      <c r="O42" s="198"/>
    </row>
    <row r="43" spans="1:15" x14ac:dyDescent="0.25">
      <c r="A43" s="344"/>
      <c r="B43" s="345"/>
      <c r="C43" s="349"/>
      <c r="D43" s="198"/>
      <c r="E43" s="198"/>
      <c r="F43" s="198"/>
      <c r="G43" s="198"/>
      <c r="H43" s="198"/>
      <c r="I43" s="198"/>
      <c r="J43" s="198"/>
      <c r="K43" s="198"/>
      <c r="L43" s="198"/>
      <c r="M43" s="198"/>
      <c r="N43" s="198"/>
      <c r="O43" s="198"/>
    </row>
    <row r="44" spans="1:15" x14ac:dyDescent="0.25">
      <c r="A44" s="344"/>
      <c r="B44" s="345"/>
      <c r="C44" s="349"/>
      <c r="D44" s="198"/>
      <c r="E44" s="198"/>
      <c r="F44" s="198"/>
      <c r="G44" s="198"/>
      <c r="H44" s="198"/>
      <c r="I44" s="198"/>
      <c r="J44" s="198"/>
      <c r="K44" s="198"/>
      <c r="L44" s="198"/>
      <c r="M44" s="198"/>
      <c r="N44" s="198"/>
      <c r="O44" s="198"/>
    </row>
    <row r="46" spans="1:15" x14ac:dyDescent="0.25">
      <c r="A46" s="348" t="s">
        <v>768</v>
      </c>
      <c r="B46" s="348"/>
      <c r="D46" s="350">
        <f>SUM(D25:D44)</f>
        <v>0</v>
      </c>
      <c r="E46" s="350">
        <f t="shared" ref="E46:O46" si="0">SUM(E25:E44)</f>
        <v>0</v>
      </c>
      <c r="F46" s="350">
        <f t="shared" si="0"/>
        <v>0</v>
      </c>
      <c r="G46" s="350">
        <f t="shared" si="0"/>
        <v>0</v>
      </c>
      <c r="H46" s="350">
        <f t="shared" si="0"/>
        <v>0</v>
      </c>
      <c r="I46" s="350">
        <f t="shared" si="0"/>
        <v>0</v>
      </c>
      <c r="J46" s="350">
        <f t="shared" si="0"/>
        <v>0</v>
      </c>
      <c r="K46" s="350">
        <f t="shared" si="0"/>
        <v>0</v>
      </c>
      <c r="L46" s="350">
        <f t="shared" si="0"/>
        <v>0</v>
      </c>
      <c r="M46" s="350">
        <f t="shared" si="0"/>
        <v>0</v>
      </c>
      <c r="N46" s="350">
        <f t="shared" si="0"/>
        <v>0</v>
      </c>
      <c r="O46" s="350">
        <f t="shared" si="0"/>
        <v>0</v>
      </c>
    </row>
    <row r="47" spans="1:15" x14ac:dyDescent="0.25">
      <c r="A47" s="348"/>
      <c r="B47" s="348"/>
      <c r="D47" s="356"/>
      <c r="E47" s="356"/>
      <c r="F47" s="356"/>
      <c r="G47" s="356"/>
      <c r="H47" s="356"/>
      <c r="I47" s="356"/>
      <c r="J47" s="356"/>
      <c r="K47" s="356"/>
      <c r="L47" s="356"/>
      <c r="M47" s="356"/>
      <c r="N47" s="356"/>
      <c r="O47" s="356"/>
    </row>
    <row r="48" spans="1:15" x14ac:dyDescent="0.25">
      <c r="A48" s="348" t="s">
        <v>769</v>
      </c>
      <c r="B48" s="348"/>
      <c r="D48" s="350">
        <f>MIN(D46,D20)</f>
        <v>0</v>
      </c>
      <c r="E48" s="356"/>
      <c r="F48" s="356"/>
      <c r="G48" s="350">
        <f>MIN(G46,G20)</f>
        <v>0</v>
      </c>
      <c r="H48" s="356"/>
      <c r="I48" s="356"/>
      <c r="J48" s="350">
        <f>MIN(J46,J20)</f>
        <v>0</v>
      </c>
      <c r="K48" s="356"/>
      <c r="L48" s="356"/>
      <c r="M48" s="350">
        <f>MIN(M46,M20)</f>
        <v>0</v>
      </c>
      <c r="N48" s="356"/>
      <c r="O48" s="356"/>
    </row>
    <row r="49" spans="1:15" ht="15.75" thickBot="1" x14ac:dyDescent="0.3"/>
    <row r="50" spans="1:15" ht="15" customHeight="1" thickBot="1" x14ac:dyDescent="0.3">
      <c r="A50" s="456" t="s">
        <v>873</v>
      </c>
      <c r="B50" s="456"/>
      <c r="D50" s="502" t="s">
        <v>848</v>
      </c>
      <c r="E50" s="503"/>
      <c r="F50" s="503"/>
      <c r="G50" s="502" t="s">
        <v>848</v>
      </c>
      <c r="H50" s="503"/>
      <c r="I50" s="504"/>
      <c r="J50" s="502" t="s">
        <v>848</v>
      </c>
      <c r="K50" s="503"/>
      <c r="L50" s="503"/>
      <c r="M50" s="502" t="s">
        <v>848</v>
      </c>
      <c r="N50" s="503"/>
      <c r="O50" s="504"/>
    </row>
    <row r="51" spans="1:15" x14ac:dyDescent="0.25">
      <c r="A51" s="456"/>
      <c r="B51" s="456"/>
    </row>
    <row r="52" spans="1:15" x14ac:dyDescent="0.25">
      <c r="A52" s="456"/>
      <c r="B52" s="456"/>
      <c r="D52" s="507" t="s">
        <v>750</v>
      </c>
      <c r="E52" s="507"/>
      <c r="F52" s="507"/>
      <c r="G52" s="507" t="s">
        <v>750</v>
      </c>
      <c r="H52" s="507"/>
      <c r="I52" s="507"/>
      <c r="J52" s="507" t="s">
        <v>750</v>
      </c>
      <c r="K52" s="507"/>
      <c r="L52" s="507"/>
      <c r="M52" s="507" t="s">
        <v>750</v>
      </c>
      <c r="N52" s="507"/>
      <c r="O52" s="507"/>
    </row>
    <row r="53" spans="1:15" x14ac:dyDescent="0.25">
      <c r="A53" s="456"/>
      <c r="B53" s="456"/>
      <c r="D53" s="505" t="s">
        <v>756</v>
      </c>
      <c r="E53" s="505"/>
      <c r="F53" s="505"/>
      <c r="G53" s="506" t="s">
        <v>757</v>
      </c>
      <c r="H53" s="506"/>
      <c r="I53" s="506"/>
      <c r="J53" s="505" t="s">
        <v>758</v>
      </c>
      <c r="K53" s="505"/>
      <c r="L53" s="505"/>
      <c r="M53" s="508" t="s">
        <v>759</v>
      </c>
      <c r="N53" s="508"/>
      <c r="O53" s="508"/>
    </row>
    <row r="54" spans="1:15" x14ac:dyDescent="0.25">
      <c r="D54" s="505">
        <f>M15+1</f>
        <v>2016</v>
      </c>
      <c r="E54" s="505"/>
      <c r="F54" s="505"/>
      <c r="G54" s="506">
        <f>D54+1</f>
        <v>2017</v>
      </c>
      <c r="H54" s="506"/>
      <c r="I54" s="506"/>
      <c r="J54" s="505">
        <f>G54+1</f>
        <v>2018</v>
      </c>
      <c r="K54" s="505"/>
      <c r="L54" s="505"/>
      <c r="M54" s="506">
        <f>J54+1</f>
        <v>2019</v>
      </c>
      <c r="N54" s="506"/>
      <c r="O54" s="506"/>
    </row>
    <row r="55" spans="1:15" x14ac:dyDescent="0.25">
      <c r="A55" s="348" t="s">
        <v>762</v>
      </c>
      <c r="B55" s="499"/>
      <c r="D55" s="198"/>
      <c r="G55" s="198"/>
      <c r="J55" s="198"/>
      <c r="M55" s="198"/>
    </row>
    <row r="56" spans="1:15" x14ac:dyDescent="0.25">
      <c r="A56" s="348"/>
      <c r="B56" s="499"/>
    </row>
    <row r="57" spans="1:15" x14ac:dyDescent="0.25">
      <c r="A57" s="348" t="s">
        <v>763</v>
      </c>
      <c r="B57" s="499"/>
      <c r="D57" s="350">
        <f>IF('8. Threshold Test'!$E$79="", 0, '8. Threshold Test'!$E$79)</f>
        <v>8970663.4576742779</v>
      </c>
      <c r="G57" s="350">
        <f>IF('8. Threshold Test'!$E$80="", 0, '8. Threshold Test'!$E$80)</f>
        <v>9123446.6062851939</v>
      </c>
      <c r="J57" s="350">
        <f>IF('8. Threshold Test'!$E$81="", 0, '8. Threshold Test'!$E$81)</f>
        <v>9282555.764328368</v>
      </c>
      <c r="M57" s="350">
        <f>IF('8. Threshold Test'!$E$82="", 0, '8. Threshold Test'!$E$82)</f>
        <v>9448252.8611834571</v>
      </c>
    </row>
    <row r="58" spans="1:15" x14ac:dyDescent="0.25">
      <c r="A58" s="6"/>
      <c r="B58" s="499"/>
    </row>
    <row r="59" spans="1:15" ht="30" x14ac:dyDescent="0.25">
      <c r="A59" s="351" t="s">
        <v>764</v>
      </c>
      <c r="B59" s="348"/>
      <c r="C59" s="352"/>
      <c r="D59" s="353">
        <f t="shared" ref="D59" si="1">IF(D57&gt;D55,0,D55-D57)</f>
        <v>0</v>
      </c>
      <c r="G59" s="353">
        <f t="shared" ref="G59" si="2">IF(G57&gt;G55,0,G55-G57)</f>
        <v>0</v>
      </c>
      <c r="J59" s="353">
        <f t="shared" ref="J59" si="3">IF(J57&gt;J55,0,J55-J57)</f>
        <v>0</v>
      </c>
      <c r="M59" s="353">
        <f t="shared" ref="M59" si="4">IF(M57&gt;M55,0,M55-M57)</f>
        <v>0</v>
      </c>
    </row>
    <row r="60" spans="1:15" x14ac:dyDescent="0.25">
      <c r="A60" s="351"/>
      <c r="B60" s="348"/>
      <c r="C60" s="352"/>
      <c r="D60" s="354"/>
      <c r="G60" s="354"/>
      <c r="J60" s="354"/>
      <c r="M60" s="354"/>
    </row>
    <row r="61" spans="1:15" x14ac:dyDescent="0.25">
      <c r="A61" s="6"/>
      <c r="B61" s="6"/>
      <c r="C61" s="352"/>
      <c r="D61" s="505" t="str">
        <f>D53</f>
        <v>Year 5</v>
      </c>
      <c r="E61" s="505"/>
      <c r="F61" s="505"/>
      <c r="G61" s="506" t="str">
        <f>G53</f>
        <v>Year 6</v>
      </c>
      <c r="H61" s="506"/>
      <c r="I61" s="506"/>
      <c r="J61" s="505" t="str">
        <f>J53</f>
        <v>Year 7</v>
      </c>
      <c r="K61" s="505"/>
      <c r="L61" s="505"/>
      <c r="M61" s="506" t="str">
        <f>M53</f>
        <v>Year 8</v>
      </c>
      <c r="N61" s="506"/>
      <c r="O61" s="506"/>
    </row>
    <row r="62" spans="1:15" x14ac:dyDescent="0.25">
      <c r="A62" s="6"/>
      <c r="B62" s="6"/>
      <c r="C62" s="352"/>
      <c r="D62" s="505">
        <f>D54</f>
        <v>2016</v>
      </c>
      <c r="E62" s="505"/>
      <c r="F62" s="505"/>
      <c r="G62" s="506">
        <f>G54</f>
        <v>2017</v>
      </c>
      <c r="H62" s="506"/>
      <c r="I62" s="506"/>
      <c r="J62" s="505">
        <f>J54</f>
        <v>2018</v>
      </c>
      <c r="K62" s="505"/>
      <c r="L62" s="505"/>
      <c r="M62" s="506">
        <f>M54</f>
        <v>2019</v>
      </c>
      <c r="N62" s="506"/>
      <c r="O62" s="506"/>
    </row>
    <row r="63" spans="1:15" x14ac:dyDescent="0.25">
      <c r="A63" s="6" t="s">
        <v>765</v>
      </c>
      <c r="B63" s="362" t="s">
        <v>766</v>
      </c>
      <c r="C63" s="352"/>
      <c r="D63" s="363" t="s">
        <v>770</v>
      </c>
      <c r="E63" s="362" t="s">
        <v>771</v>
      </c>
      <c r="F63" s="362" t="s">
        <v>772</v>
      </c>
      <c r="G63" s="363" t="s">
        <v>770</v>
      </c>
      <c r="H63" s="362" t="s">
        <v>771</v>
      </c>
      <c r="I63" s="362" t="s">
        <v>772</v>
      </c>
      <c r="J63" s="363" t="s">
        <v>770</v>
      </c>
      <c r="K63" s="362" t="s">
        <v>771</v>
      </c>
      <c r="L63" s="362" t="s">
        <v>772</v>
      </c>
      <c r="M63" s="363" t="s">
        <v>770</v>
      </c>
      <c r="N63" s="362" t="s">
        <v>771</v>
      </c>
      <c r="O63" s="362" t="s">
        <v>772</v>
      </c>
    </row>
    <row r="64" spans="1:15" x14ac:dyDescent="0.25">
      <c r="A64" s="344"/>
      <c r="B64" s="345"/>
      <c r="C64" s="349"/>
      <c r="D64" s="198"/>
      <c r="E64" s="198"/>
      <c r="F64" s="198"/>
      <c r="G64" s="198"/>
      <c r="H64" s="198"/>
      <c r="I64" s="198"/>
      <c r="J64" s="198"/>
      <c r="K64" s="198"/>
      <c r="L64" s="198"/>
      <c r="M64" s="198"/>
      <c r="N64" s="198"/>
      <c r="O64" s="198"/>
    </row>
    <row r="65" spans="1:15" x14ac:dyDescent="0.25">
      <c r="A65" s="344"/>
      <c r="B65" s="345"/>
      <c r="C65" s="349"/>
      <c r="D65" s="198"/>
      <c r="E65" s="198"/>
      <c r="F65" s="198"/>
      <c r="G65" s="198"/>
      <c r="H65" s="198"/>
      <c r="I65" s="198"/>
      <c r="J65" s="198"/>
      <c r="K65" s="198"/>
      <c r="L65" s="198"/>
      <c r="M65" s="198"/>
      <c r="N65" s="198"/>
      <c r="O65" s="198"/>
    </row>
    <row r="66" spans="1:15" x14ac:dyDescent="0.25">
      <c r="A66" s="344"/>
      <c r="B66" s="345"/>
      <c r="C66" s="349"/>
      <c r="D66" s="198"/>
      <c r="E66" s="198"/>
      <c r="F66" s="198"/>
      <c r="G66" s="198"/>
      <c r="H66" s="198"/>
      <c r="I66" s="198"/>
      <c r="J66" s="198"/>
      <c r="K66" s="198"/>
      <c r="L66" s="198"/>
      <c r="M66" s="198"/>
      <c r="N66" s="198"/>
      <c r="O66" s="198"/>
    </row>
    <row r="67" spans="1:15" x14ac:dyDescent="0.25">
      <c r="A67" s="344"/>
      <c r="B67" s="345"/>
      <c r="C67" s="349"/>
      <c r="D67" s="198"/>
      <c r="E67" s="198"/>
      <c r="F67" s="198"/>
      <c r="G67" s="198"/>
      <c r="H67" s="198"/>
      <c r="I67" s="198"/>
      <c r="J67" s="198"/>
      <c r="K67" s="198"/>
      <c r="L67" s="198"/>
      <c r="M67" s="198"/>
      <c r="N67" s="198"/>
      <c r="O67" s="198"/>
    </row>
    <row r="68" spans="1:15" x14ac:dyDescent="0.25">
      <c r="A68" s="344"/>
      <c r="B68" s="345"/>
      <c r="C68" s="349"/>
      <c r="D68" s="198"/>
      <c r="E68" s="198"/>
      <c r="F68" s="198"/>
      <c r="G68" s="198"/>
      <c r="H68" s="198"/>
      <c r="I68" s="198"/>
      <c r="J68" s="198"/>
      <c r="K68" s="198"/>
      <c r="L68" s="198"/>
      <c r="M68" s="198"/>
      <c r="N68" s="198"/>
      <c r="O68" s="198"/>
    </row>
    <row r="69" spans="1:15" x14ac:dyDescent="0.25">
      <c r="A69" s="344"/>
      <c r="B69" s="345"/>
      <c r="C69" s="349"/>
      <c r="D69" s="198"/>
      <c r="E69" s="198"/>
      <c r="F69" s="198"/>
      <c r="G69" s="198"/>
      <c r="H69" s="198"/>
      <c r="I69" s="198"/>
      <c r="J69" s="198"/>
      <c r="K69" s="198"/>
      <c r="L69" s="198"/>
      <c r="M69" s="198"/>
      <c r="N69" s="198"/>
      <c r="O69" s="198"/>
    </row>
    <row r="70" spans="1:15" x14ac:dyDescent="0.25">
      <c r="A70" s="344"/>
      <c r="B70" s="345"/>
      <c r="C70" s="349"/>
      <c r="D70" s="198"/>
      <c r="E70" s="198"/>
      <c r="F70" s="198"/>
      <c r="G70" s="198"/>
      <c r="H70" s="198"/>
      <c r="I70" s="198"/>
      <c r="J70" s="198"/>
      <c r="K70" s="198"/>
      <c r="L70" s="198"/>
      <c r="M70" s="198"/>
      <c r="N70" s="198"/>
      <c r="O70" s="198"/>
    </row>
    <row r="71" spans="1:15" x14ac:dyDescent="0.25">
      <c r="A71" s="344"/>
      <c r="B71" s="345"/>
      <c r="C71" s="349"/>
      <c r="D71" s="198"/>
      <c r="E71" s="198"/>
      <c r="F71" s="198"/>
      <c r="G71" s="198"/>
      <c r="H71" s="198"/>
      <c r="I71" s="198"/>
      <c r="J71" s="198"/>
      <c r="K71" s="198"/>
      <c r="L71" s="198"/>
      <c r="M71" s="198"/>
      <c r="N71" s="198"/>
      <c r="O71" s="198"/>
    </row>
    <row r="72" spans="1:15" x14ac:dyDescent="0.25">
      <c r="A72" s="344"/>
      <c r="B72" s="345"/>
      <c r="C72" s="349"/>
      <c r="D72" s="198"/>
      <c r="E72" s="198"/>
      <c r="F72" s="198"/>
      <c r="G72" s="198"/>
      <c r="H72" s="198"/>
      <c r="I72" s="198"/>
      <c r="J72" s="198"/>
      <c r="K72" s="198"/>
      <c r="L72" s="198"/>
      <c r="M72" s="198"/>
      <c r="N72" s="198"/>
      <c r="O72" s="198"/>
    </row>
    <row r="73" spans="1:15" x14ac:dyDescent="0.25">
      <c r="A73" s="344"/>
      <c r="B73" s="345"/>
      <c r="C73" s="349"/>
      <c r="D73" s="198"/>
      <c r="E73" s="198"/>
      <c r="F73" s="198"/>
      <c r="G73" s="198"/>
      <c r="H73" s="198"/>
      <c r="I73" s="198"/>
      <c r="J73" s="198"/>
      <c r="K73" s="198"/>
      <c r="L73" s="198"/>
      <c r="M73" s="198"/>
      <c r="N73" s="198"/>
      <c r="O73" s="198"/>
    </row>
    <row r="74" spans="1:15" x14ac:dyDescent="0.25">
      <c r="A74" s="344"/>
      <c r="B74" s="345"/>
      <c r="C74" s="349"/>
      <c r="D74" s="198"/>
      <c r="E74" s="198"/>
      <c r="F74" s="198"/>
      <c r="G74" s="198"/>
      <c r="H74" s="198"/>
      <c r="I74" s="198"/>
      <c r="J74" s="198"/>
      <c r="K74" s="198"/>
      <c r="L74" s="198"/>
      <c r="M74" s="198"/>
      <c r="N74" s="198"/>
      <c r="O74" s="198"/>
    </row>
    <row r="75" spans="1:15" x14ac:dyDescent="0.25">
      <c r="A75" s="344"/>
      <c r="B75" s="345"/>
      <c r="C75" s="349"/>
      <c r="D75" s="198"/>
      <c r="E75" s="198"/>
      <c r="F75" s="198"/>
      <c r="G75" s="198"/>
      <c r="H75" s="198"/>
      <c r="I75" s="198"/>
      <c r="J75" s="198"/>
      <c r="K75" s="198"/>
      <c r="L75" s="198"/>
      <c r="M75" s="198"/>
      <c r="N75" s="198"/>
      <c r="O75" s="198"/>
    </row>
    <row r="76" spans="1:15" x14ac:dyDescent="0.25">
      <c r="A76" s="344"/>
      <c r="B76" s="345"/>
      <c r="C76" s="349"/>
      <c r="D76" s="198"/>
      <c r="E76" s="198"/>
      <c r="F76" s="198"/>
      <c r="G76" s="198"/>
      <c r="H76" s="198"/>
      <c r="I76" s="198"/>
      <c r="J76" s="198"/>
      <c r="K76" s="198"/>
      <c r="L76" s="198"/>
      <c r="M76" s="198"/>
      <c r="N76" s="198"/>
      <c r="O76" s="198"/>
    </row>
    <row r="77" spans="1:15" x14ac:dyDescent="0.25">
      <c r="A77" s="344"/>
      <c r="B77" s="345"/>
      <c r="C77" s="349"/>
      <c r="D77" s="198"/>
      <c r="E77" s="198"/>
      <c r="F77" s="198"/>
      <c r="G77" s="198"/>
      <c r="H77" s="198"/>
      <c r="I77" s="198"/>
      <c r="J77" s="198"/>
      <c r="K77" s="198"/>
      <c r="L77" s="198"/>
      <c r="M77" s="198"/>
      <c r="N77" s="198"/>
      <c r="O77" s="198"/>
    </row>
    <row r="78" spans="1:15" x14ac:dyDescent="0.25">
      <c r="A78" s="344"/>
      <c r="B78" s="345"/>
      <c r="C78" s="349"/>
      <c r="D78" s="198"/>
      <c r="E78" s="198"/>
      <c r="F78" s="198"/>
      <c r="G78" s="198"/>
      <c r="H78" s="198"/>
      <c r="I78" s="198"/>
      <c r="J78" s="198"/>
      <c r="K78" s="198"/>
      <c r="L78" s="198"/>
      <c r="M78" s="198"/>
      <c r="N78" s="198"/>
      <c r="O78" s="198"/>
    </row>
    <row r="79" spans="1:15" x14ac:dyDescent="0.25">
      <c r="A79" s="344"/>
      <c r="B79" s="345"/>
      <c r="C79" s="349"/>
      <c r="D79" s="198"/>
      <c r="E79" s="198"/>
      <c r="F79" s="198"/>
      <c r="G79" s="198"/>
      <c r="H79" s="198"/>
      <c r="I79" s="198"/>
      <c r="J79" s="198"/>
      <c r="K79" s="198"/>
      <c r="L79" s="198"/>
      <c r="M79" s="198"/>
      <c r="N79" s="198"/>
      <c r="O79" s="198"/>
    </row>
    <row r="80" spans="1:15" x14ac:dyDescent="0.25">
      <c r="A80" s="344"/>
      <c r="B80" s="345"/>
      <c r="C80" s="349"/>
      <c r="D80" s="198"/>
      <c r="E80" s="198"/>
      <c r="F80" s="198"/>
      <c r="G80" s="198"/>
      <c r="H80" s="198"/>
      <c r="I80" s="198"/>
      <c r="J80" s="198"/>
      <c r="K80" s="198"/>
      <c r="L80" s="198"/>
      <c r="M80" s="198"/>
      <c r="N80" s="198"/>
      <c r="O80" s="198"/>
    </row>
    <row r="81" spans="1:15" x14ac:dyDescent="0.25">
      <c r="A81" s="344"/>
      <c r="B81" s="345"/>
      <c r="C81" s="349"/>
      <c r="D81" s="198"/>
      <c r="E81" s="198"/>
      <c r="F81" s="198"/>
      <c r="G81" s="198"/>
      <c r="H81" s="198"/>
      <c r="I81" s="198"/>
      <c r="J81" s="198"/>
      <c r="K81" s="198"/>
      <c r="L81" s="198"/>
      <c r="M81" s="198"/>
      <c r="N81" s="198"/>
      <c r="O81" s="198"/>
    </row>
    <row r="82" spans="1:15" x14ac:dyDescent="0.25">
      <c r="A82" s="344"/>
      <c r="B82" s="345"/>
      <c r="C82" s="349"/>
      <c r="D82" s="198"/>
      <c r="E82" s="198"/>
      <c r="F82" s="198"/>
      <c r="G82" s="198"/>
      <c r="H82" s="198"/>
      <c r="I82" s="198"/>
      <c r="J82" s="198"/>
      <c r="K82" s="198"/>
      <c r="L82" s="198"/>
      <c r="M82" s="198"/>
      <c r="N82" s="198"/>
      <c r="O82" s="198"/>
    </row>
    <row r="83" spans="1:15" x14ac:dyDescent="0.25">
      <c r="A83" s="344"/>
      <c r="B83" s="345"/>
      <c r="C83" s="349"/>
      <c r="D83" s="198"/>
      <c r="E83" s="198"/>
      <c r="F83" s="198"/>
      <c r="G83" s="198"/>
      <c r="H83" s="198"/>
      <c r="I83" s="198"/>
      <c r="J83" s="198"/>
      <c r="K83" s="198"/>
      <c r="L83" s="198"/>
      <c r="M83" s="198"/>
      <c r="N83" s="198"/>
      <c r="O83" s="198"/>
    </row>
    <row r="85" spans="1:15" x14ac:dyDescent="0.25">
      <c r="A85" s="348" t="s">
        <v>768</v>
      </c>
      <c r="B85" s="348"/>
      <c r="D85" s="350">
        <f t="shared" ref="D85:O85" si="5">SUM(D64:D83)</f>
        <v>0</v>
      </c>
      <c r="E85" s="350">
        <f t="shared" si="5"/>
        <v>0</v>
      </c>
      <c r="F85" s="350">
        <f t="shared" si="5"/>
        <v>0</v>
      </c>
      <c r="G85" s="350">
        <f t="shared" si="5"/>
        <v>0</v>
      </c>
      <c r="H85" s="350">
        <f t="shared" si="5"/>
        <v>0</v>
      </c>
      <c r="I85" s="350">
        <f t="shared" si="5"/>
        <v>0</v>
      </c>
      <c r="J85" s="350">
        <f t="shared" si="5"/>
        <v>0</v>
      </c>
      <c r="K85" s="350">
        <f t="shared" si="5"/>
        <v>0</v>
      </c>
      <c r="L85" s="350">
        <f t="shared" si="5"/>
        <v>0</v>
      </c>
      <c r="M85" s="350">
        <f t="shared" si="5"/>
        <v>0</v>
      </c>
      <c r="N85" s="350">
        <f t="shared" si="5"/>
        <v>0</v>
      </c>
      <c r="O85" s="350">
        <f t="shared" si="5"/>
        <v>0</v>
      </c>
    </row>
    <row r="86" spans="1:15" x14ac:dyDescent="0.25">
      <c r="A86" s="348"/>
      <c r="B86" s="348"/>
      <c r="D86" s="356"/>
      <c r="E86" s="356"/>
      <c r="F86" s="356"/>
      <c r="G86" s="356"/>
      <c r="H86" s="356"/>
      <c r="I86" s="356"/>
      <c r="J86" s="356"/>
      <c r="K86" s="356"/>
      <c r="L86" s="356"/>
      <c r="M86" s="356"/>
      <c r="N86" s="356"/>
      <c r="O86" s="356"/>
    </row>
    <row r="87" spans="1:15" x14ac:dyDescent="0.25">
      <c r="A87" s="348" t="s">
        <v>769</v>
      </c>
      <c r="B87" s="348"/>
      <c r="D87" s="350">
        <f>MIN(D85,D59)</f>
        <v>0</v>
      </c>
      <c r="E87" s="356"/>
      <c r="F87" s="356"/>
      <c r="G87" s="350">
        <f>MIN(G85,G59)</f>
        <v>0</v>
      </c>
      <c r="H87" s="356"/>
      <c r="I87" s="356"/>
      <c r="J87" s="350">
        <f>MIN(J85,J59)</f>
        <v>0</v>
      </c>
      <c r="K87" s="356"/>
      <c r="L87" s="356"/>
      <c r="M87" s="350">
        <f>MIN(M85,M59)</f>
        <v>0</v>
      </c>
      <c r="N87" s="356"/>
      <c r="O87" s="356"/>
    </row>
    <row r="88" spans="1:15" ht="15.75" thickBot="1" x14ac:dyDescent="0.3"/>
    <row r="89" spans="1:15" ht="15.75" thickBot="1" x14ac:dyDescent="0.3">
      <c r="A89" s="456" t="s">
        <v>873</v>
      </c>
      <c r="B89" s="456"/>
      <c r="D89" s="502" t="str">
        <f>D50</f>
        <v>Price Cap IR (Deferred Rebasing) (if necessary)</v>
      </c>
      <c r="E89" s="503"/>
      <c r="F89" s="503"/>
      <c r="G89" s="502" t="str">
        <f>G50</f>
        <v>Price Cap IR (Deferred Rebasing) (if necessary)</v>
      </c>
      <c r="H89" s="503"/>
      <c r="I89" s="504"/>
      <c r="J89" s="502" t="str">
        <f>J50</f>
        <v>Price Cap IR (Deferred Rebasing) (if necessary)</v>
      </c>
      <c r="K89" s="503"/>
      <c r="L89" s="503"/>
      <c r="M89" s="502" t="str">
        <f>M50</f>
        <v>Price Cap IR (Deferred Rebasing) (if necessary)</v>
      </c>
      <c r="N89" s="503"/>
      <c r="O89" s="504"/>
    </row>
    <row r="90" spans="1:15" x14ac:dyDescent="0.25">
      <c r="A90" s="456"/>
      <c r="B90" s="456"/>
    </row>
    <row r="91" spans="1:15" x14ac:dyDescent="0.25">
      <c r="A91" s="456"/>
      <c r="B91" s="456"/>
      <c r="D91" s="509" t="s">
        <v>750</v>
      </c>
      <c r="E91" s="509"/>
      <c r="F91" s="509"/>
      <c r="G91" s="509" t="s">
        <v>750</v>
      </c>
      <c r="H91" s="509"/>
      <c r="I91" s="509"/>
      <c r="J91" s="509" t="s">
        <v>750</v>
      </c>
      <c r="K91" s="509"/>
      <c r="L91" s="509"/>
      <c r="M91" s="509" t="s">
        <v>750</v>
      </c>
      <c r="N91" s="509"/>
      <c r="O91" s="509"/>
    </row>
    <row r="92" spans="1:15" x14ac:dyDescent="0.25">
      <c r="A92" s="456"/>
      <c r="B92" s="456"/>
      <c r="D92" s="505" t="s">
        <v>760</v>
      </c>
      <c r="E92" s="505"/>
      <c r="F92" s="505"/>
      <c r="G92" s="506" t="s">
        <v>761</v>
      </c>
      <c r="H92" s="506"/>
      <c r="I92" s="506"/>
      <c r="J92" s="505" t="s">
        <v>891</v>
      </c>
      <c r="K92" s="505"/>
      <c r="L92" s="505"/>
      <c r="M92" s="506" t="s">
        <v>892</v>
      </c>
      <c r="N92" s="506"/>
      <c r="O92" s="506"/>
    </row>
    <row r="93" spans="1:15" x14ac:dyDescent="0.25">
      <c r="D93" s="505">
        <f>M54+1</f>
        <v>2020</v>
      </c>
      <c r="E93" s="505"/>
      <c r="F93" s="505"/>
      <c r="G93" s="506">
        <f>D93+1</f>
        <v>2021</v>
      </c>
      <c r="H93" s="506"/>
      <c r="I93" s="506"/>
      <c r="J93" s="505">
        <f>G93+1</f>
        <v>2022</v>
      </c>
      <c r="K93" s="505"/>
      <c r="L93" s="505"/>
      <c r="M93" s="506">
        <f>J93+1</f>
        <v>2023</v>
      </c>
      <c r="N93" s="506"/>
      <c r="O93" s="506"/>
    </row>
    <row r="94" spans="1:15" x14ac:dyDescent="0.25">
      <c r="A94" s="348" t="s">
        <v>762</v>
      </c>
      <c r="B94" s="499"/>
      <c r="D94" s="198"/>
      <c r="G94" s="198"/>
      <c r="J94" s="198"/>
      <c r="M94" s="198">
        <v>39712617</v>
      </c>
    </row>
    <row r="95" spans="1:15" x14ac:dyDescent="0.25">
      <c r="A95" s="348"/>
      <c r="B95" s="499"/>
    </row>
    <row r="96" spans="1:15" x14ac:dyDescent="0.25">
      <c r="A96" s="348" t="s">
        <v>763</v>
      </c>
      <c r="B96" s="499"/>
      <c r="D96" s="350">
        <f>IF('8. Threshold Test'!$E$83="", 0, '8. Threshold Test'!$E$83)</f>
        <v>9620810.6714557875</v>
      </c>
      <c r="G96" s="350">
        <f>IF('8. Threshold Test'!$E$84="", 0, '8. Threshold Test'!$E$84)</f>
        <v>9800513.2640245799</v>
      </c>
      <c r="J96" s="350">
        <f>IF('8. Threshold Test'!$E$85="", 0, '8. Threshold Test'!$E$85)</f>
        <v>9987656.4696840681</v>
      </c>
      <c r="M96" s="350">
        <f>IF('8. Threshold Test'!$E$86="", 0, '8. Threshold Test'!$E$86)</f>
        <v>10182548.368147369</v>
      </c>
    </row>
    <row r="97" spans="1:15" x14ac:dyDescent="0.25">
      <c r="A97" s="6"/>
      <c r="B97" s="499"/>
    </row>
    <row r="98" spans="1:15" ht="30" x14ac:dyDescent="0.25">
      <c r="A98" s="351" t="s">
        <v>764</v>
      </c>
      <c r="B98" s="348"/>
      <c r="C98" s="352"/>
      <c r="D98" s="353">
        <f t="shared" ref="D98" si="6">IF(D96&gt;D94,0,D94-D96)</f>
        <v>0</v>
      </c>
      <c r="G98" s="353">
        <f t="shared" ref="G98" si="7">IF(G96&gt;G94,0,G94-G96)</f>
        <v>0</v>
      </c>
      <c r="J98" s="353">
        <f t="shared" ref="J98" si="8">IF(J96&gt;J94,0,J94-J96)</f>
        <v>0</v>
      </c>
      <c r="M98" s="353">
        <f t="shared" ref="M98" si="9">IF(M96&gt;M94,0,M94-M96)</f>
        <v>29530068.631852631</v>
      </c>
    </row>
    <row r="99" spans="1:15" x14ac:dyDescent="0.25">
      <c r="A99" s="351"/>
      <c r="B99" s="348"/>
      <c r="C99" s="352"/>
      <c r="D99" s="354"/>
      <c r="G99" s="354"/>
      <c r="J99" s="357"/>
      <c r="K99" s="291"/>
      <c r="L99" s="358"/>
      <c r="M99" s="357"/>
      <c r="N99" s="291"/>
      <c r="O99" s="291"/>
    </row>
    <row r="100" spans="1:15" x14ac:dyDescent="0.25">
      <c r="A100" s="6"/>
      <c r="B100" s="6"/>
      <c r="C100" s="352"/>
      <c r="D100" s="505" t="str">
        <f>D92</f>
        <v>Year 9</v>
      </c>
      <c r="E100" s="505"/>
      <c r="F100" s="505"/>
      <c r="G100" s="506" t="str">
        <f>G92</f>
        <v>Year 10</v>
      </c>
      <c r="H100" s="506"/>
      <c r="I100" s="506"/>
      <c r="J100" s="505" t="str">
        <f>J92</f>
        <v>Year 11</v>
      </c>
      <c r="K100" s="505"/>
      <c r="L100" s="505"/>
      <c r="M100" s="506" t="str">
        <f>M92</f>
        <v>Year 12</v>
      </c>
      <c r="N100" s="506"/>
      <c r="O100" s="506"/>
    </row>
    <row r="101" spans="1:15" x14ac:dyDescent="0.25">
      <c r="A101" s="6"/>
      <c r="B101" s="6"/>
      <c r="C101" s="352"/>
      <c r="D101" s="505">
        <f>D93</f>
        <v>2020</v>
      </c>
      <c r="E101" s="505"/>
      <c r="F101" s="505"/>
      <c r="G101" s="506">
        <f>G93</f>
        <v>2021</v>
      </c>
      <c r="H101" s="506"/>
      <c r="I101" s="506"/>
      <c r="J101" s="505">
        <f>J93</f>
        <v>2022</v>
      </c>
      <c r="K101" s="505"/>
      <c r="L101" s="505"/>
      <c r="M101" s="506">
        <f>M93</f>
        <v>2023</v>
      </c>
      <c r="N101" s="506"/>
      <c r="O101" s="506"/>
    </row>
    <row r="102" spans="1:15" x14ac:dyDescent="0.25">
      <c r="A102" s="6" t="s">
        <v>765</v>
      </c>
      <c r="B102" s="362" t="s">
        <v>766</v>
      </c>
      <c r="C102" s="352"/>
      <c r="D102" s="363" t="s">
        <v>770</v>
      </c>
      <c r="E102" s="362" t="s">
        <v>771</v>
      </c>
      <c r="F102" s="362" t="s">
        <v>772</v>
      </c>
      <c r="G102" s="363" t="s">
        <v>770</v>
      </c>
      <c r="H102" s="362" t="s">
        <v>771</v>
      </c>
      <c r="I102" s="362" t="s">
        <v>772</v>
      </c>
      <c r="J102" s="369" t="s">
        <v>770</v>
      </c>
      <c r="K102" s="368" t="s">
        <v>771</v>
      </c>
      <c r="L102" s="368" t="s">
        <v>772</v>
      </c>
      <c r="M102" s="369" t="s">
        <v>770</v>
      </c>
      <c r="N102" s="368" t="s">
        <v>771</v>
      </c>
      <c r="O102" s="368" t="s">
        <v>772</v>
      </c>
    </row>
    <row r="103" spans="1:15" x14ac:dyDescent="0.25">
      <c r="A103" s="344" t="s">
        <v>901</v>
      </c>
      <c r="B103" s="345" t="s">
        <v>900</v>
      </c>
      <c r="C103" s="349"/>
      <c r="D103" s="198"/>
      <c r="E103" s="198"/>
      <c r="F103" s="198"/>
      <c r="G103" s="198"/>
      <c r="H103" s="198"/>
      <c r="I103" s="198"/>
      <c r="J103" s="198"/>
      <c r="K103" s="198"/>
      <c r="L103" s="198"/>
      <c r="M103" s="198">
        <v>7000000</v>
      </c>
      <c r="N103" s="423">
        <v>116666.66666666667</v>
      </c>
      <c r="O103" s="198">
        <v>560000</v>
      </c>
    </row>
    <row r="104" spans="1:15" x14ac:dyDescent="0.25">
      <c r="A104" s="344" t="s">
        <v>902</v>
      </c>
      <c r="B104" s="345" t="s">
        <v>900</v>
      </c>
      <c r="C104" s="349"/>
      <c r="D104" s="198"/>
      <c r="E104" s="198"/>
      <c r="F104" s="198"/>
      <c r="G104" s="198"/>
      <c r="H104" s="198"/>
      <c r="I104" s="198"/>
      <c r="J104" s="198"/>
      <c r="K104" s="198"/>
      <c r="L104" s="198"/>
      <c r="M104" s="198">
        <v>8000000</v>
      </c>
      <c r="N104" s="423">
        <v>133333.33333333334</v>
      </c>
      <c r="O104" s="198">
        <v>640000</v>
      </c>
    </row>
    <row r="105" spans="1:15" x14ac:dyDescent="0.25">
      <c r="A105" s="344" t="s">
        <v>903</v>
      </c>
      <c r="B105" s="345" t="s">
        <v>900</v>
      </c>
      <c r="C105" s="349"/>
      <c r="D105" s="198"/>
      <c r="E105" s="198"/>
      <c r="F105" s="198"/>
      <c r="G105" s="198"/>
      <c r="H105" s="198"/>
      <c r="I105" s="198"/>
      <c r="J105" s="198"/>
      <c r="K105" s="198"/>
      <c r="L105" s="198"/>
      <c r="M105" s="198">
        <v>850000</v>
      </c>
      <c r="N105" s="423">
        <v>42500</v>
      </c>
      <c r="O105" s="198">
        <v>68000</v>
      </c>
    </row>
    <row r="106" spans="1:15" x14ac:dyDescent="0.25">
      <c r="A106" s="344" t="s">
        <v>904</v>
      </c>
      <c r="B106" s="345" t="s">
        <v>900</v>
      </c>
      <c r="C106" s="349"/>
      <c r="D106" s="198"/>
      <c r="E106" s="198"/>
      <c r="F106" s="198"/>
      <c r="G106" s="198"/>
      <c r="H106" s="198"/>
      <c r="I106" s="198"/>
      <c r="J106" s="198"/>
      <c r="K106" s="198"/>
      <c r="L106" s="198"/>
      <c r="M106" s="198">
        <v>550000</v>
      </c>
      <c r="N106" s="198">
        <v>13750</v>
      </c>
      <c r="O106" s="198">
        <v>44000</v>
      </c>
    </row>
    <row r="107" spans="1:15" x14ac:dyDescent="0.25">
      <c r="A107" s="344" t="s">
        <v>905</v>
      </c>
      <c r="B107" s="345" t="s">
        <v>900</v>
      </c>
      <c r="C107" s="349"/>
      <c r="D107" s="198"/>
      <c r="E107" s="198"/>
      <c r="F107" s="198"/>
      <c r="G107" s="198"/>
      <c r="H107" s="198"/>
      <c r="I107" s="198"/>
      <c r="J107" s="198"/>
      <c r="K107" s="198"/>
      <c r="L107" s="198"/>
      <c r="M107" s="198">
        <v>5257000</v>
      </c>
      <c r="N107" s="423">
        <v>87616.666666666672</v>
      </c>
      <c r="O107" s="198">
        <v>420560</v>
      </c>
    </row>
    <row r="108" spans="1:15" x14ac:dyDescent="0.25">
      <c r="A108" s="344" t="s">
        <v>906</v>
      </c>
      <c r="B108" s="345" t="s">
        <v>900</v>
      </c>
      <c r="C108" s="349"/>
      <c r="D108" s="198"/>
      <c r="E108" s="198"/>
      <c r="F108" s="198"/>
      <c r="G108" s="198"/>
      <c r="H108" s="198"/>
      <c r="I108" s="198"/>
      <c r="J108" s="198"/>
      <c r="K108" s="198"/>
      <c r="L108" s="198"/>
      <c r="M108" s="198">
        <v>5000000</v>
      </c>
      <c r="N108" s="198">
        <v>125000</v>
      </c>
      <c r="O108" s="198">
        <v>400000</v>
      </c>
    </row>
    <row r="109" spans="1:15" x14ac:dyDescent="0.25">
      <c r="A109" s="344"/>
      <c r="B109" s="345"/>
      <c r="C109" s="349"/>
      <c r="D109" s="198"/>
      <c r="E109" s="198"/>
      <c r="F109" s="198"/>
      <c r="G109" s="198"/>
      <c r="H109" s="198"/>
      <c r="I109" s="198"/>
      <c r="J109" s="198"/>
      <c r="K109" s="198"/>
      <c r="L109" s="198"/>
      <c r="M109" s="198"/>
      <c r="N109" s="198"/>
      <c r="O109" s="198"/>
    </row>
    <row r="110" spans="1:15" x14ac:dyDescent="0.25">
      <c r="A110" s="344"/>
      <c r="B110" s="345"/>
      <c r="C110" s="349"/>
      <c r="D110" s="198"/>
      <c r="E110" s="198"/>
      <c r="F110" s="198"/>
      <c r="G110" s="198"/>
      <c r="H110" s="198"/>
      <c r="I110" s="198"/>
      <c r="J110" s="198"/>
      <c r="K110" s="198"/>
      <c r="L110" s="198"/>
      <c r="M110" s="198"/>
      <c r="N110" s="198"/>
      <c r="O110" s="198"/>
    </row>
    <row r="111" spans="1:15" x14ac:dyDescent="0.25">
      <c r="A111" s="344"/>
      <c r="B111" s="345"/>
      <c r="C111" s="349"/>
      <c r="D111" s="198"/>
      <c r="E111" s="198"/>
      <c r="F111" s="198"/>
      <c r="G111" s="198"/>
      <c r="H111" s="198"/>
      <c r="I111" s="198"/>
      <c r="J111" s="198"/>
      <c r="K111" s="198"/>
      <c r="L111" s="198"/>
      <c r="M111" s="198"/>
      <c r="N111" s="198"/>
      <c r="O111" s="198"/>
    </row>
    <row r="112" spans="1:15" x14ac:dyDescent="0.25">
      <c r="A112" s="344"/>
      <c r="B112" s="345"/>
      <c r="C112" s="349"/>
      <c r="D112" s="198"/>
      <c r="E112" s="198"/>
      <c r="F112" s="198"/>
      <c r="G112" s="198"/>
      <c r="H112" s="198"/>
      <c r="I112" s="198"/>
      <c r="J112" s="198"/>
      <c r="K112" s="198"/>
      <c r="L112" s="198"/>
      <c r="M112" s="198"/>
      <c r="N112" s="198"/>
      <c r="O112" s="198"/>
    </row>
    <row r="113" spans="1:15" x14ac:dyDescent="0.25">
      <c r="A113" s="344"/>
      <c r="B113" s="345"/>
      <c r="C113" s="349"/>
      <c r="D113" s="198"/>
      <c r="E113" s="198"/>
      <c r="F113" s="198"/>
      <c r="G113" s="198"/>
      <c r="H113" s="198"/>
      <c r="I113" s="198"/>
      <c r="J113" s="198"/>
      <c r="K113" s="198"/>
      <c r="L113" s="198"/>
      <c r="M113" s="198"/>
      <c r="N113" s="198"/>
      <c r="O113" s="198"/>
    </row>
    <row r="114" spans="1:15" x14ac:dyDescent="0.25">
      <c r="A114" s="344"/>
      <c r="B114" s="345"/>
      <c r="C114" s="349"/>
      <c r="D114" s="198"/>
      <c r="E114" s="198"/>
      <c r="F114" s="198"/>
      <c r="G114" s="198"/>
      <c r="H114" s="198"/>
      <c r="I114" s="198"/>
      <c r="J114" s="198"/>
      <c r="K114" s="198"/>
      <c r="L114" s="198"/>
      <c r="M114" s="198"/>
      <c r="N114" s="198"/>
      <c r="O114" s="198"/>
    </row>
    <row r="115" spans="1:15" x14ac:dyDescent="0.25">
      <c r="A115" s="344"/>
      <c r="B115" s="345"/>
      <c r="C115" s="349"/>
      <c r="D115" s="198"/>
      <c r="E115" s="198"/>
      <c r="F115" s="198"/>
      <c r="G115" s="198"/>
      <c r="H115" s="198"/>
      <c r="I115" s="198"/>
      <c r="J115" s="198"/>
      <c r="K115" s="198"/>
      <c r="L115" s="198"/>
      <c r="M115" s="198"/>
      <c r="N115" s="198"/>
      <c r="O115" s="198"/>
    </row>
    <row r="116" spans="1:15" x14ac:dyDescent="0.25">
      <c r="A116" s="344"/>
      <c r="B116" s="345"/>
      <c r="C116" s="349"/>
      <c r="D116" s="198"/>
      <c r="E116" s="198"/>
      <c r="F116" s="198"/>
      <c r="G116" s="198"/>
      <c r="H116" s="198"/>
      <c r="I116" s="198"/>
      <c r="J116" s="198"/>
      <c r="K116" s="198"/>
      <c r="L116" s="198"/>
      <c r="M116" s="198"/>
      <c r="N116" s="198"/>
      <c r="O116" s="198"/>
    </row>
    <row r="117" spans="1:15" x14ac:dyDescent="0.25">
      <c r="A117" s="344"/>
      <c r="B117" s="345"/>
      <c r="C117" s="349"/>
      <c r="D117" s="198"/>
      <c r="E117" s="198"/>
      <c r="F117" s="198"/>
      <c r="G117" s="198"/>
      <c r="H117" s="198"/>
      <c r="I117" s="198"/>
      <c r="J117" s="198"/>
      <c r="K117" s="198"/>
      <c r="L117" s="198"/>
      <c r="M117" s="198"/>
      <c r="N117" s="198"/>
      <c r="O117" s="198"/>
    </row>
    <row r="118" spans="1:15" x14ac:dyDescent="0.25">
      <c r="A118" s="344"/>
      <c r="B118" s="345"/>
      <c r="C118" s="349"/>
      <c r="D118" s="198"/>
      <c r="E118" s="198"/>
      <c r="F118" s="198"/>
      <c r="G118" s="198"/>
      <c r="H118" s="198"/>
      <c r="I118" s="198"/>
      <c r="J118" s="198"/>
      <c r="K118" s="198"/>
      <c r="L118" s="198"/>
      <c r="M118" s="198"/>
      <c r="N118" s="198"/>
      <c r="O118" s="198"/>
    </row>
    <row r="119" spans="1:15" x14ac:dyDescent="0.25">
      <c r="A119" s="344"/>
      <c r="B119" s="345"/>
      <c r="C119" s="349"/>
      <c r="D119" s="198"/>
      <c r="E119" s="198"/>
      <c r="F119" s="198"/>
      <c r="G119" s="198"/>
      <c r="H119" s="198"/>
      <c r="I119" s="198"/>
      <c r="J119" s="198"/>
      <c r="K119" s="198"/>
      <c r="L119" s="198"/>
      <c r="M119" s="198"/>
      <c r="N119" s="198"/>
      <c r="O119" s="198"/>
    </row>
    <row r="120" spans="1:15" x14ac:dyDescent="0.25">
      <c r="A120" s="344"/>
      <c r="B120" s="345"/>
      <c r="C120" s="349"/>
      <c r="D120" s="198"/>
      <c r="E120" s="198"/>
      <c r="F120" s="198"/>
      <c r="G120" s="198"/>
      <c r="H120" s="198"/>
      <c r="I120" s="198"/>
      <c r="J120" s="198"/>
      <c r="K120" s="198"/>
      <c r="L120" s="198"/>
      <c r="M120" s="198"/>
      <c r="N120" s="198"/>
      <c r="O120" s="198"/>
    </row>
    <row r="121" spans="1:15" x14ac:dyDescent="0.25">
      <c r="A121" s="344"/>
      <c r="B121" s="345"/>
      <c r="C121" s="349"/>
      <c r="D121" s="198"/>
      <c r="E121" s="198"/>
      <c r="F121" s="198"/>
      <c r="G121" s="198"/>
      <c r="H121" s="198"/>
      <c r="I121" s="198"/>
      <c r="J121" s="198"/>
      <c r="K121" s="198"/>
      <c r="L121" s="198"/>
      <c r="M121" s="198"/>
      <c r="N121" s="198"/>
      <c r="O121" s="198"/>
    </row>
    <row r="122" spans="1:15" x14ac:dyDescent="0.25">
      <c r="A122" s="344"/>
      <c r="B122" s="345"/>
      <c r="C122" s="349"/>
      <c r="D122" s="198"/>
      <c r="E122" s="198"/>
      <c r="F122" s="198"/>
      <c r="G122" s="198"/>
      <c r="H122" s="198"/>
      <c r="I122" s="198"/>
      <c r="J122" s="198"/>
      <c r="K122" s="198"/>
      <c r="L122" s="198"/>
      <c r="M122" s="198"/>
      <c r="N122" s="198"/>
      <c r="O122" s="198"/>
    </row>
    <row r="124" spans="1:15" x14ac:dyDescent="0.25">
      <c r="A124" s="348" t="s">
        <v>768</v>
      </c>
      <c r="B124" s="348"/>
      <c r="D124" s="350">
        <f t="shared" ref="D124:I124" si="10">SUM(D103:D122)</f>
        <v>0</v>
      </c>
      <c r="E124" s="350">
        <f t="shared" si="10"/>
        <v>0</v>
      </c>
      <c r="F124" s="350">
        <f t="shared" si="10"/>
        <v>0</v>
      </c>
      <c r="G124" s="350">
        <f t="shared" si="10"/>
        <v>0</v>
      </c>
      <c r="H124" s="350">
        <f t="shared" si="10"/>
        <v>0</v>
      </c>
      <c r="I124" s="350">
        <f t="shared" si="10"/>
        <v>0</v>
      </c>
      <c r="J124" s="350">
        <f t="shared" ref="J124:O124" si="11">SUM(J103:J122)</f>
        <v>0</v>
      </c>
      <c r="K124" s="350">
        <f t="shared" si="11"/>
        <v>0</v>
      </c>
      <c r="L124" s="350">
        <f t="shared" si="11"/>
        <v>0</v>
      </c>
      <c r="M124" s="350">
        <f t="shared" si="11"/>
        <v>26657000</v>
      </c>
      <c r="N124" s="350">
        <f t="shared" si="11"/>
        <v>518866.66666666669</v>
      </c>
      <c r="O124" s="350">
        <f t="shared" si="11"/>
        <v>2132560</v>
      </c>
    </row>
    <row r="126" spans="1:15" x14ac:dyDescent="0.25">
      <c r="A126" s="348" t="s">
        <v>769</v>
      </c>
      <c r="B126" s="348"/>
      <c r="D126" s="350">
        <f>MIN(D124,D98)</f>
        <v>0</v>
      </c>
      <c r="E126" s="356"/>
      <c r="F126" s="356"/>
      <c r="G126" s="350">
        <f>MIN(G124,G98)</f>
        <v>0</v>
      </c>
      <c r="H126" s="356"/>
      <c r="I126" s="356"/>
      <c r="J126" s="350">
        <f>MIN(J124,J98)</f>
        <v>0</v>
      </c>
      <c r="K126" s="356"/>
      <c r="L126" s="356"/>
      <c r="M126" s="350">
        <f>MIN(M124,M98)</f>
        <v>26657000</v>
      </c>
      <c r="N126" s="356"/>
      <c r="O126" s="356"/>
    </row>
    <row r="127" spans="1:15" ht="15.75" thickBot="1" x14ac:dyDescent="0.3"/>
    <row r="128" spans="1:15" ht="15.75" thickBot="1" x14ac:dyDescent="0.3">
      <c r="A128" s="456" t="s">
        <v>873</v>
      </c>
      <c r="B128" s="456"/>
      <c r="D128" s="502" t="str">
        <f>D89</f>
        <v>Price Cap IR (Deferred Rebasing) (if necessary)</v>
      </c>
      <c r="E128" s="503"/>
      <c r="F128" s="503"/>
      <c r="G128" s="502" t="str">
        <f>G89</f>
        <v>Price Cap IR (Deferred Rebasing) (if necessary)</v>
      </c>
      <c r="H128" s="503"/>
      <c r="I128" s="504"/>
      <c r="J128" s="502" t="str">
        <f>J89</f>
        <v>Price Cap IR (Deferred Rebasing) (if necessary)</v>
      </c>
      <c r="K128" s="503"/>
      <c r="L128" s="503"/>
      <c r="M128" s="502" t="str">
        <f>M89</f>
        <v>Price Cap IR (Deferred Rebasing) (if necessary)</v>
      </c>
      <c r="N128" s="503"/>
      <c r="O128" s="504"/>
    </row>
    <row r="129" spans="1:15" x14ac:dyDescent="0.25">
      <c r="A129" s="456"/>
      <c r="B129" s="456"/>
    </row>
    <row r="130" spans="1:15" x14ac:dyDescent="0.25">
      <c r="A130" s="456"/>
      <c r="B130" s="456"/>
      <c r="D130" s="509" t="s">
        <v>750</v>
      </c>
      <c r="E130" s="509"/>
      <c r="F130" s="509"/>
      <c r="G130" s="509" t="s">
        <v>750</v>
      </c>
      <c r="H130" s="509"/>
      <c r="I130" s="509"/>
      <c r="J130" s="509" t="s">
        <v>750</v>
      </c>
      <c r="K130" s="509"/>
      <c r="L130" s="509"/>
      <c r="M130" s="509" t="s">
        <v>750</v>
      </c>
      <c r="N130" s="509"/>
      <c r="O130" s="509"/>
    </row>
    <row r="131" spans="1:15" x14ac:dyDescent="0.25">
      <c r="A131" s="456"/>
      <c r="B131" s="456"/>
      <c r="D131" s="505" t="s">
        <v>893</v>
      </c>
      <c r="E131" s="505"/>
      <c r="F131" s="505"/>
      <c r="G131" s="506" t="s">
        <v>894</v>
      </c>
      <c r="H131" s="506"/>
      <c r="I131" s="506"/>
      <c r="J131" s="505" t="s">
        <v>895</v>
      </c>
      <c r="K131" s="505"/>
      <c r="L131" s="505"/>
      <c r="M131" s="506" t="s">
        <v>896</v>
      </c>
      <c r="N131" s="506"/>
      <c r="O131" s="506"/>
    </row>
    <row r="132" spans="1:15" x14ac:dyDescent="0.25">
      <c r="D132" s="505">
        <f>M93+1</f>
        <v>2024</v>
      </c>
      <c r="E132" s="505"/>
      <c r="F132" s="505"/>
      <c r="G132" s="506">
        <f>D132+1</f>
        <v>2025</v>
      </c>
      <c r="H132" s="506"/>
      <c r="I132" s="506"/>
      <c r="J132" s="505">
        <f>G132+1</f>
        <v>2026</v>
      </c>
      <c r="K132" s="505"/>
      <c r="L132" s="505"/>
      <c r="M132" s="506">
        <f>J132+1</f>
        <v>2027</v>
      </c>
      <c r="N132" s="506"/>
      <c r="O132" s="506"/>
    </row>
    <row r="133" spans="1:15" x14ac:dyDescent="0.25">
      <c r="A133" s="348" t="s">
        <v>762</v>
      </c>
      <c r="B133" s="499"/>
      <c r="D133" s="198"/>
      <c r="G133" s="198"/>
      <c r="J133" s="198"/>
      <c r="M133" s="198"/>
    </row>
    <row r="134" spans="1:15" x14ac:dyDescent="0.25">
      <c r="A134" s="348"/>
      <c r="B134" s="499"/>
    </row>
    <row r="135" spans="1:15" x14ac:dyDescent="0.25">
      <c r="A135" s="348" t="s">
        <v>763</v>
      </c>
      <c r="B135" s="499"/>
      <c r="D135" s="350">
        <f>IF('8. Threshold Test'!$E$87="", 0, '8. Threshold Test'!$E$87)</f>
        <v>10385509.795214834</v>
      </c>
      <c r="G135" s="350">
        <f>IF('8. Threshold Test'!$E$88="", 0, '8. Threshold Test'!$E$88)</f>
        <v>10596874.870941767</v>
      </c>
      <c r="J135" s="350">
        <f>IF('8. Threshold Test'!$E$89="", 0, '8. Threshold Test'!$E$89)</f>
        <v>10816991.549675029</v>
      </c>
      <c r="M135" s="350">
        <f>IF('8. Threshold Test'!$E$90="", 0, '8. Threshold Test'!$E$90)</f>
        <v>11046222.192863954</v>
      </c>
    </row>
    <row r="136" spans="1:15" x14ac:dyDescent="0.25">
      <c r="A136" s="6"/>
      <c r="B136" s="499"/>
    </row>
    <row r="137" spans="1:15" ht="30" x14ac:dyDescent="0.25">
      <c r="A137" s="351" t="s">
        <v>764</v>
      </c>
      <c r="B137" s="348"/>
      <c r="C137" s="352"/>
      <c r="D137" s="353">
        <f t="shared" ref="D137" si="12">IF(D135&gt;D133,0,D133-D135)</f>
        <v>0</v>
      </c>
      <c r="G137" s="353">
        <f t="shared" ref="G137" si="13">IF(G135&gt;G133,0,G133-G135)</f>
        <v>0</v>
      </c>
      <c r="J137" s="353">
        <f t="shared" ref="J137" si="14">IF(J135&gt;J133,0,J133-J135)</f>
        <v>0</v>
      </c>
      <c r="M137" s="353">
        <f t="shared" ref="M137" si="15">IF(M135&gt;M133,0,M133-M135)</f>
        <v>0</v>
      </c>
    </row>
    <row r="138" spans="1:15" x14ac:dyDescent="0.25">
      <c r="A138" s="351"/>
      <c r="B138" s="348"/>
      <c r="C138" s="352"/>
      <c r="D138" s="354"/>
      <c r="G138" s="354"/>
      <c r="J138" s="357"/>
      <c r="K138" s="291"/>
      <c r="L138" s="358"/>
      <c r="M138" s="357"/>
      <c r="N138" s="291"/>
      <c r="O138" s="291"/>
    </row>
    <row r="139" spans="1:15" x14ac:dyDescent="0.25">
      <c r="A139" s="6"/>
      <c r="B139" s="6"/>
      <c r="C139" s="352"/>
      <c r="D139" s="505" t="str">
        <f>D131</f>
        <v>Year 13</v>
      </c>
      <c r="E139" s="505"/>
      <c r="F139" s="505"/>
      <c r="G139" s="506" t="str">
        <f>G131</f>
        <v>Year 14</v>
      </c>
      <c r="H139" s="506"/>
      <c r="I139" s="506"/>
      <c r="J139" s="505" t="str">
        <f>J131</f>
        <v>Year 15</v>
      </c>
      <c r="K139" s="505"/>
      <c r="L139" s="505"/>
      <c r="M139" s="506" t="str">
        <f>M131</f>
        <v>Year 16</v>
      </c>
      <c r="N139" s="506"/>
      <c r="O139" s="506"/>
    </row>
    <row r="140" spans="1:15" x14ac:dyDescent="0.25">
      <c r="A140" s="6"/>
      <c r="B140" s="6"/>
      <c r="C140" s="352"/>
      <c r="D140" s="505">
        <f>D132</f>
        <v>2024</v>
      </c>
      <c r="E140" s="505"/>
      <c r="F140" s="505"/>
      <c r="G140" s="506">
        <f>G132</f>
        <v>2025</v>
      </c>
      <c r="H140" s="506"/>
      <c r="I140" s="506"/>
      <c r="J140" s="505">
        <f>J132</f>
        <v>2026</v>
      </c>
      <c r="K140" s="505"/>
      <c r="L140" s="505"/>
      <c r="M140" s="506">
        <f>M132</f>
        <v>2027</v>
      </c>
      <c r="N140" s="506"/>
      <c r="O140" s="506"/>
    </row>
    <row r="141" spans="1:15" x14ac:dyDescent="0.25">
      <c r="A141" s="6" t="s">
        <v>765</v>
      </c>
      <c r="B141" s="368" t="s">
        <v>766</v>
      </c>
      <c r="C141" s="352"/>
      <c r="D141" s="369" t="s">
        <v>770</v>
      </c>
      <c r="E141" s="368" t="s">
        <v>771</v>
      </c>
      <c r="F141" s="368" t="s">
        <v>772</v>
      </c>
      <c r="G141" s="369" t="s">
        <v>770</v>
      </c>
      <c r="H141" s="368" t="s">
        <v>771</v>
      </c>
      <c r="I141" s="368" t="s">
        <v>772</v>
      </c>
      <c r="J141" s="369" t="s">
        <v>770</v>
      </c>
      <c r="K141" s="368" t="s">
        <v>771</v>
      </c>
      <c r="L141" s="368" t="s">
        <v>772</v>
      </c>
      <c r="M141" s="369" t="s">
        <v>770</v>
      </c>
      <c r="N141" s="368" t="s">
        <v>771</v>
      </c>
      <c r="O141" s="368" t="s">
        <v>772</v>
      </c>
    </row>
    <row r="142" spans="1:15" x14ac:dyDescent="0.25">
      <c r="A142" s="344"/>
      <c r="B142" s="345"/>
      <c r="C142" s="349"/>
      <c r="D142" s="198"/>
      <c r="E142" s="198"/>
      <c r="F142" s="198"/>
      <c r="G142" s="198"/>
      <c r="H142" s="198"/>
      <c r="I142" s="198"/>
      <c r="J142" s="198"/>
      <c r="K142" s="198"/>
      <c r="L142" s="198"/>
      <c r="M142" s="198"/>
      <c r="N142" s="198"/>
      <c r="O142" s="198"/>
    </row>
    <row r="143" spans="1:15" x14ac:dyDescent="0.25">
      <c r="A143" s="344"/>
      <c r="B143" s="345"/>
      <c r="C143" s="349"/>
      <c r="D143" s="198"/>
      <c r="E143" s="198"/>
      <c r="F143" s="198"/>
      <c r="G143" s="198"/>
      <c r="H143" s="198"/>
      <c r="I143" s="198"/>
      <c r="J143" s="198"/>
      <c r="K143" s="198"/>
      <c r="L143" s="198"/>
      <c r="M143" s="198"/>
      <c r="N143" s="198"/>
      <c r="O143" s="198"/>
    </row>
    <row r="144" spans="1:15" x14ac:dyDescent="0.25">
      <c r="A144" s="344"/>
      <c r="B144" s="345"/>
      <c r="C144" s="349"/>
      <c r="D144" s="198"/>
      <c r="E144" s="198"/>
      <c r="F144" s="198"/>
      <c r="G144" s="198"/>
      <c r="H144" s="198"/>
      <c r="I144" s="198"/>
      <c r="J144" s="198"/>
      <c r="K144" s="198"/>
      <c r="L144" s="198"/>
      <c r="M144" s="198"/>
      <c r="N144" s="198"/>
      <c r="O144" s="198"/>
    </row>
    <row r="145" spans="1:15" x14ac:dyDescent="0.25">
      <c r="A145" s="344"/>
      <c r="B145" s="345"/>
      <c r="C145" s="349"/>
      <c r="D145" s="198"/>
      <c r="E145" s="198"/>
      <c r="F145" s="198"/>
      <c r="G145" s="198"/>
      <c r="H145" s="198"/>
      <c r="I145" s="198"/>
      <c r="J145" s="198"/>
      <c r="K145" s="198"/>
      <c r="L145" s="198"/>
      <c r="M145" s="198"/>
      <c r="N145" s="198"/>
      <c r="O145" s="198"/>
    </row>
    <row r="146" spans="1:15" x14ac:dyDescent="0.25">
      <c r="A146" s="344"/>
      <c r="B146" s="345"/>
      <c r="C146" s="349"/>
      <c r="D146" s="198"/>
      <c r="E146" s="198"/>
      <c r="F146" s="198"/>
      <c r="G146" s="198"/>
      <c r="H146" s="198"/>
      <c r="I146" s="198"/>
      <c r="J146" s="198"/>
      <c r="K146" s="198"/>
      <c r="L146" s="198"/>
      <c r="M146" s="198"/>
      <c r="N146" s="198"/>
      <c r="O146" s="198"/>
    </row>
    <row r="147" spans="1:15" x14ac:dyDescent="0.25">
      <c r="A147" s="344"/>
      <c r="B147" s="345"/>
      <c r="C147" s="349"/>
      <c r="D147" s="198"/>
      <c r="E147" s="198"/>
      <c r="F147" s="198"/>
      <c r="G147" s="198"/>
      <c r="H147" s="198"/>
      <c r="I147" s="198"/>
      <c r="J147" s="198"/>
      <c r="K147" s="198"/>
      <c r="L147" s="198"/>
      <c r="M147" s="198"/>
      <c r="N147" s="198"/>
      <c r="O147" s="198"/>
    </row>
    <row r="148" spans="1:15" x14ac:dyDescent="0.25">
      <c r="A148" s="344"/>
      <c r="B148" s="345"/>
      <c r="C148" s="349"/>
      <c r="D148" s="198"/>
      <c r="E148" s="198"/>
      <c r="F148" s="198"/>
      <c r="G148" s="198"/>
      <c r="H148" s="198"/>
      <c r="I148" s="198"/>
      <c r="J148" s="198"/>
      <c r="K148" s="198"/>
      <c r="L148" s="198"/>
      <c r="M148" s="198"/>
      <c r="N148" s="198"/>
      <c r="O148" s="198"/>
    </row>
    <row r="149" spans="1:15" x14ac:dyDescent="0.25">
      <c r="A149" s="344"/>
      <c r="B149" s="345"/>
      <c r="C149" s="349"/>
      <c r="D149" s="198"/>
      <c r="E149" s="198"/>
      <c r="F149" s="198"/>
      <c r="G149" s="198"/>
      <c r="H149" s="198"/>
      <c r="I149" s="198"/>
      <c r="J149" s="198"/>
      <c r="K149" s="198"/>
      <c r="L149" s="198"/>
      <c r="M149" s="198"/>
      <c r="N149" s="198"/>
      <c r="O149" s="198"/>
    </row>
    <row r="150" spans="1:15" x14ac:dyDescent="0.25">
      <c r="A150" s="344"/>
      <c r="B150" s="345"/>
      <c r="C150" s="349"/>
      <c r="D150" s="198"/>
      <c r="E150" s="198"/>
      <c r="F150" s="198"/>
      <c r="G150" s="198"/>
      <c r="H150" s="198"/>
      <c r="I150" s="198"/>
      <c r="J150" s="198"/>
      <c r="K150" s="198"/>
      <c r="L150" s="198"/>
      <c r="M150" s="198"/>
      <c r="N150" s="198"/>
      <c r="O150" s="198"/>
    </row>
    <row r="151" spans="1:15" x14ac:dyDescent="0.25">
      <c r="A151" s="344"/>
      <c r="B151" s="345"/>
      <c r="C151" s="349"/>
      <c r="D151" s="198"/>
      <c r="E151" s="198"/>
      <c r="F151" s="198"/>
      <c r="G151" s="198"/>
      <c r="H151" s="198"/>
      <c r="I151" s="198"/>
      <c r="J151" s="198"/>
      <c r="K151" s="198"/>
      <c r="L151" s="198"/>
      <c r="M151" s="198"/>
      <c r="N151" s="198"/>
      <c r="O151" s="198"/>
    </row>
    <row r="152" spans="1:15" x14ac:dyDescent="0.25">
      <c r="A152" s="344"/>
      <c r="B152" s="345"/>
      <c r="C152" s="349"/>
      <c r="D152" s="198"/>
      <c r="E152" s="198"/>
      <c r="F152" s="198"/>
      <c r="G152" s="198"/>
      <c r="H152" s="198"/>
      <c r="I152" s="198"/>
      <c r="J152" s="198"/>
      <c r="K152" s="198"/>
      <c r="L152" s="198"/>
      <c r="M152" s="198"/>
      <c r="N152" s="198"/>
      <c r="O152" s="198"/>
    </row>
    <row r="153" spans="1:15" x14ac:dyDescent="0.25">
      <c r="A153" s="344"/>
      <c r="B153" s="345"/>
      <c r="C153" s="349"/>
      <c r="D153" s="198"/>
      <c r="E153" s="198"/>
      <c r="F153" s="198"/>
      <c r="G153" s="198"/>
      <c r="H153" s="198"/>
      <c r="I153" s="198"/>
      <c r="J153" s="198"/>
      <c r="K153" s="198"/>
      <c r="L153" s="198"/>
      <c r="M153" s="198"/>
      <c r="N153" s="198"/>
      <c r="O153" s="198"/>
    </row>
    <row r="154" spans="1:15" x14ac:dyDescent="0.25">
      <c r="A154" s="344"/>
      <c r="B154" s="345"/>
      <c r="C154" s="349"/>
      <c r="D154" s="198"/>
      <c r="E154" s="198"/>
      <c r="F154" s="198"/>
      <c r="G154" s="198"/>
      <c r="H154" s="198"/>
      <c r="I154" s="198"/>
      <c r="J154" s="198"/>
      <c r="K154" s="198"/>
      <c r="L154" s="198"/>
      <c r="M154" s="198"/>
      <c r="N154" s="198"/>
      <c r="O154" s="198"/>
    </row>
    <row r="155" spans="1:15" x14ac:dyDescent="0.25">
      <c r="A155" s="344"/>
      <c r="B155" s="345"/>
      <c r="C155" s="349"/>
      <c r="D155" s="198"/>
      <c r="E155" s="198"/>
      <c r="F155" s="198"/>
      <c r="G155" s="198"/>
      <c r="H155" s="198"/>
      <c r="I155" s="198"/>
      <c r="J155" s="198"/>
      <c r="K155" s="198"/>
      <c r="L155" s="198"/>
      <c r="M155" s="198"/>
      <c r="N155" s="198"/>
      <c r="O155" s="198"/>
    </row>
    <row r="156" spans="1:15" x14ac:dyDescent="0.25">
      <c r="A156" s="344"/>
      <c r="B156" s="345"/>
      <c r="C156" s="349"/>
      <c r="D156" s="198"/>
      <c r="E156" s="198"/>
      <c r="F156" s="198"/>
      <c r="G156" s="198"/>
      <c r="H156" s="198"/>
      <c r="I156" s="198"/>
      <c r="J156" s="198"/>
      <c r="K156" s="198"/>
      <c r="L156" s="198"/>
      <c r="M156" s="198"/>
      <c r="N156" s="198"/>
      <c r="O156" s="198"/>
    </row>
    <row r="157" spans="1:15" x14ac:dyDescent="0.25">
      <c r="A157" s="344"/>
      <c r="B157" s="345"/>
      <c r="C157" s="349"/>
      <c r="D157" s="198"/>
      <c r="E157" s="198"/>
      <c r="F157" s="198"/>
      <c r="G157" s="198"/>
      <c r="H157" s="198"/>
      <c r="I157" s="198"/>
      <c r="J157" s="198"/>
      <c r="K157" s="198"/>
      <c r="L157" s="198"/>
      <c r="M157" s="198"/>
      <c r="N157" s="198"/>
      <c r="O157" s="198"/>
    </row>
    <row r="158" spans="1:15" x14ac:dyDescent="0.25">
      <c r="A158" s="344"/>
      <c r="B158" s="345"/>
      <c r="C158" s="349"/>
      <c r="D158" s="198"/>
      <c r="E158" s="198"/>
      <c r="F158" s="198"/>
      <c r="G158" s="198"/>
      <c r="H158" s="198"/>
      <c r="I158" s="198"/>
      <c r="J158" s="198"/>
      <c r="K158" s="198"/>
      <c r="L158" s="198"/>
      <c r="M158" s="198"/>
      <c r="N158" s="198"/>
      <c r="O158" s="198"/>
    </row>
    <row r="159" spans="1:15" x14ac:dyDescent="0.25">
      <c r="A159" s="344"/>
      <c r="B159" s="345"/>
      <c r="C159" s="349"/>
      <c r="D159" s="198"/>
      <c r="E159" s="198"/>
      <c r="F159" s="198"/>
      <c r="G159" s="198"/>
      <c r="H159" s="198"/>
      <c r="I159" s="198"/>
      <c r="J159" s="198"/>
      <c r="K159" s="198"/>
      <c r="L159" s="198"/>
      <c r="M159" s="198"/>
      <c r="N159" s="198"/>
      <c r="O159" s="198"/>
    </row>
    <row r="160" spans="1:15" x14ac:dyDescent="0.25">
      <c r="A160" s="344"/>
      <c r="B160" s="345"/>
      <c r="C160" s="349"/>
      <c r="D160" s="198"/>
      <c r="E160" s="198"/>
      <c r="F160" s="198"/>
      <c r="G160" s="198"/>
      <c r="H160" s="198"/>
      <c r="I160" s="198"/>
      <c r="J160" s="198"/>
      <c r="K160" s="198"/>
      <c r="L160" s="198"/>
      <c r="M160" s="198"/>
      <c r="N160" s="198"/>
      <c r="O160" s="198"/>
    </row>
    <row r="161" spans="1:15" x14ac:dyDescent="0.25">
      <c r="A161" s="344"/>
      <c r="B161" s="345"/>
      <c r="C161" s="349"/>
      <c r="D161" s="198"/>
      <c r="E161" s="198"/>
      <c r="F161" s="198"/>
      <c r="G161" s="198"/>
      <c r="H161" s="198"/>
      <c r="I161" s="198"/>
      <c r="J161" s="198"/>
      <c r="K161" s="198"/>
      <c r="L161" s="198"/>
      <c r="M161" s="198"/>
      <c r="N161" s="198"/>
      <c r="O161" s="198"/>
    </row>
    <row r="163" spans="1:15" x14ac:dyDescent="0.25">
      <c r="A163" s="348" t="s">
        <v>768</v>
      </c>
      <c r="B163" s="348"/>
      <c r="D163" s="350">
        <f t="shared" ref="D163:O163" si="16">SUM(D142:D161)</f>
        <v>0</v>
      </c>
      <c r="E163" s="350">
        <f t="shared" si="16"/>
        <v>0</v>
      </c>
      <c r="F163" s="350">
        <f t="shared" si="16"/>
        <v>0</v>
      </c>
      <c r="G163" s="350">
        <f t="shared" si="16"/>
        <v>0</v>
      </c>
      <c r="H163" s="350">
        <f t="shared" si="16"/>
        <v>0</v>
      </c>
      <c r="I163" s="350">
        <f t="shared" si="16"/>
        <v>0</v>
      </c>
      <c r="J163" s="350">
        <f t="shared" si="16"/>
        <v>0</v>
      </c>
      <c r="K163" s="350">
        <f t="shared" si="16"/>
        <v>0</v>
      </c>
      <c r="L163" s="350">
        <f t="shared" si="16"/>
        <v>0</v>
      </c>
      <c r="M163" s="350">
        <f t="shared" si="16"/>
        <v>0</v>
      </c>
      <c r="N163" s="350">
        <f t="shared" si="16"/>
        <v>0</v>
      </c>
      <c r="O163" s="350">
        <f t="shared" si="16"/>
        <v>0</v>
      </c>
    </row>
    <row r="165" spans="1:15" x14ac:dyDescent="0.25">
      <c r="A165" s="348" t="s">
        <v>769</v>
      </c>
      <c r="B165" s="348"/>
      <c r="D165" s="350">
        <f>MIN(D163,D137)</f>
        <v>0</v>
      </c>
      <c r="E165" s="356"/>
      <c r="F165" s="356"/>
      <c r="G165" s="350">
        <f>MIN(G163,G137)</f>
        <v>0</v>
      </c>
      <c r="H165" s="356"/>
      <c r="I165" s="356"/>
      <c r="J165" s="350">
        <f>MIN(J163,J137)</f>
        <v>0</v>
      </c>
      <c r="K165" s="356"/>
      <c r="L165" s="356"/>
      <c r="M165" s="350">
        <f>MIN(M163,M137)</f>
        <v>0</v>
      </c>
      <c r="N165" s="356"/>
      <c r="O165" s="356"/>
    </row>
    <row r="167" spans="1:15" x14ac:dyDescent="0.25">
      <c r="D167" s="509" t="s">
        <v>750</v>
      </c>
      <c r="E167" s="509"/>
      <c r="F167" s="509"/>
      <c r="G167" s="509" t="s">
        <v>750</v>
      </c>
      <c r="H167" s="509"/>
      <c r="I167" s="509"/>
      <c r="J167" s="509" t="s">
        <v>750</v>
      </c>
      <c r="K167" s="509"/>
      <c r="L167" s="509"/>
      <c r="M167" s="510"/>
      <c r="N167" s="510"/>
      <c r="O167" s="510"/>
    </row>
    <row r="168" spans="1:15" x14ac:dyDescent="0.25">
      <c r="D168" s="505" t="s">
        <v>897</v>
      </c>
      <c r="E168" s="505"/>
      <c r="F168" s="505"/>
      <c r="G168" s="506" t="s">
        <v>898</v>
      </c>
      <c r="H168" s="506"/>
      <c r="I168" s="506"/>
      <c r="J168" s="505" t="s">
        <v>899</v>
      </c>
      <c r="K168" s="505"/>
      <c r="L168" s="505"/>
      <c r="M168" s="511"/>
      <c r="N168" s="511"/>
      <c r="O168" s="511"/>
    </row>
    <row r="169" spans="1:15" x14ac:dyDescent="0.25">
      <c r="D169" s="505">
        <f>M132+1</f>
        <v>2028</v>
      </c>
      <c r="E169" s="505"/>
      <c r="F169" s="505"/>
      <c r="G169" s="506">
        <f>D169+1</f>
        <v>2029</v>
      </c>
      <c r="H169" s="506"/>
      <c r="I169" s="506"/>
      <c r="J169" s="505">
        <f>G169+1</f>
        <v>2030</v>
      </c>
      <c r="K169" s="505"/>
      <c r="L169" s="505"/>
      <c r="M169" s="511"/>
      <c r="N169" s="511"/>
      <c r="O169" s="511"/>
    </row>
    <row r="170" spans="1:15" x14ac:dyDescent="0.25">
      <c r="A170" s="348" t="s">
        <v>762</v>
      </c>
      <c r="B170" s="499"/>
      <c r="D170" s="198"/>
      <c r="G170" s="198"/>
      <c r="J170" s="198"/>
      <c r="M170" s="419"/>
      <c r="N170" s="291"/>
      <c r="O170" s="291"/>
    </row>
    <row r="171" spans="1:15" x14ac:dyDescent="0.25">
      <c r="A171" s="348"/>
      <c r="B171" s="499"/>
      <c r="M171" s="291"/>
      <c r="N171" s="291"/>
      <c r="O171" s="291"/>
    </row>
    <row r="172" spans="1:15" x14ac:dyDescent="0.25">
      <c r="A172" s="348" t="s">
        <v>763</v>
      </c>
      <c r="B172" s="499"/>
      <c r="D172" s="350">
        <f>IF('8. Threshold Test'!$E$91="", 0, '8. Threshold Test'!$E$91)</f>
        <v>11284944.165588636</v>
      </c>
      <c r="G172" s="350">
        <f>IF('8. Threshold Test'!$E$92="", 0, '8. Threshold Test'!$E$92)</f>
        <v>11533550.457787512</v>
      </c>
      <c r="J172" s="350">
        <f>IF('8. Threshold Test'!$E$93="", 0, '8. Threshold Test'!$E$93)</f>
        <v>11792450.331207016</v>
      </c>
      <c r="M172" s="359"/>
      <c r="N172" s="291"/>
      <c r="O172" s="291"/>
    </row>
    <row r="173" spans="1:15" x14ac:dyDescent="0.25">
      <c r="A173" s="6"/>
      <c r="B173" s="499"/>
      <c r="M173" s="291"/>
      <c r="N173" s="291"/>
      <c r="O173" s="291"/>
    </row>
    <row r="174" spans="1:15" ht="30" x14ac:dyDescent="0.25">
      <c r="A174" s="351" t="s">
        <v>764</v>
      </c>
      <c r="B174" s="348"/>
      <c r="C174" s="352"/>
      <c r="D174" s="353">
        <f t="shared" ref="D174" si="17">IF(D172&gt;D170,0,D170-D172)</f>
        <v>0</v>
      </c>
      <c r="G174" s="353">
        <f t="shared" ref="G174" si="18">IF(G172&gt;G170,0,G170-G172)</f>
        <v>0</v>
      </c>
      <c r="J174" s="353">
        <f t="shared" ref="J174" si="19">IF(J172&gt;J170,0,J170-J172)</f>
        <v>0</v>
      </c>
      <c r="M174" s="420"/>
      <c r="N174" s="291"/>
      <c r="O174" s="291"/>
    </row>
    <row r="175" spans="1:15" x14ac:dyDescent="0.25">
      <c r="A175" s="351"/>
      <c r="B175" s="348"/>
      <c r="C175" s="352"/>
      <c r="D175" s="354"/>
      <c r="G175" s="354"/>
      <c r="J175" s="357"/>
      <c r="K175" s="291"/>
      <c r="L175" s="358"/>
      <c r="M175" s="357"/>
      <c r="N175" s="291"/>
      <c r="O175" s="291"/>
    </row>
    <row r="176" spans="1:15" x14ac:dyDescent="0.25">
      <c r="A176" s="6"/>
      <c r="B176" s="6"/>
      <c r="C176" s="352"/>
      <c r="D176" s="505" t="str">
        <f>D168</f>
        <v>Year 17</v>
      </c>
      <c r="E176" s="505"/>
      <c r="F176" s="505"/>
      <c r="G176" s="506" t="str">
        <f>G168</f>
        <v>Year 18</v>
      </c>
      <c r="H176" s="506"/>
      <c r="I176" s="506"/>
      <c r="J176" s="505" t="str">
        <f>J168</f>
        <v>Year 19</v>
      </c>
      <c r="K176" s="505"/>
      <c r="L176" s="505"/>
      <c r="M176" s="511"/>
      <c r="N176" s="511"/>
      <c r="O176" s="511"/>
    </row>
    <row r="177" spans="1:15" x14ac:dyDescent="0.25">
      <c r="A177" s="6"/>
      <c r="B177" s="6"/>
      <c r="C177" s="352"/>
      <c r="D177" s="505">
        <f>D169</f>
        <v>2028</v>
      </c>
      <c r="E177" s="505"/>
      <c r="F177" s="505"/>
      <c r="G177" s="506">
        <f>G169</f>
        <v>2029</v>
      </c>
      <c r="H177" s="506"/>
      <c r="I177" s="506"/>
      <c r="J177" s="505">
        <f>J169</f>
        <v>2030</v>
      </c>
      <c r="K177" s="505"/>
      <c r="L177" s="505"/>
      <c r="M177" s="511"/>
      <c r="N177" s="511"/>
      <c r="O177" s="511"/>
    </row>
    <row r="178" spans="1:15" x14ac:dyDescent="0.25">
      <c r="A178" s="6" t="s">
        <v>765</v>
      </c>
      <c r="B178" s="368" t="s">
        <v>766</v>
      </c>
      <c r="C178" s="352"/>
      <c r="D178" s="369" t="s">
        <v>770</v>
      </c>
      <c r="E178" s="368" t="s">
        <v>771</v>
      </c>
      <c r="F178" s="368" t="s">
        <v>772</v>
      </c>
      <c r="G178" s="369" t="s">
        <v>770</v>
      </c>
      <c r="H178" s="368" t="s">
        <v>771</v>
      </c>
      <c r="I178" s="368" t="s">
        <v>772</v>
      </c>
      <c r="J178" s="369" t="s">
        <v>770</v>
      </c>
      <c r="K178" s="368" t="s">
        <v>771</v>
      </c>
      <c r="L178" s="368" t="s">
        <v>772</v>
      </c>
      <c r="M178" s="367"/>
      <c r="N178" s="366"/>
      <c r="O178" s="366"/>
    </row>
    <row r="179" spans="1:15" x14ac:dyDescent="0.25">
      <c r="A179" s="344"/>
      <c r="B179" s="345"/>
      <c r="C179" s="349"/>
      <c r="D179" s="198"/>
      <c r="E179" s="198"/>
      <c r="F179" s="198"/>
      <c r="G179" s="198"/>
      <c r="H179" s="198"/>
      <c r="I179" s="198"/>
      <c r="J179" s="198"/>
      <c r="K179" s="198"/>
      <c r="L179" s="198"/>
      <c r="M179" s="419"/>
      <c r="N179" s="419"/>
      <c r="O179" s="419"/>
    </row>
    <row r="180" spans="1:15" x14ac:dyDescent="0.25">
      <c r="A180" s="344"/>
      <c r="B180" s="345"/>
      <c r="C180" s="349"/>
      <c r="D180" s="198"/>
      <c r="E180" s="198"/>
      <c r="F180" s="198"/>
      <c r="G180" s="198"/>
      <c r="H180" s="198"/>
      <c r="I180" s="198"/>
      <c r="J180" s="198"/>
      <c r="K180" s="198"/>
      <c r="L180" s="198"/>
      <c r="M180" s="419"/>
      <c r="N180" s="419"/>
      <c r="O180" s="419"/>
    </row>
    <row r="181" spans="1:15" x14ac:dyDescent="0.25">
      <c r="A181" s="344"/>
      <c r="B181" s="345"/>
      <c r="C181" s="349"/>
      <c r="D181" s="198"/>
      <c r="E181" s="198"/>
      <c r="F181" s="198"/>
      <c r="G181" s="198"/>
      <c r="H181" s="198"/>
      <c r="I181" s="198"/>
      <c r="J181" s="198"/>
      <c r="K181" s="198"/>
      <c r="L181" s="198"/>
      <c r="M181" s="419"/>
      <c r="N181" s="419"/>
      <c r="O181" s="419"/>
    </row>
    <row r="182" spans="1:15" x14ac:dyDescent="0.25">
      <c r="A182" s="344"/>
      <c r="B182" s="345"/>
      <c r="C182" s="349"/>
      <c r="D182" s="198"/>
      <c r="E182" s="198"/>
      <c r="F182" s="198"/>
      <c r="G182" s="198"/>
      <c r="H182" s="198"/>
      <c r="I182" s="198"/>
      <c r="J182" s="198"/>
      <c r="K182" s="198"/>
      <c r="L182" s="198"/>
      <c r="M182" s="419"/>
      <c r="N182" s="419"/>
      <c r="O182" s="419"/>
    </row>
    <row r="183" spans="1:15" x14ac:dyDescent="0.25">
      <c r="A183" s="344"/>
      <c r="B183" s="345"/>
      <c r="C183" s="349"/>
      <c r="D183" s="198"/>
      <c r="E183" s="198"/>
      <c r="F183" s="198"/>
      <c r="G183" s="198"/>
      <c r="H183" s="198"/>
      <c r="I183" s="198"/>
      <c r="J183" s="198"/>
      <c r="K183" s="198"/>
      <c r="L183" s="198"/>
      <c r="M183" s="419"/>
      <c r="N183" s="419"/>
      <c r="O183" s="419"/>
    </row>
    <row r="184" spans="1:15" x14ac:dyDescent="0.25">
      <c r="A184" s="344"/>
      <c r="B184" s="345"/>
      <c r="C184" s="349"/>
      <c r="D184" s="198"/>
      <c r="E184" s="198"/>
      <c r="F184" s="198"/>
      <c r="G184" s="198"/>
      <c r="H184" s="198"/>
      <c r="I184" s="198"/>
      <c r="J184" s="198"/>
      <c r="K184" s="198"/>
      <c r="L184" s="198"/>
      <c r="M184" s="419"/>
      <c r="N184" s="419"/>
      <c r="O184" s="419"/>
    </row>
    <row r="185" spans="1:15" x14ac:dyDescent="0.25">
      <c r="A185" s="344"/>
      <c r="B185" s="345"/>
      <c r="C185" s="349"/>
      <c r="D185" s="198"/>
      <c r="E185" s="198"/>
      <c r="F185" s="198"/>
      <c r="G185" s="198"/>
      <c r="H185" s="198"/>
      <c r="I185" s="198"/>
      <c r="J185" s="198"/>
      <c r="K185" s="198"/>
      <c r="L185" s="198"/>
      <c r="M185" s="419"/>
      <c r="N185" s="419"/>
      <c r="O185" s="419"/>
    </row>
    <row r="186" spans="1:15" x14ac:dyDescent="0.25">
      <c r="A186" s="344"/>
      <c r="B186" s="345"/>
      <c r="C186" s="349"/>
      <c r="D186" s="198"/>
      <c r="E186" s="198"/>
      <c r="F186" s="198"/>
      <c r="G186" s="198"/>
      <c r="H186" s="198"/>
      <c r="I186" s="198"/>
      <c r="J186" s="198"/>
      <c r="K186" s="198"/>
      <c r="L186" s="198"/>
      <c r="M186" s="419"/>
      <c r="N186" s="419"/>
      <c r="O186" s="419"/>
    </row>
    <row r="187" spans="1:15" x14ac:dyDescent="0.25">
      <c r="A187" s="344"/>
      <c r="B187" s="345"/>
      <c r="C187" s="349"/>
      <c r="D187" s="198"/>
      <c r="E187" s="198"/>
      <c r="F187" s="198"/>
      <c r="G187" s="198"/>
      <c r="H187" s="198"/>
      <c r="I187" s="198"/>
      <c r="J187" s="198"/>
      <c r="K187" s="198"/>
      <c r="L187" s="198"/>
      <c r="M187" s="419"/>
      <c r="N187" s="419"/>
      <c r="O187" s="419"/>
    </row>
    <row r="188" spans="1:15" x14ac:dyDescent="0.25">
      <c r="A188" s="344"/>
      <c r="B188" s="345"/>
      <c r="C188" s="349"/>
      <c r="D188" s="198"/>
      <c r="E188" s="198"/>
      <c r="F188" s="198"/>
      <c r="G188" s="198"/>
      <c r="H188" s="198"/>
      <c r="I188" s="198"/>
      <c r="J188" s="198"/>
      <c r="K188" s="198"/>
      <c r="L188" s="198"/>
      <c r="M188" s="419"/>
      <c r="N188" s="419"/>
      <c r="O188" s="419"/>
    </row>
    <row r="189" spans="1:15" x14ac:dyDescent="0.25">
      <c r="A189" s="344"/>
      <c r="B189" s="345"/>
      <c r="C189" s="349"/>
      <c r="D189" s="198"/>
      <c r="E189" s="198"/>
      <c r="F189" s="198"/>
      <c r="G189" s="198"/>
      <c r="H189" s="198"/>
      <c r="I189" s="198"/>
      <c r="J189" s="198"/>
      <c r="K189" s="198"/>
      <c r="L189" s="198"/>
      <c r="M189" s="419"/>
      <c r="N189" s="419"/>
      <c r="O189" s="419"/>
    </row>
    <row r="190" spans="1:15" x14ac:dyDescent="0.25">
      <c r="A190" s="344"/>
      <c r="B190" s="345"/>
      <c r="C190" s="349"/>
      <c r="D190" s="198"/>
      <c r="E190" s="198"/>
      <c r="F190" s="198"/>
      <c r="G190" s="198"/>
      <c r="H190" s="198"/>
      <c r="I190" s="198"/>
      <c r="J190" s="198"/>
      <c r="K190" s="198"/>
      <c r="L190" s="198"/>
      <c r="M190" s="419"/>
      <c r="N190" s="419"/>
      <c r="O190" s="419"/>
    </row>
    <row r="191" spans="1:15" x14ac:dyDescent="0.25">
      <c r="A191" s="344"/>
      <c r="B191" s="345"/>
      <c r="C191" s="349"/>
      <c r="D191" s="198"/>
      <c r="E191" s="198"/>
      <c r="F191" s="198"/>
      <c r="G191" s="198"/>
      <c r="H191" s="198"/>
      <c r="I191" s="198"/>
      <c r="J191" s="198"/>
      <c r="K191" s="198"/>
      <c r="L191" s="198"/>
      <c r="M191" s="419"/>
      <c r="N191" s="419"/>
      <c r="O191" s="419"/>
    </row>
    <row r="192" spans="1:15" x14ac:dyDescent="0.25">
      <c r="A192" s="344"/>
      <c r="B192" s="345"/>
      <c r="C192" s="349"/>
      <c r="D192" s="198"/>
      <c r="E192" s="198"/>
      <c r="F192" s="198"/>
      <c r="G192" s="198"/>
      <c r="H192" s="198"/>
      <c r="I192" s="198"/>
      <c r="J192" s="198"/>
      <c r="K192" s="198"/>
      <c r="L192" s="198"/>
      <c r="M192" s="419"/>
      <c r="N192" s="419"/>
      <c r="O192" s="419"/>
    </row>
    <row r="193" spans="1:15" x14ac:dyDescent="0.25">
      <c r="A193" s="344"/>
      <c r="B193" s="345"/>
      <c r="C193" s="349"/>
      <c r="D193" s="198"/>
      <c r="E193" s="198"/>
      <c r="F193" s="198"/>
      <c r="G193" s="198"/>
      <c r="H193" s="198"/>
      <c r="I193" s="198"/>
      <c r="J193" s="198"/>
      <c r="K193" s="198"/>
      <c r="L193" s="198"/>
      <c r="M193" s="419"/>
      <c r="N193" s="419"/>
      <c r="O193" s="419"/>
    </row>
    <row r="194" spans="1:15" x14ac:dyDescent="0.25">
      <c r="A194" s="344"/>
      <c r="B194" s="345"/>
      <c r="C194" s="349"/>
      <c r="D194" s="198"/>
      <c r="E194" s="198"/>
      <c r="F194" s="198"/>
      <c r="G194" s="198"/>
      <c r="H194" s="198"/>
      <c r="I194" s="198"/>
      <c r="J194" s="198"/>
      <c r="K194" s="198"/>
      <c r="L194" s="198"/>
      <c r="M194" s="419"/>
      <c r="N194" s="419"/>
      <c r="O194" s="419"/>
    </row>
    <row r="195" spans="1:15" x14ac:dyDescent="0.25">
      <c r="A195" s="344"/>
      <c r="B195" s="345"/>
      <c r="C195" s="349"/>
      <c r="D195" s="198"/>
      <c r="E195" s="198"/>
      <c r="F195" s="198"/>
      <c r="G195" s="198"/>
      <c r="H195" s="198"/>
      <c r="I195" s="198"/>
      <c r="J195" s="198"/>
      <c r="K195" s="198"/>
      <c r="L195" s="198"/>
      <c r="M195" s="419"/>
      <c r="N195" s="419"/>
      <c r="O195" s="419"/>
    </row>
    <row r="196" spans="1:15" x14ac:dyDescent="0.25">
      <c r="A196" s="344"/>
      <c r="B196" s="345"/>
      <c r="C196" s="349"/>
      <c r="D196" s="198"/>
      <c r="E196" s="198"/>
      <c r="F196" s="198"/>
      <c r="G196" s="198"/>
      <c r="H196" s="198"/>
      <c r="I196" s="198"/>
      <c r="J196" s="198"/>
      <c r="K196" s="198"/>
      <c r="L196" s="198"/>
      <c r="M196" s="419"/>
      <c r="N196" s="419"/>
      <c r="O196" s="419"/>
    </row>
    <row r="197" spans="1:15" x14ac:dyDescent="0.25">
      <c r="A197" s="344"/>
      <c r="B197" s="345"/>
      <c r="C197" s="349"/>
      <c r="D197" s="198"/>
      <c r="E197" s="198"/>
      <c r="F197" s="198"/>
      <c r="G197" s="198"/>
      <c r="H197" s="198"/>
      <c r="I197" s="198"/>
      <c r="J197" s="198"/>
      <c r="K197" s="198"/>
      <c r="L197" s="198"/>
      <c r="M197" s="419"/>
      <c r="N197" s="419"/>
      <c r="O197" s="419"/>
    </row>
    <row r="198" spans="1:15" x14ac:dyDescent="0.25">
      <c r="A198" s="344"/>
      <c r="B198" s="345"/>
      <c r="C198" s="349"/>
      <c r="D198" s="198"/>
      <c r="E198" s="198"/>
      <c r="F198" s="198"/>
      <c r="G198" s="198"/>
      <c r="H198" s="198"/>
      <c r="I198" s="198"/>
      <c r="J198" s="198"/>
      <c r="K198" s="198"/>
      <c r="L198" s="198"/>
      <c r="M198" s="419"/>
      <c r="N198" s="419"/>
      <c r="O198" s="419"/>
    </row>
    <row r="199" spans="1:15" x14ac:dyDescent="0.25">
      <c r="M199" s="291"/>
      <c r="N199" s="291"/>
      <c r="O199" s="291"/>
    </row>
    <row r="200" spans="1:15" x14ac:dyDescent="0.25">
      <c r="A200" s="348" t="s">
        <v>768</v>
      </c>
      <c r="B200" s="348"/>
      <c r="D200" s="350">
        <f t="shared" ref="D200:L200" si="20">SUM(D179:D198)</f>
        <v>0</v>
      </c>
      <c r="E200" s="350">
        <f t="shared" si="20"/>
        <v>0</v>
      </c>
      <c r="F200" s="350">
        <f t="shared" si="20"/>
        <v>0</v>
      </c>
      <c r="G200" s="350">
        <f t="shared" si="20"/>
        <v>0</v>
      </c>
      <c r="H200" s="350">
        <f t="shared" si="20"/>
        <v>0</v>
      </c>
      <c r="I200" s="350">
        <f t="shared" si="20"/>
        <v>0</v>
      </c>
      <c r="J200" s="350">
        <f t="shared" si="20"/>
        <v>0</v>
      </c>
      <c r="K200" s="350">
        <f t="shared" si="20"/>
        <v>0</v>
      </c>
      <c r="L200" s="350">
        <f t="shared" si="20"/>
        <v>0</v>
      </c>
      <c r="M200" s="359"/>
      <c r="N200" s="359"/>
      <c r="O200" s="359"/>
    </row>
    <row r="201" spans="1:15" x14ac:dyDescent="0.25">
      <c r="M201" s="291"/>
      <c r="N201" s="291"/>
      <c r="O201" s="291"/>
    </row>
    <row r="202" spans="1:15" x14ac:dyDescent="0.25">
      <c r="A202" s="348" t="s">
        <v>769</v>
      </c>
      <c r="B202" s="348"/>
      <c r="D202" s="350">
        <f>MIN(D200,D174)</f>
        <v>0</v>
      </c>
      <c r="E202" s="356"/>
      <c r="F202" s="356"/>
      <c r="G202" s="350">
        <f>MIN(G200,G174)</f>
        <v>0</v>
      </c>
      <c r="H202" s="356"/>
      <c r="I202" s="356"/>
      <c r="J202" s="350">
        <f>MIN(J200,J174)</f>
        <v>0</v>
      </c>
      <c r="K202" s="356"/>
      <c r="L202" s="356"/>
      <c r="M202" s="359"/>
      <c r="N202" s="359"/>
      <c r="O202" s="359"/>
    </row>
    <row r="205" spans="1:15" x14ac:dyDescent="0.25">
      <c r="A205" s="456" t="s">
        <v>873</v>
      </c>
      <c r="B205" s="456"/>
    </row>
    <row r="206" spans="1:15" x14ac:dyDescent="0.25">
      <c r="A206" s="456"/>
      <c r="B206" s="456"/>
    </row>
    <row r="207" spans="1:15" x14ac:dyDescent="0.25">
      <c r="A207" s="456"/>
      <c r="B207" s="456"/>
    </row>
    <row r="208" spans="1:15" x14ac:dyDescent="0.25">
      <c r="A208" s="456"/>
      <c r="B208" s="456"/>
    </row>
  </sheetData>
  <sheetProtection algorithmName="SHA-512" hashValue="+eoPCq5T5DRF2vV2A/TqT4GWKOnHjVpuL0hjkpXqbfs56wdK0nTdkEcRT5klfqXdsyTV5zBsExHDs8lDEeJUBw==" saltValue="qVlitbLyzTS5ZMn/204Tqg==" spinCount="100000" sheet="1" objects="1" scenarios="1"/>
  <mergeCells count="121">
    <mergeCell ref="D176:F176"/>
    <mergeCell ref="G176:I176"/>
    <mergeCell ref="J176:L176"/>
    <mergeCell ref="M176:O176"/>
    <mergeCell ref="D177:F177"/>
    <mergeCell ref="G177:I177"/>
    <mergeCell ref="J177:L177"/>
    <mergeCell ref="M177:O177"/>
    <mergeCell ref="D169:F169"/>
    <mergeCell ref="G169:I169"/>
    <mergeCell ref="J169:L169"/>
    <mergeCell ref="M169:O169"/>
    <mergeCell ref="B170:B173"/>
    <mergeCell ref="D167:F167"/>
    <mergeCell ref="G167:I167"/>
    <mergeCell ref="J167:L167"/>
    <mergeCell ref="M167:O167"/>
    <mergeCell ref="D168:F168"/>
    <mergeCell ref="G168:I168"/>
    <mergeCell ref="J168:L168"/>
    <mergeCell ref="M168:O168"/>
    <mergeCell ref="D139:F139"/>
    <mergeCell ref="G139:I139"/>
    <mergeCell ref="J139:L139"/>
    <mergeCell ref="M139:O139"/>
    <mergeCell ref="D140:F140"/>
    <mergeCell ref="G140:I140"/>
    <mergeCell ref="J140:L140"/>
    <mergeCell ref="M140:O140"/>
    <mergeCell ref="D132:F132"/>
    <mergeCell ref="G132:I132"/>
    <mergeCell ref="J132:L132"/>
    <mergeCell ref="M132:O132"/>
    <mergeCell ref="B133:B136"/>
    <mergeCell ref="A128:B131"/>
    <mergeCell ref="D128:F128"/>
    <mergeCell ref="G128:I128"/>
    <mergeCell ref="J128:L128"/>
    <mergeCell ref="M128:O128"/>
    <mergeCell ref="D130:F130"/>
    <mergeCell ref="G130:I130"/>
    <mergeCell ref="J130:L130"/>
    <mergeCell ref="M130:O130"/>
    <mergeCell ref="D131:F131"/>
    <mergeCell ref="G131:I131"/>
    <mergeCell ref="J131:L131"/>
    <mergeCell ref="M131:O131"/>
    <mergeCell ref="J91:L91"/>
    <mergeCell ref="M91:O91"/>
    <mergeCell ref="D53:F53"/>
    <mergeCell ref="G53:I53"/>
    <mergeCell ref="J53:L53"/>
    <mergeCell ref="M53:O53"/>
    <mergeCell ref="D54:F54"/>
    <mergeCell ref="D89:F89"/>
    <mergeCell ref="G89:I89"/>
    <mergeCell ref="G91:I91"/>
    <mergeCell ref="D91:F91"/>
    <mergeCell ref="G54:I54"/>
    <mergeCell ref="J54:L54"/>
    <mergeCell ref="M54:O54"/>
    <mergeCell ref="D52:F52"/>
    <mergeCell ref="G52:I52"/>
    <mergeCell ref="D13:F13"/>
    <mergeCell ref="G13:I13"/>
    <mergeCell ref="J13:L13"/>
    <mergeCell ref="M13:O13"/>
    <mergeCell ref="D50:F50"/>
    <mergeCell ref="G50:I50"/>
    <mergeCell ref="J50:L50"/>
    <mergeCell ref="M50:O50"/>
    <mergeCell ref="D14:F14"/>
    <mergeCell ref="G14:I14"/>
    <mergeCell ref="J14:L14"/>
    <mergeCell ref="M14:O14"/>
    <mergeCell ref="D15:F15"/>
    <mergeCell ref="G15:I15"/>
    <mergeCell ref="J15:L15"/>
    <mergeCell ref="M15:O15"/>
    <mergeCell ref="D23:F23"/>
    <mergeCell ref="G23:I23"/>
    <mergeCell ref="J23:L23"/>
    <mergeCell ref="M23:O23"/>
    <mergeCell ref="J52:L52"/>
    <mergeCell ref="M52:O52"/>
    <mergeCell ref="M100:O100"/>
    <mergeCell ref="G101:I101"/>
    <mergeCell ref="J101:L101"/>
    <mergeCell ref="M101:O101"/>
    <mergeCell ref="D92:F92"/>
    <mergeCell ref="G92:I92"/>
    <mergeCell ref="J92:L92"/>
    <mergeCell ref="M92:O92"/>
    <mergeCell ref="D93:F93"/>
    <mergeCell ref="G93:I93"/>
    <mergeCell ref="J93:L93"/>
    <mergeCell ref="M93:O93"/>
    <mergeCell ref="B16:B19"/>
    <mergeCell ref="D22:F22"/>
    <mergeCell ref="G22:I22"/>
    <mergeCell ref="J22:L22"/>
    <mergeCell ref="M22:O22"/>
    <mergeCell ref="A50:B53"/>
    <mergeCell ref="A89:B92"/>
    <mergeCell ref="A205:B208"/>
    <mergeCell ref="J89:L89"/>
    <mergeCell ref="M89:O89"/>
    <mergeCell ref="D62:F62"/>
    <mergeCell ref="G62:I62"/>
    <mergeCell ref="J62:L62"/>
    <mergeCell ref="M62:O62"/>
    <mergeCell ref="B55:B58"/>
    <mergeCell ref="D61:F61"/>
    <mergeCell ref="G61:I61"/>
    <mergeCell ref="J61:L61"/>
    <mergeCell ref="M61:O61"/>
    <mergeCell ref="D101:F101"/>
    <mergeCell ref="B94:B97"/>
    <mergeCell ref="D100:F100"/>
    <mergeCell ref="G100:I100"/>
    <mergeCell ref="J100:L100"/>
  </mergeCells>
  <phoneticPr fontId="66" type="noConversion"/>
  <dataValidations count="1">
    <dataValidation type="list" allowBlank="1" showInputMessage="1" showErrorMessage="1" sqref="B103:B122 B64:B83 B25:B44 B142:B161 B179:B198">
      <formula1>"Approved ACM, New ICM"</formula1>
    </dataValidation>
  </dataValidations>
  <pageMargins left="0.70866141732283472" right="0.70866141732283472" top="0.74803149606299213" bottom="0.74803149606299213" header="0.31496062992125984" footer="0.31496062992125984"/>
  <pageSetup scale="39"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55" id="{D43789FA-D99F-41F8-A06F-7459E53E1A8F}">
            <xm:f>'1. Information Sheet'!$F$28&lt;2</xm:f>
            <x14:dxf>
              <font>
                <color theme="0"/>
              </font>
              <fill>
                <patternFill patternType="none">
                  <bgColor auto="1"/>
                </patternFill>
              </fill>
              <border>
                <left/>
                <right/>
                <top/>
                <bottom/>
                <vertical/>
                <horizontal/>
              </border>
            </x14:dxf>
          </x14:cfRule>
          <xm:sqref>G13:I48</xm:sqref>
        </x14:conditionalFormatting>
        <x14:conditionalFormatting xmlns:xm="http://schemas.microsoft.com/office/excel/2006/main">
          <x14:cfRule type="expression" priority="54" id="{4CF67041-1D19-4EA8-9E28-E40302CA7752}">
            <xm:f>AND('1. Information Sheet'!$F$28&gt;0, '1. Information Sheet'!$F$28&lt;2)</xm:f>
            <x14:dxf>
              <font>
                <color theme="0"/>
              </font>
              <border>
                <left style="thin">
                  <color auto="1"/>
                </left>
                <right/>
                <top/>
                <bottom/>
                <vertical/>
                <horizontal/>
              </border>
            </x14:dxf>
          </x14:cfRule>
          <xm:sqref>G25:G44 G46</xm:sqref>
        </x14:conditionalFormatting>
        <x14:conditionalFormatting xmlns:xm="http://schemas.microsoft.com/office/excel/2006/main">
          <x14:cfRule type="expression" priority="53" id="{A5DB0674-4FA7-421F-816F-3127108A740B}">
            <xm:f>'1. Information Sheet'!$F$28&lt;3</xm:f>
            <x14:dxf>
              <font>
                <color theme="0"/>
              </font>
              <fill>
                <patternFill patternType="none">
                  <bgColor auto="1"/>
                </patternFill>
              </fill>
              <border>
                <left/>
                <right/>
                <top/>
                <bottom/>
                <vertical/>
                <horizontal/>
              </border>
            </x14:dxf>
          </x14:cfRule>
          <xm:sqref>J13:L48</xm:sqref>
        </x14:conditionalFormatting>
        <x14:conditionalFormatting xmlns:xm="http://schemas.microsoft.com/office/excel/2006/main">
          <x14:cfRule type="expression" priority="52" id="{E2C2F390-DF54-4956-9A16-FE6465C4A4A4}">
            <xm:f>AND('1. Information Sheet'!$F$28&gt;1,'1. Information Sheet'!$F$28&lt;3)</xm:f>
            <x14:dxf>
              <font>
                <color theme="0"/>
              </font>
              <border>
                <left style="thin">
                  <color auto="1"/>
                </left>
              </border>
            </x14:dxf>
          </x14:cfRule>
          <xm:sqref>J25:J44 J46</xm:sqref>
        </x14:conditionalFormatting>
        <x14:conditionalFormatting xmlns:xm="http://schemas.microsoft.com/office/excel/2006/main">
          <x14:cfRule type="expression" priority="50" id="{4D761BFB-53F1-4000-9A82-C9743C17B569}">
            <xm:f>AND('1. Information Sheet'!$F$28&gt;2, '1. Information Sheet'!$F$28&lt;4)</xm:f>
            <x14:dxf>
              <font>
                <color theme="0"/>
              </font>
              <border>
                <left style="thin">
                  <color auto="1"/>
                </left>
                <right/>
                <top/>
                <bottom/>
                <vertical/>
                <horizontal/>
              </border>
            </x14:dxf>
          </x14:cfRule>
          <xm:sqref>M25:M44 M46</xm:sqref>
        </x14:conditionalFormatting>
        <x14:conditionalFormatting xmlns:xm="http://schemas.microsoft.com/office/excel/2006/main">
          <x14:cfRule type="expression" priority="51" id="{A348BDBE-1E9F-4FAF-9697-B067F56F68CA}">
            <xm:f>'1. Information Sheet'!$F$28&lt;4</xm:f>
            <x14:dxf>
              <font>
                <color theme="0"/>
              </font>
              <fill>
                <patternFill patternType="none">
                  <bgColor auto="1"/>
                </patternFill>
              </fill>
              <border>
                <left/>
                <right/>
                <top/>
                <bottom/>
                <vertical/>
                <horizontal/>
              </border>
            </x14:dxf>
          </x14:cfRule>
          <xm:sqref>M13:O48</xm:sqref>
        </x14:conditionalFormatting>
        <x14:conditionalFormatting xmlns:xm="http://schemas.microsoft.com/office/excel/2006/main">
          <x14:cfRule type="expression" priority="56" id="{A9EC1FF4-F2CB-4EA4-ACC0-8BD1F3764905}">
            <xm:f>'1. Information Sheet'!$F$28&lt;5</xm:f>
            <x14:dxf>
              <font>
                <color theme="0"/>
              </font>
              <fill>
                <patternFill patternType="none">
                  <bgColor auto="1"/>
                </patternFill>
              </fill>
              <border>
                <left/>
                <right/>
                <top/>
                <bottom/>
                <vertical/>
                <horizontal/>
              </border>
            </x14:dxf>
          </x14:cfRule>
          <xm:sqref>A50 A54:F87 C50:F53</xm:sqref>
        </x14:conditionalFormatting>
        <x14:conditionalFormatting xmlns:xm="http://schemas.microsoft.com/office/excel/2006/main">
          <x14:cfRule type="expression" priority="47" id="{261D04F4-3F80-4811-A383-BEAC401748C9}">
            <xm:f>AND('1. Information Sheet'!$F$28&gt;4, '1. Information Sheet'!$F$28&lt;6)</xm:f>
            <x14:dxf>
              <font>
                <color theme="0"/>
              </font>
              <fill>
                <patternFill patternType="none">
                  <bgColor auto="1"/>
                </patternFill>
              </fill>
              <border>
                <left style="thin">
                  <color auto="1"/>
                </left>
                <right/>
                <top/>
                <bottom/>
                <vertical/>
                <horizontal/>
              </border>
            </x14:dxf>
          </x14:cfRule>
          <xm:sqref>G64:G83 G85 G50</xm:sqref>
        </x14:conditionalFormatting>
        <x14:conditionalFormatting xmlns:xm="http://schemas.microsoft.com/office/excel/2006/main">
          <x14:cfRule type="expression" priority="48" id="{0EAE023B-B033-4DE4-A037-38E476722950}">
            <xm:f>'1. Information Sheet'!$F$28&lt;6</xm:f>
            <x14:dxf>
              <font>
                <color theme="0"/>
              </font>
              <fill>
                <patternFill patternType="none">
                  <bgColor auto="1"/>
                </patternFill>
              </fill>
              <border>
                <left/>
                <right/>
                <top/>
                <bottom/>
                <vertical/>
                <horizontal/>
              </border>
            </x14:dxf>
          </x14:cfRule>
          <xm:sqref>G50:I87</xm:sqref>
        </x14:conditionalFormatting>
        <x14:conditionalFormatting xmlns:xm="http://schemas.microsoft.com/office/excel/2006/main">
          <x14:cfRule type="expression" priority="45" id="{5FE3BC10-6BD5-47F5-9374-BDD6A6915E56}">
            <xm:f>AND('1. Information Sheet'!$F$28&gt;5, '1. Information Sheet'!$F$28&lt;7)</xm:f>
            <x14:dxf>
              <font>
                <color theme="0"/>
              </font>
              <fill>
                <patternFill patternType="none">
                  <bgColor auto="1"/>
                </patternFill>
              </fill>
              <border>
                <left style="thin">
                  <color auto="1"/>
                </left>
                <right/>
                <top/>
                <bottom/>
                <vertical/>
                <horizontal/>
              </border>
            </x14:dxf>
          </x14:cfRule>
          <xm:sqref>J64:J83 J85 J50</xm:sqref>
        </x14:conditionalFormatting>
        <x14:conditionalFormatting xmlns:xm="http://schemas.microsoft.com/office/excel/2006/main">
          <x14:cfRule type="expression" priority="46" id="{BE4A1225-BE0B-4058-8FD7-BF3A71481BB9}">
            <xm:f>'1. Information Sheet'!$F$28&lt;7</xm:f>
            <x14:dxf>
              <font>
                <color theme="0"/>
              </font>
              <fill>
                <patternFill patternType="none">
                  <bgColor auto="1"/>
                </patternFill>
              </fill>
              <border>
                <left/>
                <right/>
                <top/>
                <bottom/>
                <vertical/>
                <horizontal/>
              </border>
            </x14:dxf>
          </x14:cfRule>
          <xm:sqref>J50:L87</xm:sqref>
        </x14:conditionalFormatting>
        <x14:conditionalFormatting xmlns:xm="http://schemas.microsoft.com/office/excel/2006/main">
          <x14:cfRule type="expression" priority="43" id="{652BF4BB-815D-4046-AA0D-0B49F9BC9171}">
            <xm:f>AND('1. Information Sheet'!$F$28&gt;6, '1. Information Sheet'!$F$28&lt;8)</xm:f>
            <x14:dxf>
              <font>
                <color theme="0"/>
              </font>
              <fill>
                <patternFill patternType="none">
                  <bgColor auto="1"/>
                </patternFill>
              </fill>
              <border>
                <left style="thin">
                  <color auto="1"/>
                </left>
                <right/>
                <top/>
                <bottom/>
                <vertical/>
                <horizontal/>
              </border>
            </x14:dxf>
          </x14:cfRule>
          <xm:sqref>M64:M83 M85 M50</xm:sqref>
        </x14:conditionalFormatting>
        <x14:conditionalFormatting xmlns:xm="http://schemas.microsoft.com/office/excel/2006/main">
          <x14:cfRule type="expression" priority="44" id="{85A06D91-B8E8-42AF-A9C5-1B41B668CC40}">
            <xm:f>'1. Information Sheet'!$F$28&lt;8</xm:f>
            <x14:dxf>
              <font>
                <color theme="0"/>
              </font>
              <fill>
                <patternFill patternType="none">
                  <bgColor auto="1"/>
                </patternFill>
              </fill>
              <border>
                <left/>
                <right/>
                <top/>
                <bottom/>
                <vertical/>
                <horizontal/>
              </border>
            </x14:dxf>
          </x14:cfRule>
          <xm:sqref>M50:O87</xm:sqref>
        </x14:conditionalFormatting>
        <x14:conditionalFormatting xmlns:xm="http://schemas.microsoft.com/office/excel/2006/main">
          <x14:cfRule type="expression" priority="42" id="{98FE007D-FCEA-4B2E-8E54-CCCD9B561D6A}">
            <xm:f>'1. Information Sheet'!$F$28&lt;9</xm:f>
            <x14:dxf>
              <font>
                <color theme="0"/>
              </font>
              <fill>
                <patternFill patternType="none">
                  <bgColor auto="1"/>
                </patternFill>
              </fill>
              <border>
                <left/>
                <right/>
                <top/>
                <bottom/>
                <vertical/>
                <horizontal/>
              </border>
            </x14:dxf>
          </x14:cfRule>
          <xm:sqref>C89:F92 A93:F126</xm:sqref>
        </x14:conditionalFormatting>
        <x14:conditionalFormatting xmlns:xm="http://schemas.microsoft.com/office/excel/2006/main">
          <x14:cfRule type="expression" priority="39" id="{1C2B7DA7-FB31-4DEB-950C-BD256123060E}">
            <xm:f>AND('1. Information Sheet'!$F$28&gt;8, '1. Information Sheet'!$F$28&lt;10)</xm:f>
            <x14:dxf>
              <font>
                <color theme="0"/>
              </font>
              <fill>
                <patternFill patternType="none">
                  <bgColor auto="1"/>
                </patternFill>
              </fill>
              <border>
                <left style="thin">
                  <color auto="1"/>
                </left>
                <right/>
                <top/>
                <bottom/>
                <vertical/>
                <horizontal/>
              </border>
            </x14:dxf>
          </x14:cfRule>
          <xm:sqref>G103:G122 G89 G124</xm:sqref>
        </x14:conditionalFormatting>
        <x14:conditionalFormatting xmlns:xm="http://schemas.microsoft.com/office/excel/2006/main">
          <x14:cfRule type="expression" priority="41" id="{585F37FC-BAE6-4726-BED7-5DA213673072}">
            <xm:f>'1. Information Sheet'!$F$28&lt;10</xm:f>
            <x14:dxf>
              <font>
                <color theme="0"/>
              </font>
              <fill>
                <patternFill patternType="none">
                  <bgColor auto="1"/>
                </patternFill>
              </fill>
              <border>
                <left/>
                <right/>
                <top/>
                <bottom/>
                <vertical/>
                <horizontal/>
              </border>
            </x14:dxf>
          </x14:cfRule>
          <xm:sqref>G89:I126</xm:sqref>
        </x14:conditionalFormatting>
        <x14:conditionalFormatting xmlns:xm="http://schemas.microsoft.com/office/excel/2006/main">
          <x14:cfRule type="expression" priority="34" id="{D5F941D3-0686-4D74-B572-C18225254D82}">
            <xm:f>'1. Information Sheet'!$F$28&gt;8</xm:f>
            <x14:dxf>
              <font>
                <color theme="0"/>
              </font>
            </x14:dxf>
          </x14:cfRule>
          <x14:cfRule type="expression" priority="35" id="{CA0EEF7B-8D76-430D-A458-B723C8CA0F51}">
            <xm:f>AND('1. Information Sheet'!$F$28&lt;9, '1. Information Sheet'!$F$28&gt;4)</xm:f>
            <x14:dxf>
              <font>
                <color theme="1"/>
              </font>
            </x14:dxf>
          </x14:cfRule>
          <x14:cfRule type="expression" priority="38" id="{2A025B34-62DC-4313-B6BD-0BA0F128A72E}">
            <xm:f>'1. Information Sheet'!$F$28&lt;5</xm:f>
            <x14:dxf>
              <font>
                <color theme="0"/>
              </font>
              <fill>
                <patternFill patternType="none">
                  <bgColor auto="1"/>
                </patternFill>
              </fill>
              <border>
                <left/>
                <right/>
                <top/>
                <bottom/>
                <vertical/>
                <horizontal/>
              </border>
            </x14:dxf>
          </x14:cfRule>
          <xm:sqref>A89</xm:sqref>
        </x14:conditionalFormatting>
        <x14:conditionalFormatting xmlns:xm="http://schemas.microsoft.com/office/excel/2006/main">
          <x14:cfRule type="expression" priority="32" id="{E06A501B-3E9D-4003-B34F-EE5ACCA47D2A}">
            <xm:f>'1. Information Sheet'!$F$28&lt;9</xm:f>
            <x14:dxf>
              <font>
                <color theme="0"/>
              </font>
            </x14:dxf>
          </x14:cfRule>
          <x14:cfRule type="expression" priority="33" id="{09E9FE2D-3612-4C40-BCAF-9769E5CB7457}">
            <xm:f>'1. Information Sheet'!$F$28&gt;8</xm:f>
            <x14:dxf>
              <font>
                <color theme="1"/>
              </font>
            </x14:dxf>
          </x14:cfRule>
          <x14:cfRule type="expression" priority="37" id="{78F076D4-D4B6-43F2-8DA6-12AA8BFBD170}">
            <xm:f>'1. Information Sheet'!$F$28&lt;5</xm:f>
            <x14:dxf>
              <font>
                <color theme="0"/>
              </font>
              <fill>
                <patternFill patternType="none">
                  <bgColor auto="1"/>
                </patternFill>
              </fill>
              <border>
                <left/>
                <right/>
                <top/>
                <bottom/>
                <vertical/>
                <horizontal/>
              </border>
            </x14:dxf>
          </x14:cfRule>
          <xm:sqref>A205</xm:sqref>
        </x14:conditionalFormatting>
        <x14:conditionalFormatting xmlns:xm="http://schemas.microsoft.com/office/excel/2006/main">
          <x14:cfRule type="expression" priority="36" id="{5B8D277D-B633-4B67-BD49-10C4B74B5D24}">
            <xm:f>'1. Information Sheet'!$F$28&gt;4</xm:f>
            <x14:dxf>
              <font>
                <color theme="0"/>
              </font>
            </x14:dxf>
          </x14:cfRule>
          <x14:cfRule type="expression" priority="49" id="{42C1639C-07A6-497D-B13D-6043DF2F00A0}">
            <xm:f>'1. Information Sheet'!$F$28&lt;5</xm:f>
            <x14:dxf>
              <font>
                <color auto="1"/>
              </font>
            </x14:dxf>
          </x14:cfRule>
          <xm:sqref>A50</xm:sqref>
        </x14:conditionalFormatting>
        <x14:conditionalFormatting xmlns:xm="http://schemas.microsoft.com/office/excel/2006/main">
          <x14:cfRule type="expression" priority="31" id="{8E88947B-F83F-4E41-8D5F-BCFD53DD1FB9}">
            <xm:f>'1. Information Sheet'!$F$28&lt;9</xm:f>
            <x14:dxf>
              <font>
                <color theme="0"/>
              </font>
              <fill>
                <patternFill patternType="none">
                  <bgColor auto="1"/>
                </patternFill>
              </fill>
              <border>
                <left/>
                <right/>
                <top/>
                <bottom/>
                <vertical/>
                <horizontal/>
              </border>
            </x14:dxf>
          </x14:cfRule>
          <xm:sqref>J100:L126</xm:sqref>
        </x14:conditionalFormatting>
        <x14:conditionalFormatting xmlns:xm="http://schemas.microsoft.com/office/excel/2006/main">
          <x14:cfRule type="expression" priority="29" id="{A3E107A6-5CD8-4E51-872F-CC888DB06A95}">
            <xm:f>AND('1. Information Sheet'!$F$28&gt;8, '1. Information Sheet'!$F$28&lt;10)</xm:f>
            <x14:dxf>
              <font>
                <color theme="0"/>
              </font>
              <fill>
                <patternFill patternType="none">
                  <bgColor auto="1"/>
                </patternFill>
              </fill>
              <border>
                <left style="thin">
                  <color auto="1"/>
                </left>
                <right/>
                <top/>
                <bottom/>
                <vertical/>
                <horizontal/>
              </border>
            </x14:dxf>
          </x14:cfRule>
          <xm:sqref>M103:M106 M124 M108:M122</xm:sqref>
        </x14:conditionalFormatting>
        <x14:conditionalFormatting xmlns:xm="http://schemas.microsoft.com/office/excel/2006/main">
          <x14:cfRule type="expression" priority="30" id="{16490FBF-6E86-4433-BA81-B975370A5309}">
            <xm:f>'1. Information Sheet'!$F$28&lt;10</xm:f>
            <x14:dxf>
              <font>
                <color theme="0"/>
              </font>
              <fill>
                <patternFill patternType="none">
                  <bgColor auto="1"/>
                </patternFill>
              </fill>
              <border>
                <left/>
                <right/>
                <top/>
                <bottom/>
                <vertical/>
                <horizontal/>
              </border>
            </x14:dxf>
          </x14:cfRule>
          <xm:sqref>M100:O103 M109:O126 M108:N108 M106:N106 M105:O105 M104:N104</xm:sqref>
        </x14:conditionalFormatting>
        <x14:conditionalFormatting xmlns:xm="http://schemas.microsoft.com/office/excel/2006/main">
          <x14:cfRule type="expression" priority="28" id="{6A8D8644-52FF-475D-BFDD-50B517738B63}">
            <xm:f>'1. Information Sheet'!$F$28&lt;9</xm:f>
            <x14:dxf>
              <font>
                <color theme="0"/>
              </font>
              <fill>
                <patternFill patternType="none">
                  <bgColor auto="1"/>
                </patternFill>
              </fill>
              <border>
                <left/>
                <right/>
                <top/>
                <bottom/>
                <vertical/>
                <horizontal/>
              </border>
            </x14:dxf>
          </x14:cfRule>
          <xm:sqref>J89:L98</xm:sqref>
        </x14:conditionalFormatting>
        <x14:conditionalFormatting xmlns:xm="http://schemas.microsoft.com/office/excel/2006/main">
          <x14:cfRule type="expression" priority="26" id="{D8533EEA-4F47-4D1B-B1F7-5E904731051F}">
            <xm:f>AND('1. Information Sheet'!$F$28&gt;8, '1. Information Sheet'!$F$28&lt;10)</xm:f>
            <x14:dxf>
              <font>
                <color theme="0"/>
              </font>
              <fill>
                <patternFill patternType="none">
                  <bgColor auto="1"/>
                </patternFill>
              </fill>
              <border>
                <left style="thin">
                  <color auto="1"/>
                </left>
                <right/>
                <top/>
                <bottom/>
                <vertical/>
                <horizontal/>
              </border>
            </x14:dxf>
          </x14:cfRule>
          <xm:sqref>M89</xm:sqref>
        </x14:conditionalFormatting>
        <x14:conditionalFormatting xmlns:xm="http://schemas.microsoft.com/office/excel/2006/main">
          <x14:cfRule type="expression" priority="27" id="{5A711B71-F1FE-4D11-8BC7-B6140DCC0B04}">
            <xm:f>'1. Information Sheet'!$F$28&lt;10</xm:f>
            <x14:dxf>
              <font>
                <color theme="0"/>
              </font>
              <fill>
                <patternFill patternType="none">
                  <bgColor auto="1"/>
                </patternFill>
              </fill>
              <border>
                <left/>
                <right/>
                <top/>
                <bottom/>
                <vertical/>
                <horizontal/>
              </border>
            </x14:dxf>
          </x14:cfRule>
          <xm:sqref>M89:O98</xm:sqref>
        </x14:conditionalFormatting>
        <x14:conditionalFormatting xmlns:xm="http://schemas.microsoft.com/office/excel/2006/main">
          <x14:cfRule type="expression" priority="25" id="{5F079A4A-1AF5-444A-964E-5F396DD5C413}">
            <xm:f>'1. Information Sheet'!$F$28&lt;9</xm:f>
            <x14:dxf>
              <font>
                <color theme="0"/>
              </font>
              <fill>
                <patternFill patternType="none">
                  <bgColor auto="1"/>
                </patternFill>
              </fill>
              <border>
                <left/>
                <right/>
                <top/>
                <bottom/>
                <vertical/>
                <horizontal/>
              </border>
            </x14:dxf>
          </x14:cfRule>
          <xm:sqref>A132:F165 C128:F131 J131:L131</xm:sqref>
        </x14:conditionalFormatting>
        <x14:conditionalFormatting xmlns:xm="http://schemas.microsoft.com/office/excel/2006/main">
          <x14:cfRule type="expression" priority="23" id="{78564C8A-1445-458E-8D85-CFEC3E3ED8AA}">
            <xm:f>AND('1. Information Sheet'!$F$28&gt;8, '1. Information Sheet'!$F$28&lt;10)</xm:f>
            <x14:dxf>
              <font>
                <color theme="0"/>
              </font>
              <fill>
                <patternFill patternType="none">
                  <bgColor auto="1"/>
                </patternFill>
              </fill>
              <border>
                <left style="thin">
                  <color auto="1"/>
                </left>
                <right/>
                <top/>
                <bottom/>
                <vertical/>
                <horizontal/>
              </border>
            </x14:dxf>
          </x14:cfRule>
          <xm:sqref>G142:G161 G128 G163</xm:sqref>
        </x14:conditionalFormatting>
        <x14:conditionalFormatting xmlns:xm="http://schemas.microsoft.com/office/excel/2006/main">
          <x14:cfRule type="expression" priority="24" id="{F28E6F7B-173B-42E4-A886-D74AF8BACB59}">
            <xm:f>'1. Information Sheet'!$F$28&lt;10</xm:f>
            <x14:dxf>
              <font>
                <color theme="0"/>
              </font>
              <fill>
                <patternFill patternType="none">
                  <bgColor auto="1"/>
                </patternFill>
              </fill>
              <border>
                <left/>
                <right/>
                <top/>
                <bottom/>
                <vertical/>
                <horizontal/>
              </border>
            </x14:dxf>
          </x14:cfRule>
          <xm:sqref>G128:I165 M131:O131</xm:sqref>
        </x14:conditionalFormatting>
        <x14:conditionalFormatting xmlns:xm="http://schemas.microsoft.com/office/excel/2006/main">
          <x14:cfRule type="expression" priority="20" id="{CDDAB824-F439-4A0D-AA7B-2C1439ECE338}">
            <xm:f>'1. Information Sheet'!$F$28&gt;8</xm:f>
            <x14:dxf>
              <font>
                <color theme="0"/>
              </font>
            </x14:dxf>
          </x14:cfRule>
          <x14:cfRule type="expression" priority="21" id="{51B9A92A-3EE3-4FA3-B255-AB5E6AD7880C}">
            <xm:f>AND('1. Information Sheet'!$F$28&lt;9, '1. Information Sheet'!$F$28&gt;4)</xm:f>
            <x14:dxf>
              <font>
                <color theme="1"/>
              </font>
            </x14:dxf>
          </x14:cfRule>
          <x14:cfRule type="expression" priority="22" id="{AB7546E3-FB6F-432B-B8F0-C6A71E328454}">
            <xm:f>'1. Information Sheet'!$F$28&lt;5</xm:f>
            <x14:dxf>
              <font>
                <color theme="0"/>
              </font>
              <fill>
                <patternFill patternType="none">
                  <bgColor auto="1"/>
                </patternFill>
              </fill>
              <border>
                <left/>
                <right/>
                <top/>
                <bottom/>
                <vertical/>
                <horizontal/>
              </border>
            </x14:dxf>
          </x14:cfRule>
          <xm:sqref>A128</xm:sqref>
        </x14:conditionalFormatting>
        <x14:conditionalFormatting xmlns:xm="http://schemas.microsoft.com/office/excel/2006/main">
          <x14:cfRule type="expression" priority="19" id="{49CEDED6-14D7-4543-B388-2743001A10D2}">
            <xm:f>'1. Information Sheet'!$F$28&lt;9</xm:f>
            <x14:dxf>
              <font>
                <color theme="0"/>
              </font>
              <fill>
                <patternFill patternType="none">
                  <bgColor auto="1"/>
                </patternFill>
              </fill>
              <border>
                <left/>
                <right/>
                <top/>
                <bottom/>
                <vertical/>
                <horizontal/>
              </border>
            </x14:dxf>
          </x14:cfRule>
          <xm:sqref>J139:L165</xm:sqref>
        </x14:conditionalFormatting>
        <x14:conditionalFormatting xmlns:xm="http://schemas.microsoft.com/office/excel/2006/main">
          <x14:cfRule type="expression" priority="17" id="{47702D79-FD9F-4FC3-BD20-932320777D6B}">
            <xm:f>AND('1. Information Sheet'!$F$28&gt;8, '1. Information Sheet'!$F$28&lt;10)</xm:f>
            <x14:dxf>
              <font>
                <color theme="0"/>
              </font>
              <fill>
                <patternFill patternType="none">
                  <bgColor auto="1"/>
                </patternFill>
              </fill>
              <border>
                <left style="thin">
                  <color auto="1"/>
                </left>
                <right/>
                <top/>
                <bottom/>
                <vertical/>
                <horizontal/>
              </border>
            </x14:dxf>
          </x14:cfRule>
          <xm:sqref>M142:M161 M163</xm:sqref>
        </x14:conditionalFormatting>
        <x14:conditionalFormatting xmlns:xm="http://schemas.microsoft.com/office/excel/2006/main">
          <x14:cfRule type="expression" priority="18" id="{8110843A-8D45-469B-86A7-4D5BE37F807E}">
            <xm:f>'1. Information Sheet'!$F$28&lt;10</xm:f>
            <x14:dxf>
              <font>
                <color theme="0"/>
              </font>
              <fill>
                <patternFill patternType="none">
                  <bgColor auto="1"/>
                </patternFill>
              </fill>
              <border>
                <left/>
                <right/>
                <top/>
                <bottom/>
                <vertical/>
                <horizontal/>
              </border>
            </x14:dxf>
          </x14:cfRule>
          <xm:sqref>M139:O165</xm:sqref>
        </x14:conditionalFormatting>
        <x14:conditionalFormatting xmlns:xm="http://schemas.microsoft.com/office/excel/2006/main">
          <x14:cfRule type="expression" priority="16" id="{BC8F12A2-6E94-461E-AE9E-E0CB6FEA6B17}">
            <xm:f>'1. Information Sheet'!$F$28&lt;9</xm:f>
            <x14:dxf>
              <font>
                <color theme="0"/>
              </font>
              <fill>
                <patternFill patternType="none">
                  <bgColor auto="1"/>
                </patternFill>
              </fill>
              <border>
                <left/>
                <right/>
                <top/>
                <bottom/>
                <vertical/>
                <horizontal/>
              </border>
            </x14:dxf>
          </x14:cfRule>
          <xm:sqref>J128:L130 J132:L137</xm:sqref>
        </x14:conditionalFormatting>
        <x14:conditionalFormatting xmlns:xm="http://schemas.microsoft.com/office/excel/2006/main">
          <x14:cfRule type="expression" priority="14" id="{6A6F97EA-F46A-4E63-8305-8CCAF9898B32}">
            <xm:f>AND('1. Information Sheet'!$F$28&gt;8, '1. Information Sheet'!$F$28&lt;10)</xm:f>
            <x14:dxf>
              <font>
                <color theme="0"/>
              </font>
              <fill>
                <patternFill patternType="none">
                  <bgColor auto="1"/>
                </patternFill>
              </fill>
              <border>
                <left style="thin">
                  <color auto="1"/>
                </left>
                <right/>
                <top/>
                <bottom/>
                <vertical/>
                <horizontal/>
              </border>
            </x14:dxf>
          </x14:cfRule>
          <xm:sqref>M128</xm:sqref>
        </x14:conditionalFormatting>
        <x14:conditionalFormatting xmlns:xm="http://schemas.microsoft.com/office/excel/2006/main">
          <x14:cfRule type="expression" priority="15" id="{4E6AA7DA-7E94-4FF5-B755-D11A7D871546}">
            <xm:f>'1. Information Sheet'!$F$28&lt;10</xm:f>
            <x14:dxf>
              <font>
                <color theme="0"/>
              </font>
              <fill>
                <patternFill patternType="none">
                  <bgColor auto="1"/>
                </patternFill>
              </fill>
              <border>
                <left/>
                <right/>
                <top/>
                <bottom/>
                <vertical/>
                <horizontal/>
              </border>
            </x14:dxf>
          </x14:cfRule>
          <xm:sqref>M128:O130 M132:O137</xm:sqref>
        </x14:conditionalFormatting>
        <x14:conditionalFormatting xmlns:xm="http://schemas.microsoft.com/office/excel/2006/main">
          <x14:cfRule type="expression" priority="13" id="{CD007D19-1449-4134-B0EC-3769BD157F80}">
            <xm:f>'1. Information Sheet'!$F$28&lt;9</xm:f>
            <x14:dxf>
              <font>
                <color theme="0"/>
              </font>
              <fill>
                <patternFill patternType="none">
                  <bgColor auto="1"/>
                </patternFill>
              </fill>
              <border>
                <left/>
                <right/>
                <top/>
                <bottom/>
                <vertical/>
                <horizontal/>
              </border>
            </x14:dxf>
          </x14:cfRule>
          <xm:sqref>A169:F202 C167:F168 J168:L168</xm:sqref>
        </x14:conditionalFormatting>
        <x14:conditionalFormatting xmlns:xm="http://schemas.microsoft.com/office/excel/2006/main">
          <x14:cfRule type="expression" priority="11" id="{B24016A2-1B0A-4888-B681-6373AEE8D5A5}">
            <xm:f>AND('1. Information Sheet'!$F$28&gt;8, '1. Information Sheet'!$F$28&lt;10)</xm:f>
            <x14:dxf>
              <font>
                <color theme="0"/>
              </font>
              <fill>
                <patternFill patternType="none">
                  <bgColor auto="1"/>
                </patternFill>
              </fill>
              <border>
                <left style="thin">
                  <color auto="1"/>
                </left>
                <right/>
                <top/>
                <bottom/>
                <vertical/>
                <horizontal/>
              </border>
            </x14:dxf>
          </x14:cfRule>
          <xm:sqref>G179:G198 G200</xm:sqref>
        </x14:conditionalFormatting>
        <x14:conditionalFormatting xmlns:xm="http://schemas.microsoft.com/office/excel/2006/main">
          <x14:cfRule type="expression" priority="12" id="{065A6C22-F46B-4196-8641-D634135AD967}">
            <xm:f>'1. Information Sheet'!$F$28&lt;10</xm:f>
            <x14:dxf>
              <font>
                <color theme="0"/>
              </font>
              <fill>
                <patternFill patternType="none">
                  <bgColor auto="1"/>
                </patternFill>
              </fill>
              <border>
                <left/>
                <right/>
                <top/>
                <bottom/>
                <vertical/>
                <horizontal/>
              </border>
            </x14:dxf>
          </x14:cfRule>
          <xm:sqref>G167:I202 M168:O168</xm:sqref>
        </x14:conditionalFormatting>
        <x14:conditionalFormatting xmlns:xm="http://schemas.microsoft.com/office/excel/2006/main">
          <x14:cfRule type="expression" priority="10" id="{A9B4DF3F-0A53-45A1-8910-DDCCFFBA0097}">
            <xm:f>'1. Information Sheet'!$F$28&lt;9</xm:f>
            <x14:dxf>
              <font>
                <color theme="0"/>
              </font>
              <fill>
                <patternFill patternType="none">
                  <bgColor auto="1"/>
                </patternFill>
              </fill>
              <border>
                <left/>
                <right/>
                <top/>
                <bottom/>
                <vertical/>
                <horizontal/>
              </border>
            </x14:dxf>
          </x14:cfRule>
          <xm:sqref>J176:L202</xm:sqref>
        </x14:conditionalFormatting>
        <x14:conditionalFormatting xmlns:xm="http://schemas.microsoft.com/office/excel/2006/main">
          <x14:cfRule type="expression" priority="8" id="{4A0CD649-A915-4732-B4E9-426F36DA1BD3}">
            <xm:f>AND('1. Information Sheet'!$F$28&gt;8, '1. Information Sheet'!$F$28&lt;10)</xm:f>
            <x14:dxf>
              <font>
                <color theme="0"/>
              </font>
              <fill>
                <patternFill patternType="none">
                  <bgColor auto="1"/>
                </patternFill>
              </fill>
              <border>
                <left style="thin">
                  <color auto="1"/>
                </left>
                <right/>
                <top/>
                <bottom/>
                <vertical/>
                <horizontal/>
              </border>
            </x14:dxf>
          </x14:cfRule>
          <xm:sqref>M179:M198 M200</xm:sqref>
        </x14:conditionalFormatting>
        <x14:conditionalFormatting xmlns:xm="http://schemas.microsoft.com/office/excel/2006/main">
          <x14:cfRule type="expression" priority="9" id="{9FADFE6F-0BC3-444D-A94D-278809AC741C}">
            <xm:f>'1. Information Sheet'!$F$28&lt;10</xm:f>
            <x14:dxf>
              <font>
                <color theme="0"/>
              </font>
              <fill>
                <patternFill patternType="none">
                  <bgColor auto="1"/>
                </patternFill>
              </fill>
              <border>
                <left/>
                <right/>
                <top/>
                <bottom/>
                <vertical/>
                <horizontal/>
              </border>
            </x14:dxf>
          </x14:cfRule>
          <xm:sqref>M176:O202</xm:sqref>
        </x14:conditionalFormatting>
        <x14:conditionalFormatting xmlns:xm="http://schemas.microsoft.com/office/excel/2006/main">
          <x14:cfRule type="expression" priority="7" id="{6D4E9499-AF66-40D6-AEA1-B46B2A3F07F8}">
            <xm:f>'1. Information Sheet'!$F$28&lt;9</xm:f>
            <x14:dxf>
              <font>
                <color theme="0"/>
              </font>
              <fill>
                <patternFill patternType="none">
                  <bgColor auto="1"/>
                </patternFill>
              </fill>
              <border>
                <left/>
                <right/>
                <top/>
                <bottom/>
                <vertical/>
                <horizontal/>
              </border>
            </x14:dxf>
          </x14:cfRule>
          <xm:sqref>J167:L167 J169:L174</xm:sqref>
        </x14:conditionalFormatting>
        <x14:conditionalFormatting xmlns:xm="http://schemas.microsoft.com/office/excel/2006/main">
          <x14:cfRule type="expression" priority="6" id="{92300A89-2483-4356-9DAE-FA27F29A1A9F}">
            <xm:f>'1. Information Sheet'!$F$28&lt;10</xm:f>
            <x14:dxf>
              <font>
                <color theme="0"/>
              </font>
              <fill>
                <patternFill patternType="none">
                  <bgColor auto="1"/>
                </patternFill>
              </fill>
              <border>
                <left/>
                <right/>
                <top/>
                <bottom/>
                <vertical/>
                <horizontal/>
              </border>
            </x14:dxf>
          </x14:cfRule>
          <xm:sqref>M167:O167 M169:O174</xm:sqref>
        </x14:conditionalFormatting>
        <x14:conditionalFormatting xmlns:xm="http://schemas.microsoft.com/office/excel/2006/main">
          <x14:cfRule type="expression" priority="5" id="{C579E744-813C-4B59-97DE-D130E750EE55}">
            <xm:f>'C:\Regulatory\2023 ICM\2022-06-21 Estimate\[June28Estimate_VRZ_2023_ACM_ICM_Model_1.0_20220608_Scenario 8.xlsm]1. Information Sheet'!#REF!&lt;9</xm:f>
            <x14:dxf>
              <font>
                <color theme="0"/>
              </font>
              <fill>
                <patternFill patternType="none">
                  <bgColor auto="1"/>
                </patternFill>
              </fill>
              <border>
                <left/>
                <right/>
                <top/>
                <bottom/>
                <vertical/>
                <horizontal/>
              </border>
            </x14:dxf>
          </x14:cfRule>
          <xm:sqref>M107</xm:sqref>
        </x14:conditionalFormatting>
        <x14:conditionalFormatting xmlns:xm="http://schemas.microsoft.com/office/excel/2006/main">
          <x14:cfRule type="expression" priority="4" id="{D88384E4-ECDE-4D00-BF0D-06259450B40B}">
            <xm:f>'C:\Regulatory\2023 ICM\2022-06-21 Estimate\[June23Estimate_WRZ_2023_ACM_ICM_Model_1.0_20220608_Scenario 6.xlsm]1. Information Sheet'!#REF!&lt;10</xm:f>
            <x14:dxf>
              <font>
                <color theme="0"/>
              </font>
              <fill>
                <patternFill patternType="none">
                  <bgColor auto="1"/>
                </patternFill>
              </fill>
              <border>
                <left/>
                <right/>
                <top/>
                <bottom/>
                <vertical/>
                <horizontal/>
              </border>
            </x14:dxf>
          </x14:cfRule>
          <xm:sqref>N107:O107</xm:sqref>
        </x14:conditionalFormatting>
        <x14:conditionalFormatting xmlns:xm="http://schemas.microsoft.com/office/excel/2006/main">
          <x14:cfRule type="expression" priority="3" id="{230442C6-CC85-4535-B625-383001B480E5}">
            <xm:f>'C:\Regulatory\2023 ICM\2022-06-21 Estimate\[June23Estimate_WRZ_2023_ACM_ICM_Model_1.0_20220608_Scenario 6.xlsm]1. Information Sheet'!#REF!&lt;10</xm:f>
            <x14:dxf>
              <font>
                <color theme="0"/>
              </font>
              <fill>
                <patternFill patternType="none">
                  <bgColor auto="1"/>
                </patternFill>
              </fill>
              <border>
                <left/>
                <right/>
                <top/>
                <bottom/>
                <vertical/>
                <horizontal/>
              </border>
            </x14:dxf>
          </x14:cfRule>
          <xm:sqref>O108</xm:sqref>
        </x14:conditionalFormatting>
        <x14:conditionalFormatting xmlns:xm="http://schemas.microsoft.com/office/excel/2006/main">
          <x14:cfRule type="expression" priority="2" id="{B2DA860C-6843-4F9D-9872-F0DF9595D2E6}">
            <xm:f>'C:\Regulatory\2023 ICM\2022-06-21 Estimate\[June23Estimate_WRZ_2023_ACM_ICM_Model_1.0_20220608_Scenario 6.xlsm]1. Information Sheet'!#REF!&lt;10</xm:f>
            <x14:dxf>
              <font>
                <color theme="0"/>
              </font>
              <fill>
                <patternFill patternType="none">
                  <bgColor auto="1"/>
                </patternFill>
              </fill>
              <border>
                <left/>
                <right/>
                <top/>
                <bottom/>
                <vertical/>
                <horizontal/>
              </border>
            </x14:dxf>
          </x14:cfRule>
          <xm:sqref>O106</xm:sqref>
        </x14:conditionalFormatting>
        <x14:conditionalFormatting xmlns:xm="http://schemas.microsoft.com/office/excel/2006/main">
          <x14:cfRule type="expression" priority="1" id="{F9A12544-C4FC-44C7-97DE-51C05102D1BF}">
            <xm:f>'C:\Regulatory\2023 ICM\2022-06-21 Estimate\[June23Estimate_WRZ_2023_ACM_ICM_Model_1.0_20220608_Scenario 6.xlsm]1. Information Sheet'!#REF!&lt;10</xm:f>
            <x14:dxf>
              <font>
                <color theme="0"/>
              </font>
              <fill>
                <patternFill patternType="none">
                  <bgColor auto="1"/>
                </patternFill>
              </fill>
              <border>
                <left/>
                <right/>
                <top/>
                <bottom/>
                <vertical/>
                <horizontal/>
              </border>
            </x14:dxf>
          </x14:cfRule>
          <xm:sqref>O104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6:J96"/>
  <sheetViews>
    <sheetView showGridLines="0" topLeftCell="A61" zoomScaleNormal="100" workbookViewId="0">
      <selection activeCell="I59" sqref="I59"/>
    </sheetView>
  </sheetViews>
  <sheetFormatPr defaultRowHeight="15" x14ac:dyDescent="0.25"/>
  <cols>
    <col min="2" max="2" width="60.5703125" customWidth="1"/>
    <col min="3" max="3" width="16.5703125" style="101" customWidth="1"/>
    <col min="4" max="4" width="4.5703125" bestFit="1" customWidth="1"/>
    <col min="5" max="5" width="29.85546875" customWidth="1"/>
    <col min="6" max="6" width="27.85546875" customWidth="1"/>
  </cols>
  <sheetData>
    <row r="6" spans="2:6" ht="26.25" x14ac:dyDescent="0.4">
      <c r="B6" s="209"/>
      <c r="C6" s="11"/>
      <c r="D6" s="1"/>
      <c r="E6" s="1"/>
      <c r="F6" s="1"/>
    </row>
    <row r="7" spans="2:6" x14ac:dyDescent="0.25">
      <c r="B7" s="1"/>
      <c r="C7" s="11"/>
      <c r="D7" s="1"/>
      <c r="E7" s="1"/>
      <c r="F7" s="1"/>
    </row>
    <row r="8" spans="2:6" x14ac:dyDescent="0.25">
      <c r="B8" s="1"/>
      <c r="C8" s="11"/>
      <c r="D8" s="1"/>
      <c r="E8" s="1"/>
      <c r="F8" s="1"/>
    </row>
    <row r="9" spans="2:6" x14ac:dyDescent="0.25">
      <c r="B9" s="1"/>
      <c r="C9" s="11"/>
      <c r="D9" s="1"/>
      <c r="E9" s="1"/>
      <c r="F9" s="1"/>
    </row>
    <row r="10" spans="2:6" x14ac:dyDescent="0.25">
      <c r="B10" s="1"/>
      <c r="C10" s="11"/>
      <c r="D10" s="1"/>
      <c r="E10" s="1"/>
      <c r="F10" s="1"/>
    </row>
    <row r="11" spans="2:6" x14ac:dyDescent="0.25">
      <c r="B11" s="1"/>
      <c r="C11" s="11"/>
      <c r="D11" s="1"/>
      <c r="E11" s="1"/>
      <c r="F11" s="1"/>
    </row>
    <row r="12" spans="2:6" ht="18.75" x14ac:dyDescent="0.3">
      <c r="B12" s="210" t="s">
        <v>773</v>
      </c>
      <c r="C12" s="211" t="s">
        <v>774</v>
      </c>
      <c r="D12" s="212"/>
      <c r="E12" s="213">
        <f>'1. Information Sheet'!M26</f>
        <v>2023</v>
      </c>
      <c r="F12" s="214"/>
    </row>
    <row r="13" spans="2:6" x14ac:dyDescent="0.25">
      <c r="B13" s="215"/>
      <c r="C13" s="215"/>
      <c r="D13" s="215"/>
      <c r="E13" s="215"/>
    </row>
    <row r="14" spans="2:6" x14ac:dyDescent="0.25">
      <c r="C14"/>
    </row>
    <row r="15" spans="2:6" ht="15.75" thickBot="1" x14ac:dyDescent="0.3">
      <c r="B15" s="1"/>
      <c r="C15" s="11"/>
      <c r="D15" s="1"/>
      <c r="E15" s="1"/>
      <c r="F15" s="1"/>
    </row>
    <row r="16" spans="2:6" ht="18.75" thickBot="1" x14ac:dyDescent="0.3">
      <c r="B16" s="216" t="s">
        <v>775</v>
      </c>
      <c r="C16" s="11"/>
      <c r="D16" s="1"/>
      <c r="E16" s="214"/>
      <c r="F16" s="1"/>
    </row>
    <row r="17" spans="2:10" ht="15.75" x14ac:dyDescent="0.25">
      <c r="B17" s="217"/>
      <c r="C17" s="218"/>
      <c r="D17" s="219"/>
      <c r="E17" s="220"/>
      <c r="F17" s="221"/>
    </row>
    <row r="18" spans="2:10" ht="16.5" thickBot="1" x14ac:dyDescent="0.3">
      <c r="B18" s="222" t="s">
        <v>776</v>
      </c>
      <c r="C18" s="223"/>
      <c r="D18" s="224"/>
      <c r="E18" s="225">
        <f>'5. Rev_Requ_Check'!E62</f>
        <v>19196424.769494999</v>
      </c>
      <c r="F18" s="221" t="s">
        <v>618</v>
      </c>
    </row>
    <row r="19" spans="2:10" ht="16.5" thickBot="1" x14ac:dyDescent="0.3">
      <c r="B19" s="226"/>
      <c r="C19" s="227"/>
      <c r="D19" s="228"/>
      <c r="E19" s="229"/>
      <c r="F19" s="221"/>
    </row>
    <row r="20" spans="2:10" ht="16.5" thickBot="1" x14ac:dyDescent="0.3">
      <c r="B20" s="230"/>
      <c r="C20" s="223"/>
      <c r="D20" s="224"/>
      <c r="E20" s="231"/>
      <c r="F20" s="221"/>
    </row>
    <row r="21" spans="2:10" ht="18.75" thickBot="1" x14ac:dyDescent="0.3">
      <c r="B21" s="232" t="s">
        <v>777</v>
      </c>
      <c r="C21" s="233"/>
      <c r="D21" s="224"/>
      <c r="E21" s="231"/>
      <c r="F21" s="221"/>
    </row>
    <row r="22" spans="2:10" ht="15.75" x14ac:dyDescent="0.25">
      <c r="B22" s="217"/>
      <c r="C22" s="234" t="s">
        <v>778</v>
      </c>
      <c r="D22" s="235"/>
      <c r="E22" s="236" t="s">
        <v>779</v>
      </c>
      <c r="F22" s="221"/>
    </row>
    <row r="23" spans="2:10" ht="14.45" customHeight="1" x14ac:dyDescent="0.25">
      <c r="B23" s="237"/>
      <c r="C23" s="238"/>
      <c r="D23" s="239"/>
      <c r="E23" s="240" t="str">
        <f>"("&amp;IF(('1. Information Sheet'!M28-'1. Information Sheet'!M26)=1,"Half Year*","Full Year")&amp;" Prorated Amount)"</f>
        <v>(Full Year Prorated Amount)</v>
      </c>
      <c r="F23" s="515" t="str">
        <f>IF(('1. Information Sheet'!M28-'1. Information Sheet'!M26)=1,"*The half year rule is applied as the distributor is scheduled to rebase in the next rate year.","")</f>
        <v/>
      </c>
      <c r="G23" s="516"/>
      <c r="H23" s="516"/>
      <c r="I23" s="279"/>
    </row>
    <row r="24" spans="2:10" ht="15.6" customHeight="1" x14ac:dyDescent="0.25">
      <c r="B24" s="237"/>
      <c r="C24" s="512" t="s">
        <v>780</v>
      </c>
      <c r="D24" s="512"/>
      <c r="E24" s="513"/>
      <c r="F24" s="515"/>
      <c r="G24" s="516"/>
      <c r="H24" s="516"/>
    </row>
    <row r="25" spans="2:10" ht="15.75" x14ac:dyDescent="0.25">
      <c r="B25" s="222" t="s">
        <v>781</v>
      </c>
      <c r="C25" s="231">
        <f ca="1">INDIRECT("'9b. Proposed ACM ICM Projects'!"&amp;CHAR(68+MOD('1. Information Sheet'!$F$28-1,4)*3)&amp;(39*INT(('1. Information Sheet'!$F$28-1)/4))+46)</f>
        <v>26657000</v>
      </c>
      <c r="D25" s="224"/>
      <c r="E25" s="231">
        <f ca="1">IF(('1. Information Sheet'!M28-'1. Information Sheet'!M26)=1,INDIRECT("'9b. Proposed ACM ICM Projects'!"&amp;CHAR(68+MOD('1. Information Sheet'!$F$28-1,4)*3)&amp;(39*INT(('1. Information Sheet'!$F$28-1)/4))+48)/2,INDIRECT("'9b. Proposed ACM ICM Projects'!"&amp;CHAR(68+MOD('1. Information Sheet'!$F$28-1,4)*3)&amp;(39*INT(('1. Information Sheet'!$F$28-1)/4))+48))</f>
        <v>26657000</v>
      </c>
      <c r="F25" s="360" t="s">
        <v>620</v>
      </c>
      <c r="J25" s="231"/>
    </row>
    <row r="26" spans="2:10" ht="15.75" x14ac:dyDescent="0.25">
      <c r="B26" s="242" t="s">
        <v>736</v>
      </c>
      <c r="C26" s="231">
        <f ca="1">INDIRECT("'9b. Proposed ACM ICM Projects'!"&amp;CHAR(69+MOD('1. Information Sheet'!$F$28-1,4)*3)&amp;(39*INT(('1. Information Sheet'!$F$28-1)/4))+46)</f>
        <v>518866.66666666669</v>
      </c>
      <c r="D26" s="224"/>
      <c r="E26" s="241">
        <f ca="1">C26*(E25/C25)</f>
        <v>518866.66666666669</v>
      </c>
      <c r="F26" s="221" t="s">
        <v>622</v>
      </c>
    </row>
    <row r="27" spans="2:10" ht="16.5" thickBot="1" x14ac:dyDescent="0.3">
      <c r="B27" s="243" t="s">
        <v>772</v>
      </c>
      <c r="C27" s="244">
        <f ca="1">INDIRECT("'9b. Proposed ACM ICM Projects'!"&amp;CHAR(70+MOD('1. Information Sheet'!$F$28-1,4)*3)&amp;(39*INT(('1. Information Sheet'!$F$28-1)/4))+46)</f>
        <v>2132560</v>
      </c>
      <c r="D27" s="228"/>
      <c r="E27" s="229">
        <f ca="1">C27*(E25/C25)</f>
        <v>2132560</v>
      </c>
      <c r="F27" s="221" t="s">
        <v>660</v>
      </c>
    </row>
    <row r="28" spans="2:10" ht="15.75" x14ac:dyDescent="0.25">
      <c r="B28" s="230"/>
      <c r="C28" s="223"/>
      <c r="D28" s="224"/>
      <c r="E28" s="231"/>
      <c r="F28" s="221"/>
    </row>
    <row r="29" spans="2:10" ht="18.75" customHeight="1" x14ac:dyDescent="0.3">
      <c r="B29" s="514" t="s">
        <v>782</v>
      </c>
      <c r="C29" s="514"/>
      <c r="D29" s="514"/>
      <c r="E29" s="514"/>
      <c r="F29" s="514"/>
    </row>
    <row r="30" spans="2:10" ht="16.5" thickBot="1" x14ac:dyDescent="0.3">
      <c r="B30" s="1"/>
      <c r="C30" s="245"/>
      <c r="D30" s="246"/>
      <c r="E30" s="170"/>
      <c r="F30" s="221"/>
    </row>
    <row r="31" spans="2:10" ht="18.75" thickBot="1" x14ac:dyDescent="0.3">
      <c r="B31" s="247" t="s">
        <v>652</v>
      </c>
      <c r="C31" s="245"/>
      <c r="D31" s="246"/>
      <c r="E31" s="170"/>
      <c r="F31" s="221"/>
    </row>
    <row r="32" spans="2:10" ht="15.75" x14ac:dyDescent="0.25">
      <c r="B32" s="222" t="s">
        <v>783</v>
      </c>
      <c r="C32" s="248"/>
      <c r="D32" s="249"/>
      <c r="E32" s="250">
        <f ca="1">E25</f>
        <v>26657000</v>
      </c>
      <c r="F32" s="221" t="s">
        <v>620</v>
      </c>
    </row>
    <row r="33" spans="2:6" ht="15.75" x14ac:dyDescent="0.25">
      <c r="B33" s="222" t="s">
        <v>784</v>
      </c>
      <c r="C33" s="245"/>
      <c r="D33" s="251"/>
      <c r="E33" s="241">
        <f ca="1">E26</f>
        <v>518866.66666666669</v>
      </c>
      <c r="F33" s="221" t="s">
        <v>622</v>
      </c>
    </row>
    <row r="34" spans="2:6" ht="16.5" thickBot="1" x14ac:dyDescent="0.3">
      <c r="B34" s="222" t="s">
        <v>785</v>
      </c>
      <c r="C34" s="223"/>
      <c r="D34" s="251"/>
      <c r="E34" s="252">
        <f ca="1">E32-E33/2</f>
        <v>26397566.666666668</v>
      </c>
      <c r="F34" s="221" t="s">
        <v>786</v>
      </c>
    </row>
    <row r="35" spans="2:6" ht="25.5" x14ac:dyDescent="0.25">
      <c r="B35" s="222"/>
      <c r="C35" s="253" t="s">
        <v>787</v>
      </c>
      <c r="D35" s="251"/>
      <c r="E35" s="241"/>
      <c r="F35" s="221"/>
    </row>
    <row r="36" spans="2:6" ht="15.75" x14ac:dyDescent="0.25">
      <c r="B36" s="222" t="s">
        <v>788</v>
      </c>
      <c r="C36" s="254">
        <f>'5. Rev_Requ_Check'!C36</f>
        <v>0.04</v>
      </c>
      <c r="D36" s="251" t="s">
        <v>610</v>
      </c>
      <c r="E36" s="241">
        <f ca="1">E34*C36</f>
        <v>1055902.6666666667</v>
      </c>
      <c r="F36" s="221" t="s">
        <v>789</v>
      </c>
    </row>
    <row r="37" spans="2:6" ht="15.75" x14ac:dyDescent="0.25">
      <c r="B37" s="222" t="s">
        <v>790</v>
      </c>
      <c r="C37" s="254">
        <f>'5. Rev_Requ_Check'!C37</f>
        <v>0.56000000000000005</v>
      </c>
      <c r="D37" s="251" t="s">
        <v>611</v>
      </c>
      <c r="E37" s="241">
        <f ca="1">E34*C37</f>
        <v>14782637.333333336</v>
      </c>
      <c r="F37" s="221" t="s">
        <v>791</v>
      </c>
    </row>
    <row r="38" spans="2:6" ht="15.75" x14ac:dyDescent="0.25">
      <c r="B38" s="222"/>
      <c r="C38" s="255" t="s">
        <v>792</v>
      </c>
      <c r="D38" s="251"/>
      <c r="E38" s="241"/>
      <c r="F38" s="221"/>
    </row>
    <row r="39" spans="2:6" ht="15.75" x14ac:dyDescent="0.25">
      <c r="B39" s="222" t="s">
        <v>793</v>
      </c>
      <c r="C39" s="256">
        <f>'5. Rev_Requ_Check'!C40</f>
        <v>2.4299999999999999E-2</v>
      </c>
      <c r="D39" s="251" t="s">
        <v>631</v>
      </c>
      <c r="E39" s="241">
        <f ca="1">E36*C39</f>
        <v>25658.434799999999</v>
      </c>
      <c r="F39" s="221" t="s">
        <v>794</v>
      </c>
    </row>
    <row r="40" spans="2:6" ht="15.75" x14ac:dyDescent="0.25">
      <c r="B40" s="222" t="s">
        <v>795</v>
      </c>
      <c r="C40" s="256">
        <f>'5. Rev_Requ_Check'!C41</f>
        <v>5.4800000000000001E-2</v>
      </c>
      <c r="D40" s="251" t="s">
        <v>633</v>
      </c>
      <c r="E40" s="241">
        <f ca="1">E37*C40</f>
        <v>810088.52586666681</v>
      </c>
      <c r="F40" s="221" t="s">
        <v>796</v>
      </c>
    </row>
    <row r="41" spans="2:6" ht="15.75" x14ac:dyDescent="0.25">
      <c r="B41" s="222"/>
      <c r="C41" s="223"/>
      <c r="D41" s="251"/>
      <c r="E41" s="241"/>
      <c r="F41" s="221"/>
    </row>
    <row r="42" spans="2:6" ht="16.5" thickBot="1" x14ac:dyDescent="0.3">
      <c r="B42" s="222" t="s">
        <v>797</v>
      </c>
      <c r="C42" s="223"/>
      <c r="D42" s="251"/>
      <c r="E42" s="225">
        <f ca="1">SUM(E39:E40)</f>
        <v>835746.96066666686</v>
      </c>
      <c r="F42" s="221" t="s">
        <v>798</v>
      </c>
    </row>
    <row r="43" spans="2:6" ht="15.75" x14ac:dyDescent="0.25">
      <c r="B43" s="222"/>
      <c r="C43" s="223"/>
      <c r="D43" s="251"/>
      <c r="E43" s="241"/>
      <c r="F43" s="221"/>
    </row>
    <row r="44" spans="2:6" ht="25.5" x14ac:dyDescent="0.25">
      <c r="B44" s="222"/>
      <c r="C44" s="257" t="str">
        <f>C35</f>
        <v>% of capital structure</v>
      </c>
      <c r="D44" s="251"/>
      <c r="E44" s="241"/>
      <c r="F44" s="221"/>
    </row>
    <row r="45" spans="2:6" ht="15.75" x14ac:dyDescent="0.25">
      <c r="B45" s="222" t="s">
        <v>659</v>
      </c>
      <c r="C45" s="256">
        <f>'5. Rev_Requ_Check'!C38</f>
        <v>0.39999999999999991</v>
      </c>
      <c r="D45" s="251" t="s">
        <v>746</v>
      </c>
      <c r="E45" s="241">
        <f ca="1">E34*C45</f>
        <v>10559026.666666664</v>
      </c>
      <c r="F45" s="221" t="s">
        <v>799</v>
      </c>
    </row>
    <row r="46" spans="2:6" ht="15.75" x14ac:dyDescent="0.25">
      <c r="B46" s="222"/>
      <c r="C46" s="258" t="str">
        <f>C38</f>
        <v>Rate (%)</v>
      </c>
      <c r="D46" s="251"/>
      <c r="E46" s="241"/>
      <c r="F46" s="221"/>
    </row>
    <row r="47" spans="2:6" ht="15.75" x14ac:dyDescent="0.25">
      <c r="B47" s="222" t="s">
        <v>800</v>
      </c>
      <c r="C47" s="256">
        <f>'5. Rev_Requ_Check'!C42</f>
        <v>9.6600000000000005E-2</v>
      </c>
      <c r="D47" s="251" t="s">
        <v>747</v>
      </c>
      <c r="E47" s="241">
        <f ca="1">E45*C47</f>
        <v>1020001.9759999998</v>
      </c>
      <c r="F47" s="221" t="s">
        <v>801</v>
      </c>
    </row>
    <row r="48" spans="2:6" ht="15.75" x14ac:dyDescent="0.25">
      <c r="B48" s="222"/>
      <c r="C48" s="223"/>
      <c r="D48" s="224"/>
      <c r="E48" s="241"/>
      <c r="F48" s="221"/>
    </row>
    <row r="49" spans="2:6" ht="16.5" thickBot="1" x14ac:dyDescent="0.3">
      <c r="B49" s="222" t="s">
        <v>802</v>
      </c>
      <c r="C49" s="245"/>
      <c r="D49" s="224"/>
      <c r="E49" s="225">
        <f ca="1">E42+E47</f>
        <v>1855748.9366666665</v>
      </c>
      <c r="F49" s="221" t="s">
        <v>803</v>
      </c>
    </row>
    <row r="50" spans="2:6" ht="16.5" thickBot="1" x14ac:dyDescent="0.3">
      <c r="B50" s="259"/>
      <c r="C50" s="227"/>
      <c r="D50" s="228"/>
      <c r="E50" s="229"/>
      <c r="F50" s="221"/>
    </row>
    <row r="51" spans="2:6" ht="15.75" x14ac:dyDescent="0.25">
      <c r="B51" s="1"/>
      <c r="C51" s="245"/>
      <c r="D51" s="246"/>
      <c r="E51" s="170"/>
      <c r="F51" s="221"/>
    </row>
    <row r="52" spans="2:6" ht="16.5" thickBot="1" x14ac:dyDescent="0.3">
      <c r="B52" s="1"/>
      <c r="C52" s="11"/>
      <c r="D52" s="1"/>
      <c r="E52" s="260"/>
      <c r="F52" s="221"/>
    </row>
    <row r="53" spans="2:6" ht="18.75" thickBot="1" x14ac:dyDescent="0.3">
      <c r="B53" s="247" t="s">
        <v>771</v>
      </c>
      <c r="C53" s="218"/>
      <c r="D53" s="219"/>
      <c r="E53" s="220"/>
      <c r="F53" s="221"/>
    </row>
    <row r="54" spans="2:6" ht="18" x14ac:dyDescent="0.25">
      <c r="B54" s="261"/>
      <c r="C54" s="262"/>
      <c r="D54" s="230"/>
      <c r="E54" s="263"/>
      <c r="F54" s="221"/>
    </row>
    <row r="55" spans="2:6" ht="15.75" x14ac:dyDescent="0.25">
      <c r="B55" s="222" t="s">
        <v>804</v>
      </c>
      <c r="C55" s="262"/>
      <c r="D55" s="221" t="s">
        <v>622</v>
      </c>
      <c r="E55" s="241">
        <f ca="1">E33</f>
        <v>518866.66666666669</v>
      </c>
      <c r="F55" s="221" t="s">
        <v>805</v>
      </c>
    </row>
    <row r="56" spans="2:6" ht="16.5" thickBot="1" x14ac:dyDescent="0.3">
      <c r="B56" s="226"/>
      <c r="C56" s="264"/>
      <c r="D56" s="265"/>
      <c r="E56" s="229"/>
      <c r="F56" s="221"/>
    </row>
    <row r="57" spans="2:6" ht="16.5" thickBot="1" x14ac:dyDescent="0.3">
      <c r="B57" s="1"/>
      <c r="C57" s="11"/>
      <c r="D57" s="1"/>
      <c r="E57" s="170"/>
      <c r="F57" s="221"/>
    </row>
    <row r="58" spans="2:6" ht="18.75" thickBot="1" x14ac:dyDescent="0.3">
      <c r="B58" s="216" t="s">
        <v>806</v>
      </c>
      <c r="C58" s="218"/>
      <c r="D58" s="219"/>
      <c r="E58" s="250"/>
      <c r="F58" s="221"/>
    </row>
    <row r="59" spans="2:6" ht="18" x14ac:dyDescent="0.25">
      <c r="B59" s="266"/>
      <c r="C59" s="262"/>
      <c r="D59" s="230"/>
      <c r="E59" s="241"/>
      <c r="F59" s="221"/>
    </row>
    <row r="60" spans="2:6" ht="15.75" x14ac:dyDescent="0.25">
      <c r="B60" s="222" t="s">
        <v>807</v>
      </c>
      <c r="C60" s="262"/>
      <c r="D60" s="221" t="s">
        <v>747</v>
      </c>
      <c r="E60" s="241">
        <f ca="1">E47</f>
        <v>1020001.9759999998</v>
      </c>
      <c r="F60" s="221" t="s">
        <v>808</v>
      </c>
    </row>
    <row r="61" spans="2:6" ht="15.75" x14ac:dyDescent="0.25">
      <c r="B61" s="222"/>
      <c r="C61" s="262"/>
      <c r="D61" s="230"/>
      <c r="E61" s="241"/>
      <c r="F61" s="221"/>
    </row>
    <row r="62" spans="2:6" ht="15.75" x14ac:dyDescent="0.25">
      <c r="B62" s="222" t="s">
        <v>809</v>
      </c>
      <c r="C62" s="262"/>
      <c r="D62" s="221" t="s">
        <v>805</v>
      </c>
      <c r="E62" s="241">
        <f ca="1">E55</f>
        <v>518866.66666666669</v>
      </c>
      <c r="F62" s="221" t="s">
        <v>657</v>
      </c>
    </row>
    <row r="63" spans="2:6" ht="15.75" x14ac:dyDescent="0.25">
      <c r="B63" s="222"/>
      <c r="C63" s="262"/>
      <c r="D63" s="230"/>
      <c r="E63" s="241"/>
      <c r="F63" s="221"/>
    </row>
    <row r="64" spans="2:6" ht="15.75" x14ac:dyDescent="0.25">
      <c r="B64" s="222" t="s">
        <v>810</v>
      </c>
      <c r="C64" s="262"/>
      <c r="D64" s="267"/>
      <c r="E64" s="241">
        <f ca="1">E27</f>
        <v>2132560</v>
      </c>
      <c r="F64" s="221" t="s">
        <v>660</v>
      </c>
    </row>
    <row r="65" spans="2:6" ht="15.75" x14ac:dyDescent="0.25">
      <c r="B65" s="222"/>
      <c r="C65" s="262"/>
      <c r="D65" s="267"/>
      <c r="E65" s="241"/>
      <c r="F65" s="221"/>
    </row>
    <row r="66" spans="2:6" ht="16.5" thickBot="1" x14ac:dyDescent="0.3">
      <c r="B66" s="222" t="s">
        <v>811</v>
      </c>
      <c r="C66" s="262"/>
      <c r="D66" s="267"/>
      <c r="E66" s="225">
        <f ca="1">E60+E62-E64</f>
        <v>-593691.35733333346</v>
      </c>
      <c r="F66" s="221" t="s">
        <v>812</v>
      </c>
    </row>
    <row r="67" spans="2:6" ht="15.75" x14ac:dyDescent="0.25">
      <c r="B67" s="222"/>
      <c r="C67" s="262"/>
      <c r="D67" s="267"/>
      <c r="E67" s="263"/>
      <c r="F67" s="221"/>
    </row>
    <row r="68" spans="2:6" ht="15.75" x14ac:dyDescent="0.25">
      <c r="B68" s="222" t="s">
        <v>813</v>
      </c>
      <c r="C68" s="268">
        <v>0.26500000000000001</v>
      </c>
      <c r="D68" s="267" t="s">
        <v>814</v>
      </c>
      <c r="E68" s="263"/>
      <c r="F68" s="221"/>
    </row>
    <row r="69" spans="2:6" ht="15.75" x14ac:dyDescent="0.25">
      <c r="B69" s="222"/>
      <c r="C69" s="262"/>
      <c r="D69" s="230"/>
      <c r="E69" s="263"/>
      <c r="F69" s="221"/>
    </row>
    <row r="70" spans="2:6" ht="15.75" x14ac:dyDescent="0.25">
      <c r="B70" s="222" t="s">
        <v>815</v>
      </c>
      <c r="C70" s="262"/>
      <c r="D70" s="230"/>
      <c r="E70" s="241">
        <f ca="1">E66*C68</f>
        <v>-157328.20969333337</v>
      </c>
      <c r="F70" s="221" t="s">
        <v>816</v>
      </c>
    </row>
    <row r="71" spans="2:6" ht="15.75" x14ac:dyDescent="0.25">
      <c r="B71" s="222"/>
      <c r="C71" s="262"/>
      <c r="D71" s="230"/>
      <c r="E71" s="241"/>
      <c r="F71" s="221"/>
    </row>
    <row r="72" spans="2:6" ht="15.75" x14ac:dyDescent="0.25">
      <c r="B72" s="222" t="s">
        <v>817</v>
      </c>
      <c r="C72" s="262"/>
      <c r="D72" s="230"/>
      <c r="E72" s="241">
        <f ca="1">E70/(1-C68)</f>
        <v>-214051.98597732431</v>
      </c>
      <c r="F72" s="221" t="s">
        <v>818</v>
      </c>
    </row>
    <row r="73" spans="2:6" ht="16.5" thickBot="1" x14ac:dyDescent="0.3">
      <c r="B73" s="259"/>
      <c r="C73" s="264"/>
      <c r="D73" s="265"/>
      <c r="E73" s="269"/>
      <c r="F73" s="221"/>
    </row>
    <row r="74" spans="2:6" ht="15.75" hidden="1" x14ac:dyDescent="0.25">
      <c r="B74" s="1"/>
      <c r="C74" s="11"/>
      <c r="D74" s="1"/>
      <c r="E74" s="260"/>
      <c r="F74" s="221"/>
    </row>
    <row r="75" spans="2:6" ht="18" hidden="1" x14ac:dyDescent="0.25">
      <c r="B75" s="216" t="s">
        <v>677</v>
      </c>
      <c r="C75" s="11"/>
      <c r="D75" s="1"/>
      <c r="E75" s="260"/>
      <c r="F75" s="221"/>
    </row>
    <row r="76" spans="2:6" ht="15.75" hidden="1" x14ac:dyDescent="0.25">
      <c r="B76" s="222" t="s">
        <v>819</v>
      </c>
      <c r="C76" s="218"/>
      <c r="D76" s="219"/>
      <c r="E76" s="250"/>
      <c r="F76" s="221" t="s">
        <v>666</v>
      </c>
    </row>
    <row r="77" spans="2:6" ht="15.75" hidden="1" x14ac:dyDescent="0.25">
      <c r="B77" s="222"/>
      <c r="C77" s="262"/>
      <c r="D77" s="230"/>
      <c r="E77" s="263"/>
      <c r="F77" s="221"/>
    </row>
    <row r="78" spans="2:6" ht="15.75" hidden="1" x14ac:dyDescent="0.25">
      <c r="B78" s="222" t="s">
        <v>820</v>
      </c>
      <c r="C78" s="262"/>
      <c r="D78" s="230"/>
      <c r="E78" s="270"/>
      <c r="F78" s="221" t="s">
        <v>669</v>
      </c>
    </row>
    <row r="79" spans="2:6" ht="15.75" hidden="1" x14ac:dyDescent="0.25">
      <c r="B79" s="222"/>
      <c r="C79" s="262"/>
      <c r="D79" s="230"/>
      <c r="E79" s="263"/>
      <c r="F79" s="221"/>
    </row>
    <row r="80" spans="2:6" ht="15.75" hidden="1" x14ac:dyDescent="0.25">
      <c r="B80" s="222" t="s">
        <v>821</v>
      </c>
      <c r="C80" s="262"/>
      <c r="D80" s="230"/>
      <c r="E80" s="271"/>
      <c r="F80" s="221" t="s">
        <v>822</v>
      </c>
    </row>
    <row r="81" spans="2:6" ht="15.75" hidden="1" x14ac:dyDescent="0.25">
      <c r="B81" s="222"/>
      <c r="C81" s="262"/>
      <c r="D81" s="230"/>
      <c r="E81" s="263"/>
      <c r="F81" s="221"/>
    </row>
    <row r="82" spans="2:6" ht="15.75" hidden="1" x14ac:dyDescent="0.25">
      <c r="B82" s="222" t="s">
        <v>823</v>
      </c>
      <c r="C82" s="268"/>
      <c r="D82" s="221" t="s">
        <v>824</v>
      </c>
      <c r="E82" s="263"/>
      <c r="F82" s="221"/>
    </row>
    <row r="83" spans="2:6" ht="15.75" hidden="1" x14ac:dyDescent="0.25">
      <c r="B83" s="272"/>
      <c r="C83" s="262"/>
      <c r="D83" s="230"/>
      <c r="E83" s="263"/>
      <c r="F83" s="221"/>
    </row>
    <row r="84" spans="2:6" ht="16.5" hidden="1" thickBot="1" x14ac:dyDescent="0.3">
      <c r="B84" s="222" t="s">
        <v>825</v>
      </c>
      <c r="C84" s="262"/>
      <c r="D84" s="230"/>
      <c r="E84" s="225"/>
      <c r="F84" s="221" t="s">
        <v>826</v>
      </c>
    </row>
    <row r="85" spans="2:6" ht="16.5" hidden="1" thickBot="1" x14ac:dyDescent="0.3">
      <c r="B85" s="259"/>
      <c r="C85" s="264"/>
      <c r="D85" s="265"/>
      <c r="E85" s="269"/>
      <c r="F85" s="221"/>
    </row>
    <row r="86" spans="2:6" ht="16.5" thickBot="1" x14ac:dyDescent="0.3">
      <c r="B86" s="1"/>
      <c r="C86" s="11"/>
      <c r="D86" s="1"/>
      <c r="E86" s="260"/>
      <c r="F86" s="221"/>
    </row>
    <row r="87" spans="2:6" ht="18.75" thickBot="1" x14ac:dyDescent="0.3">
      <c r="B87" s="216" t="s">
        <v>827</v>
      </c>
      <c r="C87" s="11"/>
      <c r="D87" s="1"/>
      <c r="E87" s="260"/>
      <c r="F87" s="221"/>
    </row>
    <row r="88" spans="2:6" ht="15.75" x14ac:dyDescent="0.25">
      <c r="B88" s="273" t="s">
        <v>802</v>
      </c>
      <c r="C88" s="218"/>
      <c r="D88" s="274" t="s">
        <v>648</v>
      </c>
      <c r="E88" s="275">
        <f ca="1">E49</f>
        <v>1855748.9366666665</v>
      </c>
      <c r="F88" s="221" t="s">
        <v>666</v>
      </c>
    </row>
    <row r="89" spans="2:6" ht="15.75" x14ac:dyDescent="0.25">
      <c r="B89" s="222" t="s">
        <v>828</v>
      </c>
      <c r="C89" s="262"/>
      <c r="D89" s="267" t="s">
        <v>805</v>
      </c>
      <c r="E89" s="276">
        <f ca="1">E55</f>
        <v>518866.66666666669</v>
      </c>
      <c r="F89" s="221" t="s">
        <v>669</v>
      </c>
    </row>
    <row r="90" spans="2:6" ht="15.75" x14ac:dyDescent="0.25">
      <c r="B90" s="222" t="str">
        <f>B72</f>
        <v>Grossed-Up Taxes/PILs</v>
      </c>
      <c r="C90" s="262"/>
      <c r="D90" s="267" t="s">
        <v>663</v>
      </c>
      <c r="E90" s="276">
        <f ca="1">E72</f>
        <v>-214051.98597732431</v>
      </c>
      <c r="F90" s="221" t="s">
        <v>829</v>
      </c>
    </row>
    <row r="91" spans="2:6" ht="15.75" x14ac:dyDescent="0.25">
      <c r="B91" s="222"/>
      <c r="C91" s="262"/>
      <c r="D91" s="267"/>
      <c r="E91" s="263"/>
      <c r="F91" s="221"/>
    </row>
    <row r="92" spans="2:6" ht="15.75" x14ac:dyDescent="0.25">
      <c r="B92" s="222"/>
      <c r="C92" s="262"/>
      <c r="D92" s="230"/>
      <c r="E92" s="263"/>
      <c r="F92" s="221"/>
    </row>
    <row r="93" spans="2:6" ht="16.5" thickBot="1" x14ac:dyDescent="0.3">
      <c r="B93" s="222" t="s">
        <v>827</v>
      </c>
      <c r="C93" s="262"/>
      <c r="D93" s="230"/>
      <c r="E93" s="277">
        <f ca="1">SUM(E88:E90)</f>
        <v>2160563.6173560089</v>
      </c>
      <c r="F93" s="221" t="s">
        <v>830</v>
      </c>
    </row>
    <row r="94" spans="2:6" ht="16.5" thickBot="1" x14ac:dyDescent="0.3">
      <c r="B94" s="259"/>
      <c r="C94" s="264"/>
      <c r="D94" s="265"/>
      <c r="E94" s="269"/>
      <c r="F94" s="221"/>
    </row>
    <row r="95" spans="2:6" ht="15.75" x14ac:dyDescent="0.25">
      <c r="E95" s="278"/>
    </row>
    <row r="96" spans="2:6" ht="15.75" x14ac:dyDescent="0.25">
      <c r="E96" s="278"/>
    </row>
  </sheetData>
  <sheetProtection algorithmName="SHA-512" hashValue="zIsJCN88o0s5QYJYw6K63rGJVbmbI1DBV56cNTi6+h3FpJMOE+c5I9CowiqcmAJWAbOS9jOfQ9AJnzHDYVNK0A==" saltValue="Q+p4G9E/Kcu0JKj+iVKPBg==" spinCount="100000" sheet="1" objects="1" scenarios="1"/>
  <mergeCells count="3">
    <mergeCell ref="C24:E24"/>
    <mergeCell ref="B29:F29"/>
    <mergeCell ref="F23:H24"/>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2:Z50"/>
  <sheetViews>
    <sheetView showGridLines="0" topLeftCell="A7" zoomScaleNormal="100" workbookViewId="0">
      <selection activeCell="L19" sqref="L19"/>
    </sheetView>
  </sheetViews>
  <sheetFormatPr defaultRowHeight="15" x14ac:dyDescent="0.25"/>
  <cols>
    <col min="1" max="1" width="49.42578125" customWidth="1"/>
    <col min="2" max="2" width="4.140625" customWidth="1"/>
    <col min="3" max="3" width="19.85546875" customWidth="1"/>
    <col min="4" max="4" width="22" customWidth="1"/>
    <col min="5" max="5" width="18.42578125" customWidth="1"/>
    <col min="6" max="7" width="22" customWidth="1"/>
    <col min="8" max="8" width="27.5703125" customWidth="1"/>
    <col min="9" max="9" width="15.42578125" bestFit="1" customWidth="1"/>
    <col min="10" max="10" width="3.42578125" customWidth="1"/>
    <col min="11" max="11" width="22" customWidth="1"/>
    <col min="12" max="12" width="17.42578125" customWidth="1"/>
    <col min="13" max="13" width="11.5703125" bestFit="1" customWidth="1"/>
    <col min="14" max="14" width="2.42578125" customWidth="1"/>
    <col min="15" max="15" width="20.140625" customWidth="1"/>
    <col min="16" max="16" width="24.5703125" customWidth="1"/>
    <col min="17" max="17" width="22.5703125" customWidth="1"/>
    <col min="18" max="18" width="18.5703125" customWidth="1"/>
    <col min="19" max="20" width="20" customWidth="1"/>
  </cols>
  <sheetData>
    <row r="12" spans="1:20" ht="15.75" thickBot="1" x14ac:dyDescent="0.3"/>
    <row r="13" spans="1:20" ht="22.5" thickTop="1" thickBot="1" x14ac:dyDescent="0.3">
      <c r="A13" s="517" t="s">
        <v>831</v>
      </c>
      <c r="B13" s="517"/>
      <c r="C13" s="517"/>
      <c r="D13" s="517"/>
      <c r="E13" s="457" t="s">
        <v>843</v>
      </c>
      <c r="F13" s="458"/>
    </row>
    <row r="14" spans="1:20" ht="43.5" customHeight="1" x14ac:dyDescent="0.25"/>
    <row r="15" spans="1:20" s="118" customFormat="1" ht="47.25" x14ac:dyDescent="0.25">
      <c r="A15" s="280" t="s">
        <v>593</v>
      </c>
      <c r="B15" s="110"/>
      <c r="C15" s="110" t="s">
        <v>605</v>
      </c>
      <c r="D15" s="110" t="s">
        <v>832</v>
      </c>
      <c r="E15" s="110" t="s">
        <v>833</v>
      </c>
      <c r="F15" s="110" t="s">
        <v>601</v>
      </c>
      <c r="G15" s="110" t="s">
        <v>834</v>
      </c>
      <c r="H15" s="110" t="s">
        <v>835</v>
      </c>
      <c r="I15" s="110" t="s">
        <v>836</v>
      </c>
      <c r="J15" s="110"/>
      <c r="K15" s="110" t="s">
        <v>594</v>
      </c>
      <c r="L15" s="110" t="s">
        <v>595</v>
      </c>
      <c r="M15" s="110" t="s">
        <v>704</v>
      </c>
      <c r="N15" s="110"/>
      <c r="O15" s="110" t="s">
        <v>884</v>
      </c>
      <c r="P15" s="110" t="s">
        <v>885</v>
      </c>
      <c r="Q15" s="110" t="s">
        <v>886</v>
      </c>
      <c r="R15" s="110"/>
      <c r="S15" s="110"/>
      <c r="T15" s="110"/>
    </row>
    <row r="16" spans="1:20" s="118" customFormat="1" ht="17.25" customHeight="1" x14ac:dyDescent="0.25">
      <c r="A16" s="110"/>
      <c r="B16" s="110"/>
      <c r="C16" s="281" t="s">
        <v>842</v>
      </c>
      <c r="D16" s="281" t="s">
        <v>842</v>
      </c>
      <c r="E16" s="281" t="s">
        <v>842</v>
      </c>
      <c r="F16" s="282" t="s">
        <v>837</v>
      </c>
      <c r="G16" s="282" t="s">
        <v>838</v>
      </c>
      <c r="H16" s="282" t="s">
        <v>839</v>
      </c>
      <c r="I16" s="283" t="s">
        <v>840</v>
      </c>
      <c r="J16" s="284"/>
      <c r="K16" s="281" t="s">
        <v>841</v>
      </c>
      <c r="L16" s="281" t="s">
        <v>841</v>
      </c>
      <c r="M16" s="281" t="s">
        <v>841</v>
      </c>
      <c r="N16" s="284"/>
      <c r="O16" s="282" t="s">
        <v>887</v>
      </c>
      <c r="P16" s="282" t="s">
        <v>888</v>
      </c>
      <c r="Q16" s="282" t="s">
        <v>889</v>
      </c>
      <c r="R16"/>
      <c r="S16"/>
      <c r="T16" s="285"/>
    </row>
    <row r="17" spans="1:26" x14ac:dyDescent="0.25">
      <c r="A17" s="390" t="s">
        <v>77</v>
      </c>
      <c r="B17" s="390"/>
      <c r="C17" s="410">
        <f>'7. Revenue Proportions'!P17</f>
        <v>0.68694096208033617</v>
      </c>
      <c r="D17" s="410">
        <f>'7. Revenue Proportions'!Q17</f>
        <v>0</v>
      </c>
      <c r="E17" s="410">
        <f>'7. Revenue Proportions'!R17</f>
        <v>0</v>
      </c>
      <c r="F17" s="406">
        <f ca="1">ROUND(C17*I24, 2)</f>
        <v>1484179.65</v>
      </c>
      <c r="G17" s="406">
        <f ca="1">ROUND(D17*I24, 2)</f>
        <v>0</v>
      </c>
      <c r="H17" s="406">
        <f ca="1">ROUND(E17*I24, 2)</f>
        <v>0</v>
      </c>
      <c r="I17" s="406">
        <f t="shared" ref="I17:I22" ca="1" si="0">ROUND(F17+G17+H17, 2)</f>
        <v>1484179.65</v>
      </c>
      <c r="J17" s="392"/>
      <c r="K17" s="391">
        <f>'3. Growth Factor - NUM_CALC1'!C17</f>
        <v>43441</v>
      </c>
      <c r="L17" s="391">
        <f>'3. Growth Factor - NUM_CALC1'!D17</f>
        <v>394692740</v>
      </c>
      <c r="M17" s="391">
        <f>'3. Growth Factor - NUM_CALC1'!E17</f>
        <v>0</v>
      </c>
      <c r="N17" s="392"/>
      <c r="O17" s="405">
        <f ca="1">IF(ISERROR(ROUND(I17 / K17 / 12, 2)),0,ROUND(I17 / K17 / 12, 2))</f>
        <v>2.85</v>
      </c>
      <c r="P17" s="416">
        <v>0</v>
      </c>
      <c r="Q17" s="416">
        <v>0</v>
      </c>
      <c r="R17" s="415" t="s">
        <v>890</v>
      </c>
    </row>
    <row r="18" spans="1:26" x14ac:dyDescent="0.25">
      <c r="A18" s="157" t="s">
        <v>86</v>
      </c>
      <c r="B18" s="157"/>
      <c r="C18" s="411">
        <f>'7. Revenue Proportions'!P18</f>
        <v>3.1232596467840292E-2</v>
      </c>
      <c r="D18" s="411">
        <f>'7. Revenue Proportions'!Q18</f>
        <v>6.8311622422375845E-2</v>
      </c>
      <c r="E18" s="411">
        <f>'7. Revenue Proportions'!R18</f>
        <v>0</v>
      </c>
      <c r="F18" s="408">
        <f ca="1">ROUND(C18*I24, 2)</f>
        <v>67480.009999999995</v>
      </c>
      <c r="G18" s="408">
        <f ca="1">ROUND(D18*I24, 2)</f>
        <v>147591.60999999999</v>
      </c>
      <c r="H18" s="408">
        <f ca="1">ROUND(E18*I24, 2)</f>
        <v>0</v>
      </c>
      <c r="I18" s="408">
        <f t="shared" ca="1" si="0"/>
        <v>215071.62</v>
      </c>
      <c r="J18" s="158"/>
      <c r="K18" s="397">
        <f>'3. Growth Factor - NUM_CALC1'!C18</f>
        <v>2350</v>
      </c>
      <c r="L18" s="397">
        <f>'3. Growth Factor - NUM_CALC1'!D18</f>
        <v>83266323</v>
      </c>
      <c r="M18" s="397">
        <f>'3. Growth Factor - NUM_CALC1'!E18</f>
        <v>0</v>
      </c>
      <c r="N18" s="158"/>
      <c r="O18" s="407">
        <f ca="1">IF(ISERROR(ROUND(F18 / K18 / 12, 2)),0,ROUND(F18 / K18 / 12, 2))</f>
        <v>2.39</v>
      </c>
      <c r="P18" s="417">
        <f t="shared" ref="P18:Q22" ca="1" si="1">IF(ISERROR(ROUND(G18 / L18, 4)),0,ROUND(G18 / L18, 4))</f>
        <v>1.8E-3</v>
      </c>
      <c r="Q18" s="417">
        <f t="shared" ca="1" si="1"/>
        <v>0</v>
      </c>
    </row>
    <row r="19" spans="1:26" x14ac:dyDescent="0.25">
      <c r="A19" s="157" t="s">
        <v>89</v>
      </c>
      <c r="B19" s="157"/>
      <c r="C19" s="411">
        <f>'7. Revenue Proportions'!P19</f>
        <v>4.028991691749393E-2</v>
      </c>
      <c r="D19" s="411">
        <f>'7. Revenue Proportions'!Q19</f>
        <v>0</v>
      </c>
      <c r="E19" s="411">
        <f>'7. Revenue Proportions'!R19</f>
        <v>0.15427209587876256</v>
      </c>
      <c r="F19" s="408">
        <f ca="1">ROUND(C19*I24, 2)</f>
        <v>87048.93</v>
      </c>
      <c r="G19" s="408">
        <f ca="1">ROUND(D19*I24, 2)</f>
        <v>0</v>
      </c>
      <c r="H19" s="408">
        <f ca="1">ROUND(E19*I24, 2)</f>
        <v>333314.68</v>
      </c>
      <c r="I19" s="408">
        <f t="shared" ca="1" si="0"/>
        <v>420363.61</v>
      </c>
      <c r="J19" s="158"/>
      <c r="K19" s="397">
        <f>'3. Growth Factor - NUM_CALC1'!C19</f>
        <v>398</v>
      </c>
      <c r="L19" s="397">
        <f>'3. Growth Factor - NUM_CALC1'!D19</f>
        <v>0</v>
      </c>
      <c r="M19" s="397">
        <f>'3. Growth Factor - NUM_CALC1'!E19</f>
        <v>915640</v>
      </c>
      <c r="N19" s="158"/>
      <c r="O19" s="407">
        <f ca="1">IF(ISERROR(ROUND(F19 / K19 / 12, 2)),0,ROUND(F19 / K19 / 12, 2))</f>
        <v>18.23</v>
      </c>
      <c r="P19" s="417">
        <f t="shared" ca="1" si="1"/>
        <v>0</v>
      </c>
      <c r="Q19" s="417">
        <f t="shared" ca="1" si="1"/>
        <v>0.36399999999999999</v>
      </c>
    </row>
    <row r="20" spans="1:26" x14ac:dyDescent="0.25">
      <c r="A20" s="157" t="s">
        <v>123</v>
      </c>
      <c r="B20" s="157"/>
      <c r="C20" s="411">
        <f>'7. Revenue Proportions'!P20</f>
        <v>1.9295788519138528E-3</v>
      </c>
      <c r="D20" s="411">
        <f>'7. Revenue Proportions'!Q20</f>
        <v>2.4258832750799616E-3</v>
      </c>
      <c r="E20" s="411">
        <f>'7. Revenue Proportions'!R20</f>
        <v>0</v>
      </c>
      <c r="F20" s="408">
        <f ca="1">ROUND(C20*I24, 2)</f>
        <v>4168.9799999999996</v>
      </c>
      <c r="G20" s="408">
        <f ca="1">ROUND(D20*I24, 2)</f>
        <v>5241.28</v>
      </c>
      <c r="H20" s="408">
        <f ca="1">ROUND(E20*I24, 2)</f>
        <v>0</v>
      </c>
      <c r="I20" s="408">
        <f t="shared" ca="1" si="0"/>
        <v>9410.26</v>
      </c>
      <c r="J20" s="158"/>
      <c r="K20" s="397">
        <f>'3. Growth Factor - NUM_CALC1'!C20</f>
        <v>392</v>
      </c>
      <c r="L20" s="397">
        <f>'3. Growth Factor - NUM_CALC1'!D20</f>
        <v>1852550</v>
      </c>
      <c r="M20" s="397">
        <f>'3. Growth Factor - NUM_CALC1'!E20</f>
        <v>0</v>
      </c>
      <c r="N20" s="158"/>
      <c r="O20" s="407">
        <f ca="1">IF(ISERROR(ROUND(F20 / K20 / 12, 2)),0,ROUND(F20 / K20 / 12, 2))</f>
        <v>0.89</v>
      </c>
      <c r="P20" s="417">
        <f t="shared" ca="1" si="1"/>
        <v>2.8E-3</v>
      </c>
      <c r="Q20" s="417">
        <f t="shared" ca="1" si="1"/>
        <v>0</v>
      </c>
    </row>
    <row r="21" spans="1:26" x14ac:dyDescent="0.25">
      <c r="A21" s="157" t="s">
        <v>132</v>
      </c>
      <c r="B21" s="157"/>
      <c r="C21" s="411">
        <f>'7. Revenue Proportions'!P21</f>
        <v>1.3591963277671237E-4</v>
      </c>
      <c r="D21" s="411">
        <f>'7. Revenue Proportions'!Q21</f>
        <v>0</v>
      </c>
      <c r="E21" s="411">
        <f>'7. Revenue Proportions'!R21</f>
        <v>4.6054835076513097E-5</v>
      </c>
      <c r="F21" s="408">
        <f ca="1">ROUND(C21*I24, 2)</f>
        <v>293.66000000000003</v>
      </c>
      <c r="G21" s="408">
        <f ca="1">ROUND(D21*I24, 2)</f>
        <v>0</v>
      </c>
      <c r="H21" s="408">
        <f ca="1">ROUND(E21*I24, 2)</f>
        <v>99.5</v>
      </c>
      <c r="I21" s="408">
        <f t="shared" ca="1" si="0"/>
        <v>393.16</v>
      </c>
      <c r="J21" s="158"/>
      <c r="K21" s="397">
        <f>'3. Growth Factor - NUM_CALC1'!C21</f>
        <v>47</v>
      </c>
      <c r="L21" s="397">
        <f>'3. Growth Factor - NUM_CALC1'!D21</f>
        <v>0</v>
      </c>
      <c r="M21" s="397">
        <f>'3. Growth Factor - NUM_CALC1'!E21</f>
        <v>71</v>
      </c>
      <c r="N21" s="158"/>
      <c r="O21" s="407">
        <f ca="1">IF(ISERROR(ROUND(F21 / K21 / 12, 2)),0,ROUND(F21 / K21 / 12, 2))</f>
        <v>0.52</v>
      </c>
      <c r="P21" s="417">
        <f t="shared" ca="1" si="1"/>
        <v>0</v>
      </c>
      <c r="Q21" s="417">
        <f t="shared" ca="1" si="1"/>
        <v>1.4014</v>
      </c>
    </row>
    <row r="22" spans="1:26" x14ac:dyDescent="0.25">
      <c r="A22" s="157" t="s">
        <v>68</v>
      </c>
      <c r="B22" s="157"/>
      <c r="C22" s="411">
        <f>'7. Revenue Proportions'!P22</f>
        <v>1.1758049279944205E-2</v>
      </c>
      <c r="D22" s="411">
        <f>'7. Revenue Proportions'!Q22</f>
        <v>0</v>
      </c>
      <c r="E22" s="411">
        <f>'7. Revenue Proportions'!R22</f>
        <v>2.6573203584000036E-3</v>
      </c>
      <c r="F22" s="408">
        <f ca="1">ROUND(C22*I24, 2)</f>
        <v>25404.01</v>
      </c>
      <c r="G22" s="408">
        <f ca="1">ROUND(D22*I24, 2)</f>
        <v>0</v>
      </c>
      <c r="H22" s="408">
        <f ca="1">ROUND(E22*I24, 2)</f>
        <v>5741.31</v>
      </c>
      <c r="I22" s="408">
        <f t="shared" ca="1" si="0"/>
        <v>31145.32</v>
      </c>
      <c r="J22" s="158"/>
      <c r="K22" s="397">
        <f>'3. Growth Factor - NUM_CALC1'!C22</f>
        <v>13214</v>
      </c>
      <c r="L22" s="397">
        <f>'3. Growth Factor - NUM_CALC1'!D22</f>
        <v>0</v>
      </c>
      <c r="M22" s="397">
        <f>'3. Growth Factor - NUM_CALC1'!E22</f>
        <v>9363</v>
      </c>
      <c r="N22" s="158"/>
      <c r="O22" s="407">
        <f ca="1">IF(ISERROR(ROUND(F22 / K22 / 12, 2)),0,ROUND(F22 / K22 / 12, 2))</f>
        <v>0.16</v>
      </c>
      <c r="P22" s="417">
        <f t="shared" ca="1" si="1"/>
        <v>0</v>
      </c>
      <c r="Q22" s="417">
        <f t="shared" ca="1" si="1"/>
        <v>0.61319999999999997</v>
      </c>
    </row>
    <row r="23" spans="1:26" x14ac:dyDescent="0.25">
      <c r="A23" s="119" t="s">
        <v>767</v>
      </c>
      <c r="B23" s="119"/>
      <c r="C23" s="412">
        <f t="shared" ref="C23:I23" si="2">SUM(C17:C22)</f>
        <v>0.77228702323030507</v>
      </c>
      <c r="D23" s="412">
        <f t="shared" si="2"/>
        <v>7.0737505697455808E-2</v>
      </c>
      <c r="E23" s="412">
        <f t="shared" si="2"/>
        <v>0.15697547107223908</v>
      </c>
      <c r="F23" s="409">
        <f t="shared" ca="1" si="2"/>
        <v>1668575.2399999998</v>
      </c>
      <c r="G23" s="409">
        <f t="shared" ca="1" si="2"/>
        <v>152832.88999999998</v>
      </c>
      <c r="H23" s="409">
        <f t="shared" ca="1" si="2"/>
        <v>339155.49</v>
      </c>
      <c r="I23" s="409">
        <f t="shared" ca="1" si="2"/>
        <v>2160563.6199999996</v>
      </c>
      <c r="J23" s="120"/>
      <c r="K23" s="409">
        <f>SUM(K17:K22)</f>
        <v>59842</v>
      </c>
      <c r="L23" s="409">
        <f>SUM(L17:L22)</f>
        <v>479811613</v>
      </c>
      <c r="M23" s="409">
        <f>SUM(M17:M22)</f>
        <v>925074</v>
      </c>
      <c r="N23" s="120"/>
      <c r="O23" s="120"/>
      <c r="P23" s="120"/>
      <c r="Q23" s="120"/>
      <c r="R23" s="117"/>
      <c r="S23" s="117"/>
      <c r="T23" s="117"/>
      <c r="U23" s="117"/>
      <c r="V23" s="117"/>
      <c r="W23" s="117"/>
      <c r="X23" s="117"/>
      <c r="Y23" s="117"/>
      <c r="Z23" s="117"/>
    </row>
    <row r="24" spans="1:26" x14ac:dyDescent="0.25">
      <c r="C24" s="123"/>
      <c r="D24" s="123"/>
      <c r="E24" s="123"/>
      <c r="F24" s="123"/>
      <c r="G24" s="123"/>
      <c r="H24" s="123"/>
      <c r="I24" s="414">
        <f ca="1">'10. Incremental Capital Adj.'!E93</f>
        <v>2160563.6173560089</v>
      </c>
      <c r="J24" s="123"/>
      <c r="K24" s="123"/>
      <c r="L24" s="123"/>
      <c r="M24" s="123"/>
      <c r="N24" s="123"/>
      <c r="O24" s="123"/>
      <c r="P24" s="123"/>
      <c r="Q24" s="123"/>
    </row>
    <row r="25" spans="1:26" x14ac:dyDescent="0.25">
      <c r="C25" s="123"/>
      <c r="D25" s="123"/>
      <c r="E25" s="123"/>
      <c r="F25" s="123"/>
      <c r="G25" s="123"/>
      <c r="H25" s="123"/>
      <c r="I25" s="413" t="s">
        <v>883</v>
      </c>
      <c r="J25" s="123"/>
      <c r="K25" s="123"/>
      <c r="L25" s="123"/>
      <c r="M25" s="123"/>
      <c r="N25" s="123"/>
      <c r="O25" s="123"/>
      <c r="P25" s="123"/>
      <c r="Q25" s="123"/>
    </row>
    <row r="26" spans="1:26" x14ac:dyDescent="0.25">
      <c r="C26" s="123"/>
      <c r="D26" s="123"/>
      <c r="E26" s="123"/>
      <c r="F26" s="123"/>
      <c r="G26" s="123"/>
      <c r="H26" s="123"/>
      <c r="I26" s="123"/>
      <c r="J26" s="123"/>
      <c r="K26" s="123"/>
      <c r="L26" s="123"/>
      <c r="M26" s="123"/>
      <c r="N26" s="123"/>
      <c r="O26" s="123"/>
      <c r="P26" s="123"/>
      <c r="Q26" s="123"/>
    </row>
    <row r="27" spans="1:26" x14ac:dyDescent="0.25">
      <c r="C27" s="123"/>
      <c r="D27" s="123"/>
      <c r="E27" s="123"/>
      <c r="F27" s="123"/>
      <c r="G27" s="123"/>
      <c r="H27" s="123"/>
      <c r="I27" s="123"/>
      <c r="J27" s="123"/>
      <c r="K27" s="123"/>
      <c r="L27" s="123"/>
      <c r="M27" s="123"/>
      <c r="N27" s="123"/>
      <c r="O27" s="123"/>
      <c r="P27" s="123"/>
      <c r="Q27" s="123"/>
    </row>
    <row r="28" spans="1:26" x14ac:dyDescent="0.25">
      <c r="C28" s="123"/>
      <c r="D28" s="123"/>
      <c r="E28" s="123"/>
      <c r="F28" s="123"/>
      <c r="G28" s="123"/>
      <c r="H28" s="123"/>
      <c r="I28" s="123"/>
      <c r="J28" s="123"/>
      <c r="K28" s="123"/>
      <c r="L28" s="123"/>
      <c r="M28" s="123"/>
      <c r="N28" s="123"/>
      <c r="O28" s="123"/>
      <c r="P28" s="123"/>
      <c r="Q28" s="123"/>
    </row>
    <row r="29" spans="1:26" x14ac:dyDescent="0.25">
      <c r="C29" s="123"/>
      <c r="D29" s="123"/>
      <c r="E29" s="123"/>
      <c r="F29" s="123"/>
      <c r="G29" s="123"/>
      <c r="H29" s="123"/>
      <c r="I29" s="123"/>
      <c r="J29" s="123"/>
      <c r="K29" s="123"/>
      <c r="L29" s="123"/>
      <c r="M29" s="123"/>
      <c r="N29" s="123"/>
      <c r="O29" s="123"/>
      <c r="P29" s="123"/>
      <c r="Q29" s="123"/>
    </row>
    <row r="30" spans="1:26" x14ac:dyDescent="0.25">
      <c r="C30" s="123"/>
      <c r="D30" s="123"/>
      <c r="E30" s="123"/>
      <c r="F30" s="123"/>
      <c r="G30" s="123"/>
      <c r="H30" s="123"/>
      <c r="I30" s="123"/>
      <c r="J30" s="123"/>
      <c r="K30" s="123"/>
      <c r="L30" s="123"/>
      <c r="M30" s="123"/>
      <c r="N30" s="123"/>
      <c r="O30" s="123"/>
      <c r="P30" s="123"/>
      <c r="Q30" s="123"/>
    </row>
    <row r="31" spans="1:26" x14ac:dyDescent="0.25">
      <c r="C31" s="123"/>
      <c r="D31" s="123"/>
      <c r="E31" s="123"/>
      <c r="F31" s="123"/>
      <c r="G31" s="123"/>
      <c r="H31" s="123"/>
      <c r="I31" s="123"/>
      <c r="J31" s="123"/>
      <c r="K31" s="123"/>
      <c r="L31" s="123"/>
      <c r="M31" s="123"/>
      <c r="N31" s="123"/>
      <c r="O31" s="123"/>
      <c r="P31" s="123"/>
      <c r="Q31" s="123"/>
    </row>
    <row r="32" spans="1:26" x14ac:dyDescent="0.25">
      <c r="C32" s="123"/>
      <c r="D32" s="123"/>
      <c r="E32" s="123"/>
      <c r="F32" s="123"/>
      <c r="G32" s="123"/>
      <c r="H32" s="123"/>
      <c r="I32" s="123"/>
      <c r="J32" s="123"/>
      <c r="K32" s="123"/>
      <c r="L32" s="123"/>
      <c r="M32" s="123"/>
      <c r="N32" s="123"/>
      <c r="O32" s="123"/>
      <c r="P32" s="123"/>
      <c r="Q32" s="123"/>
    </row>
    <row r="33" spans="3:17" x14ac:dyDescent="0.25">
      <c r="C33" s="123"/>
      <c r="D33" s="123"/>
      <c r="E33" s="123"/>
      <c r="F33" s="123"/>
      <c r="G33" s="123"/>
      <c r="H33" s="123"/>
      <c r="I33" s="123"/>
      <c r="J33" s="123"/>
      <c r="K33" s="123"/>
      <c r="L33" s="123"/>
      <c r="M33" s="123"/>
      <c r="N33" s="123"/>
      <c r="O33" s="123"/>
      <c r="P33" s="123"/>
      <c r="Q33" s="123"/>
    </row>
    <row r="34" spans="3:17" x14ac:dyDescent="0.25">
      <c r="C34" s="123"/>
      <c r="D34" s="123"/>
      <c r="E34" s="123"/>
      <c r="F34" s="123"/>
      <c r="G34" s="123"/>
      <c r="H34" s="123"/>
      <c r="I34" s="123"/>
      <c r="J34" s="123"/>
      <c r="K34" s="123"/>
      <c r="L34" s="123"/>
      <c r="M34" s="123"/>
      <c r="N34" s="123"/>
      <c r="O34" s="123"/>
      <c r="P34" s="123"/>
      <c r="Q34" s="123"/>
    </row>
    <row r="35" spans="3:17" x14ac:dyDescent="0.25">
      <c r="C35" s="123"/>
      <c r="D35" s="123"/>
      <c r="E35" s="123"/>
      <c r="F35" s="123"/>
      <c r="G35" s="123"/>
      <c r="H35" s="123"/>
      <c r="I35" s="123"/>
      <c r="J35" s="123"/>
      <c r="K35" s="123"/>
      <c r="L35" s="123"/>
      <c r="M35" s="123"/>
      <c r="N35" s="123"/>
      <c r="O35" s="123"/>
      <c r="P35" s="123"/>
      <c r="Q35" s="123"/>
    </row>
    <row r="36" spans="3:17" x14ac:dyDescent="0.25">
      <c r="C36" s="123"/>
      <c r="D36" s="123"/>
      <c r="E36" s="123"/>
      <c r="F36" s="123"/>
      <c r="G36" s="123"/>
      <c r="H36" s="123"/>
      <c r="I36" s="123"/>
      <c r="J36" s="123"/>
      <c r="K36" s="123"/>
      <c r="L36" s="123"/>
      <c r="M36" s="123"/>
      <c r="N36" s="123"/>
      <c r="O36" s="123"/>
      <c r="P36" s="123"/>
      <c r="Q36" s="123"/>
    </row>
    <row r="37" spans="3:17" x14ac:dyDescent="0.25">
      <c r="C37" s="123"/>
      <c r="D37" s="123"/>
      <c r="E37" s="123"/>
      <c r="F37" s="123"/>
      <c r="G37" s="123"/>
      <c r="H37" s="123"/>
      <c r="I37" s="123"/>
      <c r="J37" s="123"/>
      <c r="K37" s="123"/>
      <c r="L37" s="123"/>
      <c r="M37" s="123"/>
      <c r="N37" s="123"/>
      <c r="O37" s="123"/>
      <c r="P37" s="123"/>
      <c r="Q37" s="123"/>
    </row>
    <row r="38" spans="3:17" x14ac:dyDescent="0.25">
      <c r="C38" s="123"/>
      <c r="D38" s="123"/>
      <c r="E38" s="123"/>
      <c r="F38" s="123"/>
      <c r="G38" s="123"/>
      <c r="H38" s="123"/>
      <c r="I38" s="123"/>
      <c r="J38" s="123"/>
      <c r="K38" s="123"/>
      <c r="L38" s="123"/>
      <c r="M38" s="123"/>
      <c r="N38" s="123"/>
      <c r="O38" s="123"/>
      <c r="P38" s="123"/>
      <c r="Q38" s="123"/>
    </row>
    <row r="39" spans="3:17" x14ac:dyDescent="0.25">
      <c r="C39" s="123"/>
      <c r="D39" s="123"/>
      <c r="E39" s="123"/>
      <c r="F39" s="123"/>
      <c r="G39" s="123"/>
      <c r="H39" s="123"/>
      <c r="I39" s="123"/>
      <c r="J39" s="123"/>
      <c r="K39" s="123"/>
      <c r="L39" s="123"/>
      <c r="M39" s="123"/>
      <c r="N39" s="123"/>
      <c r="O39" s="123"/>
      <c r="P39" s="123"/>
      <c r="Q39" s="123"/>
    </row>
    <row r="40" spans="3:17" x14ac:dyDescent="0.25">
      <c r="C40" s="123"/>
      <c r="D40" s="123"/>
      <c r="E40" s="123"/>
      <c r="F40" s="123"/>
      <c r="G40" s="123"/>
      <c r="H40" s="123"/>
      <c r="I40" s="123"/>
      <c r="J40" s="123"/>
      <c r="K40" s="123"/>
      <c r="L40" s="123"/>
      <c r="M40" s="123"/>
      <c r="N40" s="123"/>
      <c r="O40" s="123"/>
      <c r="P40" s="123"/>
      <c r="Q40" s="123"/>
    </row>
    <row r="41" spans="3:17" x14ac:dyDescent="0.25">
      <c r="C41" s="123"/>
      <c r="D41" s="123"/>
      <c r="E41" s="123"/>
      <c r="F41" s="123"/>
      <c r="G41" s="123"/>
      <c r="H41" s="123"/>
      <c r="I41" s="123"/>
      <c r="J41" s="123"/>
      <c r="K41" s="123"/>
      <c r="L41" s="123"/>
      <c r="M41" s="123"/>
      <c r="N41" s="123"/>
      <c r="O41" s="123"/>
      <c r="P41" s="123"/>
      <c r="Q41" s="123"/>
    </row>
    <row r="42" spans="3:17" x14ac:dyDescent="0.25">
      <c r="C42" s="123"/>
      <c r="D42" s="123"/>
      <c r="E42" s="123"/>
      <c r="F42" s="123"/>
      <c r="G42" s="123"/>
      <c r="H42" s="123"/>
      <c r="I42" s="123"/>
      <c r="J42" s="123"/>
      <c r="K42" s="123"/>
      <c r="L42" s="123"/>
      <c r="M42" s="123"/>
      <c r="N42" s="123"/>
      <c r="O42" s="123"/>
      <c r="P42" s="123"/>
      <c r="Q42" s="123"/>
    </row>
    <row r="43" spans="3:17" x14ac:dyDescent="0.25">
      <c r="C43" s="123"/>
      <c r="D43" s="123"/>
      <c r="E43" s="123"/>
      <c r="F43" s="123"/>
      <c r="G43" s="123"/>
      <c r="H43" s="123"/>
      <c r="I43" s="123"/>
      <c r="J43" s="123"/>
      <c r="K43" s="123"/>
      <c r="L43" s="123"/>
      <c r="M43" s="123"/>
      <c r="N43" s="123"/>
      <c r="O43" s="123"/>
      <c r="P43" s="123"/>
      <c r="Q43" s="123"/>
    </row>
    <row r="44" spans="3:17" x14ac:dyDescent="0.25">
      <c r="C44" s="123"/>
      <c r="D44" s="123"/>
      <c r="E44" s="123"/>
      <c r="F44" s="123"/>
      <c r="G44" s="123"/>
      <c r="H44" s="123"/>
      <c r="I44" s="123"/>
      <c r="J44" s="123"/>
      <c r="K44" s="123"/>
      <c r="L44" s="123"/>
      <c r="M44" s="123"/>
      <c r="N44" s="123"/>
      <c r="O44" s="123"/>
      <c r="P44" s="123"/>
      <c r="Q44" s="123"/>
    </row>
    <row r="45" spans="3:17" x14ac:dyDescent="0.25">
      <c r="C45" s="123"/>
      <c r="D45" s="123"/>
      <c r="E45" s="123"/>
      <c r="F45" s="123"/>
      <c r="G45" s="123"/>
      <c r="H45" s="123"/>
      <c r="I45" s="123"/>
      <c r="J45" s="123"/>
      <c r="K45" s="123"/>
      <c r="L45" s="123"/>
      <c r="M45" s="123"/>
      <c r="N45" s="123"/>
      <c r="O45" s="123"/>
      <c r="P45" s="123"/>
      <c r="Q45" s="123"/>
    </row>
    <row r="46" spans="3:17" x14ac:dyDescent="0.25">
      <c r="C46" s="123"/>
      <c r="D46" s="123"/>
      <c r="E46" s="123"/>
      <c r="F46" s="123"/>
      <c r="G46" s="123"/>
      <c r="H46" s="123"/>
      <c r="I46" s="123"/>
      <c r="J46" s="123"/>
      <c r="K46" s="123"/>
      <c r="L46" s="123"/>
      <c r="M46" s="123"/>
      <c r="N46" s="123"/>
      <c r="O46" s="123"/>
      <c r="P46" s="123"/>
      <c r="Q46" s="123"/>
    </row>
    <row r="47" spans="3:17" x14ac:dyDescent="0.25">
      <c r="C47" s="123"/>
      <c r="D47" s="123"/>
      <c r="E47" s="123"/>
      <c r="F47" s="123"/>
      <c r="G47" s="123"/>
      <c r="H47" s="123"/>
      <c r="I47" s="123"/>
      <c r="J47" s="123"/>
      <c r="K47" s="123"/>
      <c r="L47" s="123"/>
      <c r="M47" s="123"/>
      <c r="N47" s="123"/>
      <c r="O47" s="123"/>
      <c r="P47" s="123"/>
      <c r="Q47" s="123"/>
    </row>
    <row r="48" spans="3:17" x14ac:dyDescent="0.25">
      <c r="C48" s="123"/>
      <c r="D48" s="123"/>
      <c r="E48" s="123"/>
      <c r="F48" s="123"/>
      <c r="G48" s="123"/>
      <c r="H48" s="123"/>
      <c r="I48" s="123"/>
      <c r="J48" s="123"/>
      <c r="K48" s="123"/>
      <c r="L48" s="123"/>
      <c r="M48" s="123"/>
      <c r="N48" s="123"/>
      <c r="O48" s="123"/>
      <c r="P48" s="123"/>
      <c r="Q48" s="123"/>
    </row>
    <row r="49" spans="3:17" x14ac:dyDescent="0.25">
      <c r="C49" s="123"/>
      <c r="D49" s="123"/>
      <c r="E49" s="123"/>
      <c r="F49" s="123"/>
      <c r="G49" s="123"/>
      <c r="H49" s="123"/>
      <c r="I49" s="123"/>
      <c r="J49" s="123"/>
      <c r="K49" s="123"/>
      <c r="L49" s="123"/>
      <c r="M49" s="123"/>
      <c r="N49" s="123"/>
      <c r="O49" s="123"/>
      <c r="P49" s="123"/>
      <c r="Q49" s="123"/>
    </row>
    <row r="50" spans="3:17" x14ac:dyDescent="0.25">
      <c r="C50" s="123"/>
      <c r="D50" s="123"/>
      <c r="E50" s="123"/>
      <c r="F50" s="123"/>
      <c r="G50" s="123"/>
      <c r="H50" s="123"/>
      <c r="I50" s="123"/>
      <c r="J50" s="123"/>
      <c r="K50" s="123"/>
      <c r="L50" s="123"/>
      <c r="M50" s="123"/>
      <c r="N50" s="123"/>
      <c r="O50" s="123"/>
      <c r="P50" s="123"/>
      <c r="Q50" s="123"/>
    </row>
  </sheetData>
  <sheetProtection algorithmName="SHA-512" hashValue="CA7WnzrckgwTRTueAfcZVJf/rzJlBFPC0v4juUEqn7Xo3w3TsluoIZKoX9FIwXxRGyg/hprr1iGXLUwUIKavvA==" saltValue="jePpyIVWiDmYknOwnkCT/w==" spinCount="100000" sheet="1" objects="1" scenarios="1"/>
  <mergeCells count="2">
    <mergeCell ref="A13:D13"/>
    <mergeCell ref="E13:F13"/>
  </mergeCells>
  <dataValidations count="1">
    <dataValidation type="list" allowBlank="1" showInputMessage="1" showErrorMessage="1" sqref="E13:F13">
      <formula1>"Fixed and Variable Rate Riders, Variable Only Rate Rider, Fixed Only Rate Rider"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I24"/>
  <sheetViews>
    <sheetView workbookViewId="0">
      <selection activeCell="F18" sqref="F18:J18"/>
    </sheetView>
  </sheetViews>
  <sheetFormatPr defaultRowHeight="15" x14ac:dyDescent="0.25"/>
  <sheetData>
    <row r="1" spans="1:9" x14ac:dyDescent="0.25">
      <c r="A1" s="157" t="s">
        <v>77</v>
      </c>
      <c r="B1" s="157"/>
      <c r="C1" s="403"/>
      <c r="D1" s="403"/>
      <c r="E1" s="403"/>
      <c r="F1" s="158"/>
      <c r="G1" s="398" t="e">
        <f>'3. Growth Factor - NUM_CALC1'!#REF!</f>
        <v>#REF!</v>
      </c>
      <c r="H1" s="399" t="e">
        <f>'3. Growth Factor - NUM_CALC1'!#REF!</f>
        <v>#REF!</v>
      </c>
      <c r="I1" s="399" t="e">
        <f>'3. Growth Factor - NUM_CALC1'!#REF!</f>
        <v>#REF!</v>
      </c>
    </row>
    <row r="2" spans="1:9" x14ac:dyDescent="0.25">
      <c r="A2" s="157" t="s">
        <v>86</v>
      </c>
      <c r="B2" s="157"/>
      <c r="C2" s="403"/>
      <c r="D2" s="403"/>
      <c r="E2" s="403"/>
      <c r="F2" s="158"/>
      <c r="G2" s="398" t="e">
        <f>'3. Growth Factor - NUM_CALC1'!#REF!</f>
        <v>#REF!</v>
      </c>
      <c r="H2" s="399" t="e">
        <f>'3. Growth Factor - NUM_CALC1'!#REF!</f>
        <v>#REF!</v>
      </c>
      <c r="I2" s="399" t="e">
        <f>'3. Growth Factor - NUM_CALC1'!#REF!</f>
        <v>#REF!</v>
      </c>
    </row>
    <row r="3" spans="1:9" x14ac:dyDescent="0.25">
      <c r="A3" s="157" t="s">
        <v>116</v>
      </c>
      <c r="B3" s="157"/>
      <c r="C3" s="403"/>
      <c r="D3" s="403"/>
      <c r="E3" s="403"/>
      <c r="F3" s="158"/>
      <c r="G3" s="398" t="e">
        <f>'3. Growth Factor - NUM_CALC1'!#REF!</f>
        <v>#REF!</v>
      </c>
      <c r="H3" s="399" t="e">
        <f>'3. Growth Factor - NUM_CALC1'!#REF!</f>
        <v>#REF!</v>
      </c>
      <c r="I3" s="399" t="e">
        <f>'3. Growth Factor - NUM_CALC1'!#REF!</f>
        <v>#REF!</v>
      </c>
    </row>
    <row r="4" spans="1:9" x14ac:dyDescent="0.25">
      <c r="A4" s="157" t="s">
        <v>123</v>
      </c>
      <c r="B4" s="157"/>
      <c r="C4" s="403"/>
      <c r="D4" s="403"/>
      <c r="E4" s="403"/>
      <c r="F4" s="158"/>
      <c r="G4" s="398" t="e">
        <f>'3. Growth Factor - NUM_CALC1'!#REF!</f>
        <v>#REF!</v>
      </c>
      <c r="H4" s="399" t="e">
        <f>'3. Growth Factor - NUM_CALC1'!#REF!</f>
        <v>#REF!</v>
      </c>
      <c r="I4" s="399" t="e">
        <f>'3. Growth Factor - NUM_CALC1'!#REF!</f>
        <v>#REF!</v>
      </c>
    </row>
    <row r="5" spans="1:9" x14ac:dyDescent="0.25">
      <c r="A5" s="119" t="s">
        <v>767</v>
      </c>
      <c r="B5" s="119"/>
      <c r="C5" s="401">
        <f>SUM(C1:C4)</f>
        <v>0</v>
      </c>
      <c r="D5" s="401">
        <f>SUM(D1:D4)</f>
        <v>0</v>
      </c>
      <c r="E5" s="401">
        <f>SUM(E1:E4)</f>
        <v>0</v>
      </c>
      <c r="F5" s="120"/>
      <c r="G5" s="120"/>
      <c r="H5" s="120"/>
      <c r="I5" s="120"/>
    </row>
    <row r="6" spans="1:9" x14ac:dyDescent="0.25">
      <c r="C6" s="123"/>
      <c r="D6" s="123"/>
      <c r="E6" s="123"/>
      <c r="F6" s="123"/>
      <c r="G6" s="123"/>
      <c r="H6" s="123"/>
      <c r="I6" s="123"/>
    </row>
    <row r="7" spans="1:9" x14ac:dyDescent="0.25">
      <c r="C7" s="123"/>
      <c r="D7" s="123"/>
      <c r="E7" s="123"/>
      <c r="F7" s="123"/>
      <c r="G7" s="123"/>
      <c r="H7" s="123"/>
      <c r="I7" s="123"/>
    </row>
    <row r="8" spans="1:9" x14ac:dyDescent="0.25">
      <c r="C8" s="123"/>
      <c r="D8" s="123"/>
      <c r="E8" s="123"/>
      <c r="F8" s="123"/>
      <c r="G8" s="123"/>
      <c r="H8" s="123"/>
      <c r="I8" s="123"/>
    </row>
    <row r="9" spans="1:9" x14ac:dyDescent="0.25">
      <c r="C9" s="123"/>
      <c r="D9" s="123"/>
      <c r="E9" s="123"/>
      <c r="F9" s="123"/>
      <c r="G9" s="123"/>
      <c r="H9" s="123"/>
      <c r="I9" s="123"/>
    </row>
    <row r="10" spans="1:9" x14ac:dyDescent="0.25">
      <c r="C10" s="123"/>
      <c r="D10" s="123"/>
      <c r="E10" s="123"/>
      <c r="F10" s="123"/>
      <c r="G10" s="123"/>
      <c r="H10" s="123"/>
      <c r="I10" s="123"/>
    </row>
    <row r="11" spans="1:9" x14ac:dyDescent="0.25">
      <c r="C11" s="123"/>
      <c r="D11" s="123"/>
      <c r="E11" s="123"/>
      <c r="F11" s="123"/>
      <c r="G11" s="123"/>
      <c r="H11" s="123"/>
      <c r="I11" s="123"/>
    </row>
    <row r="12" spans="1:9" x14ac:dyDescent="0.25">
      <c r="C12" s="123"/>
      <c r="D12" s="123"/>
      <c r="E12" s="123"/>
      <c r="F12" s="123"/>
      <c r="G12" s="123"/>
      <c r="H12" s="123"/>
      <c r="I12" s="123"/>
    </row>
    <row r="13" spans="1:9" x14ac:dyDescent="0.25">
      <c r="C13" s="123"/>
      <c r="D13" s="123"/>
      <c r="E13" s="123"/>
      <c r="F13" s="123"/>
      <c r="G13" s="123"/>
      <c r="H13" s="123"/>
      <c r="I13" s="123"/>
    </row>
    <row r="14" spans="1:9" x14ac:dyDescent="0.25">
      <c r="C14" s="123"/>
      <c r="D14" s="123"/>
      <c r="E14" s="123"/>
      <c r="F14" s="123"/>
      <c r="G14" s="123"/>
      <c r="H14" s="123"/>
      <c r="I14" s="123"/>
    </row>
    <row r="15" spans="1:9" x14ac:dyDescent="0.25">
      <c r="C15" s="123"/>
      <c r="D15" s="123"/>
      <c r="E15" s="123"/>
      <c r="F15" s="123"/>
      <c r="G15" s="123"/>
      <c r="H15" s="123"/>
      <c r="I15" s="123"/>
    </row>
    <row r="16" spans="1:9" x14ac:dyDescent="0.25">
      <c r="C16" s="123"/>
      <c r="D16" s="123"/>
      <c r="E16" s="123"/>
      <c r="F16" s="123"/>
      <c r="G16" s="123"/>
      <c r="H16" s="123"/>
      <c r="I16" s="123"/>
    </row>
    <row r="17" spans="3:9" x14ac:dyDescent="0.25">
      <c r="C17" s="123"/>
      <c r="D17" s="123"/>
      <c r="E17" s="123"/>
      <c r="F17" s="123"/>
      <c r="G17" s="123"/>
      <c r="H17" s="123"/>
      <c r="I17" s="123"/>
    </row>
    <row r="18" spans="3:9" x14ac:dyDescent="0.25">
      <c r="C18" s="123"/>
      <c r="D18" s="123"/>
      <c r="E18" s="123"/>
      <c r="F18" s="123"/>
      <c r="G18" s="123"/>
      <c r="H18" s="123"/>
      <c r="I18" s="123"/>
    </row>
    <row r="19" spans="3:9" x14ac:dyDescent="0.25">
      <c r="C19" s="123"/>
      <c r="D19" s="123"/>
      <c r="E19" s="123"/>
      <c r="F19" s="123"/>
      <c r="G19" s="123"/>
      <c r="H19" s="123"/>
      <c r="I19" s="123"/>
    </row>
    <row r="20" spans="3:9" x14ac:dyDescent="0.25">
      <c r="C20" s="123"/>
      <c r="D20" s="123"/>
      <c r="E20" s="123"/>
      <c r="F20" s="123"/>
      <c r="G20" s="123"/>
      <c r="H20" s="123"/>
      <c r="I20" s="123"/>
    </row>
    <row r="21" spans="3:9" x14ac:dyDescent="0.25">
      <c r="C21" s="123"/>
      <c r="D21" s="123"/>
      <c r="E21" s="123"/>
      <c r="F21" s="123"/>
      <c r="G21" s="123"/>
      <c r="H21" s="123"/>
      <c r="I21" s="123"/>
    </row>
    <row r="22" spans="3:9" x14ac:dyDescent="0.25">
      <c r="C22" s="123"/>
      <c r="D22" s="123"/>
      <c r="E22" s="123"/>
      <c r="F22" s="123"/>
      <c r="G22" s="123"/>
      <c r="H22" s="123"/>
      <c r="I22" s="123"/>
    </row>
    <row r="23" spans="3:9" x14ac:dyDescent="0.25">
      <c r="C23" s="123"/>
      <c r="D23" s="123"/>
      <c r="E23" s="123"/>
      <c r="F23" s="123"/>
      <c r="G23" s="123"/>
      <c r="H23" s="123"/>
      <c r="I23" s="123"/>
    </row>
    <row r="24" spans="3:9" x14ac:dyDescent="0.25">
      <c r="C24" s="123"/>
      <c r="D24" s="123"/>
      <c r="E24" s="123"/>
      <c r="F24" s="123"/>
      <c r="G24" s="123"/>
      <c r="H24" s="123"/>
      <c r="I24" s="123"/>
    </row>
  </sheetData>
  <sheetProtection algorithmName="SHA-512" hashValue="Uw7E8/DA7TzdF9Vx8nS7NoPglgEHV1sLHsuNqOsrjBM8oV3zOxQob9Njq+ZjE7WwgfH0hvmYU8WRAW9u+f7HXQ==" saltValue="v0IbnIA85lcc8lTte+Ia+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1"/>
  <sheetViews>
    <sheetView showGridLines="0" tabSelected="1" topLeftCell="A11" zoomScaleNormal="100" workbookViewId="0">
      <selection activeCell="F22" sqref="F22:J22"/>
    </sheetView>
  </sheetViews>
  <sheetFormatPr defaultColWidth="9.140625" defaultRowHeight="15" x14ac:dyDescent="0.25"/>
  <cols>
    <col min="1" max="1" width="13.42578125" style="1" customWidth="1"/>
    <col min="2" max="2" width="13.5703125" style="1" customWidth="1"/>
    <col min="3" max="3" width="9.140625" style="1"/>
    <col min="4" max="7" width="14.5703125" style="1" customWidth="1"/>
    <col min="8" max="8" width="22.42578125" style="1" customWidth="1"/>
    <col min="9" max="13" width="13.140625" style="1" customWidth="1"/>
    <col min="14" max="25" width="9.140625" style="1"/>
    <col min="26" max="26" width="9.140625" style="1" customWidth="1"/>
    <col min="27" max="27" width="9.140625" style="1" hidden="1" customWidth="1"/>
    <col min="28" max="16384" width="9.140625" style="1"/>
  </cols>
  <sheetData>
    <row r="1" spans="1:27" x14ac:dyDescent="0.25">
      <c r="U1" s="2" t="s">
        <v>0</v>
      </c>
      <c r="AA1" s="1" t="str">
        <f>IF(OR(F16="", F16="(if applicable)"), F14, F14 &amp; " - " &amp; F16)</f>
        <v>Elexicon Energy Inc.-Whitby Rate Zone</v>
      </c>
    </row>
    <row r="11" spans="1:27" x14ac:dyDescent="0.25">
      <c r="G11" s="3"/>
    </row>
    <row r="12" spans="1:27" x14ac:dyDescent="0.25">
      <c r="A12" s="4" t="s">
        <v>1</v>
      </c>
      <c r="B12" s="5"/>
      <c r="C12" s="5"/>
      <c r="D12" s="5"/>
      <c r="E12" s="5"/>
      <c r="F12" s="5"/>
      <c r="G12" s="3"/>
      <c r="M12" s="6" t="s">
        <v>2</v>
      </c>
      <c r="N12" s="365">
        <v>1</v>
      </c>
    </row>
    <row r="13" spans="1:27" ht="15.75" thickBot="1" x14ac:dyDescent="0.3">
      <c r="G13" s="3"/>
    </row>
    <row r="14" spans="1:27" ht="16.5" customHeight="1" thickTop="1" thickBot="1" x14ac:dyDescent="0.3">
      <c r="E14" s="7" t="s">
        <v>3</v>
      </c>
      <c r="F14" s="463" t="s">
        <v>876</v>
      </c>
      <c r="G14" s="464"/>
      <c r="H14" s="464"/>
      <c r="I14" s="464"/>
      <c r="J14" s="464"/>
      <c r="K14" s="464"/>
      <c r="L14" s="465"/>
    </row>
    <row r="15" spans="1:27" x14ac:dyDescent="0.25">
      <c r="E15" s="8"/>
      <c r="F15" s="9"/>
      <c r="G15" s="10"/>
      <c r="H15" s="9"/>
      <c r="I15" s="9"/>
      <c r="J15" s="9"/>
    </row>
    <row r="16" spans="1:27" ht="1.7" customHeight="1" x14ac:dyDescent="0.25"/>
    <row r="17" spans="1:13" ht="2.25" customHeight="1" thickBot="1" x14ac:dyDescent="0.3">
      <c r="E17" s="11"/>
    </row>
    <row r="18" spans="1:13" ht="16.5" thickTop="1" thickBot="1" x14ac:dyDescent="0.3">
      <c r="E18" s="12" t="s">
        <v>4</v>
      </c>
      <c r="F18" s="466" t="s">
        <v>908</v>
      </c>
      <c r="G18" s="467"/>
      <c r="H18" s="467"/>
      <c r="I18" s="467"/>
      <c r="J18" s="468"/>
    </row>
    <row r="19" spans="1:13" ht="15.75" thickBot="1" x14ac:dyDescent="0.3">
      <c r="E19" s="11"/>
    </row>
    <row r="20" spans="1:13" ht="16.5" thickTop="1" thickBot="1" x14ac:dyDescent="0.3">
      <c r="E20" s="12" t="s">
        <v>5</v>
      </c>
      <c r="F20" s="466" t="s">
        <v>907</v>
      </c>
      <c r="G20" s="467"/>
      <c r="H20" s="467"/>
      <c r="I20" s="467"/>
      <c r="J20" s="468"/>
      <c r="M20" s="13"/>
    </row>
    <row r="21" spans="1:13" ht="15.75" thickBot="1" x14ac:dyDescent="0.3">
      <c r="E21" s="14"/>
      <c r="F21" s="9"/>
      <c r="G21" s="10"/>
      <c r="H21" s="9"/>
      <c r="I21" s="9"/>
      <c r="J21" s="9"/>
    </row>
    <row r="22" spans="1:13" ht="16.5" thickTop="1" thickBot="1" x14ac:dyDescent="0.3">
      <c r="E22" s="7" t="s">
        <v>6</v>
      </c>
      <c r="F22" s="466" t="s">
        <v>909</v>
      </c>
      <c r="G22" s="467"/>
      <c r="H22" s="467"/>
      <c r="I22" s="467"/>
      <c r="J22" s="468"/>
    </row>
    <row r="23" spans="1:13" ht="15.75" thickBot="1" x14ac:dyDescent="0.3">
      <c r="E23" s="14"/>
      <c r="F23" s="9"/>
      <c r="G23" s="10"/>
      <c r="H23" s="9"/>
      <c r="I23" s="9"/>
      <c r="J23" s="9"/>
    </row>
    <row r="24" spans="1:13" ht="16.5" thickTop="1" thickBot="1" x14ac:dyDescent="0.3">
      <c r="E24" s="7" t="s">
        <v>7</v>
      </c>
      <c r="F24" s="469" t="s">
        <v>910</v>
      </c>
      <c r="G24" s="470"/>
      <c r="H24" s="470"/>
      <c r="I24" s="470"/>
      <c r="J24" s="471"/>
    </row>
    <row r="25" spans="1:13" ht="15.75" thickBot="1" x14ac:dyDescent="0.3">
      <c r="E25" s="14"/>
      <c r="F25" s="9"/>
      <c r="G25" s="10"/>
      <c r="H25" s="9"/>
      <c r="I25" s="9"/>
      <c r="J25" s="9"/>
    </row>
    <row r="26" spans="1:13" ht="32.25" customHeight="1" thickTop="1" thickBot="1" x14ac:dyDescent="0.3">
      <c r="A26" s="433" t="s">
        <v>8</v>
      </c>
      <c r="B26" s="433"/>
      <c r="C26" s="433"/>
      <c r="D26" s="433"/>
      <c r="E26" s="438"/>
      <c r="F26" s="457" t="s">
        <v>850</v>
      </c>
      <c r="G26" s="458"/>
      <c r="H26" s="459"/>
      <c r="I26" s="9"/>
      <c r="L26" s="15" t="s">
        <v>9</v>
      </c>
      <c r="M26" s="100">
        <v>2023</v>
      </c>
    </row>
    <row r="27" spans="1:13" ht="15.75" thickBot="1" x14ac:dyDescent="0.3">
      <c r="E27" s="14"/>
      <c r="F27" s="9"/>
      <c r="G27" s="10"/>
      <c r="H27" s="9"/>
      <c r="I27" s="9"/>
      <c r="J27" s="9"/>
    </row>
    <row r="28" spans="1:13" ht="46.5" customHeight="1" thickTop="1" thickBot="1" x14ac:dyDescent="0.3">
      <c r="A28" s="433" t="str">
        <f>"Indicate the Price-Cap IR Year (1, 2, 3, 4, etc) in which " &amp;F14 &amp; " is applying:"</f>
        <v>Indicate the Price-Cap IR Year (1, 2, 3, 4, etc) in which Elexicon Energy Inc.-Whitby Rate Zone is applying:</v>
      </c>
      <c r="B28" s="433"/>
      <c r="C28" s="433"/>
      <c r="D28" s="433"/>
      <c r="E28" s="438"/>
      <c r="F28" s="457">
        <v>12</v>
      </c>
      <c r="G28" s="458"/>
      <c r="H28" s="459"/>
      <c r="I28" s="9"/>
      <c r="J28" s="433" t="str">
        <f>"Next OEB Scheduled Rebasing Year"</f>
        <v>Next OEB Scheduled Rebasing Year</v>
      </c>
      <c r="K28" s="433"/>
      <c r="L28" s="433"/>
      <c r="M28" s="100">
        <v>2029</v>
      </c>
    </row>
    <row r="29" spans="1:13" ht="15.75" thickBot="1" x14ac:dyDescent="0.3">
      <c r="E29" s="14"/>
      <c r="F29" s="9"/>
      <c r="G29" s="10"/>
      <c r="H29" s="9"/>
      <c r="I29" s="9"/>
      <c r="J29" s="9"/>
    </row>
    <row r="30" spans="1:13" ht="53.25" hidden="1" customHeight="1" thickTop="1" thickBot="1" x14ac:dyDescent="0.3">
      <c r="A30" s="433" t="str">
        <f>"For which Rate Year is " &amp;F14 &amp; " seeking approval for its CoS application?"</f>
        <v>For which Rate Year is Elexicon Energy Inc.-Whitby Rate Zone seeking approval for its CoS application?</v>
      </c>
      <c r="B30" s="433"/>
      <c r="C30" s="433"/>
      <c r="D30" s="433"/>
      <c r="E30" s="438"/>
      <c r="F30" s="460"/>
      <c r="G30" s="461"/>
      <c r="H30" s="462"/>
      <c r="I30" s="9"/>
      <c r="J30" s="9"/>
    </row>
    <row r="31" spans="1:13" ht="15.75" hidden="1" thickBot="1" x14ac:dyDescent="0.3">
      <c r="E31" s="14"/>
      <c r="F31" s="9"/>
      <c r="G31" s="10"/>
      <c r="H31" s="9"/>
      <c r="I31" s="9"/>
      <c r="J31" s="9"/>
    </row>
    <row r="32" spans="1:13" ht="29.25" customHeight="1" thickTop="1" thickBot="1" x14ac:dyDescent="0.3">
      <c r="A32" s="433" t="str">
        <f>F14 &amp; " is applying for:"</f>
        <v>Elexicon Energy Inc.-Whitby Rate Zone is applying for:</v>
      </c>
      <c r="B32" s="433"/>
      <c r="C32" s="433"/>
      <c r="D32" s="433"/>
      <c r="E32" s="438"/>
      <c r="F32" s="457" t="s">
        <v>882</v>
      </c>
      <c r="G32" s="458"/>
      <c r="H32" s="459"/>
      <c r="I32" s="9"/>
      <c r="J32" s="9"/>
    </row>
    <row r="33" spans="1:23" ht="15.75" thickBot="1" x14ac:dyDescent="0.3">
      <c r="E33" s="14"/>
      <c r="F33" s="9"/>
      <c r="G33" s="10"/>
      <c r="H33" s="9"/>
      <c r="I33" s="9"/>
      <c r="J33" s="9"/>
    </row>
    <row r="34" spans="1:23" ht="16.5" thickTop="1" thickBot="1" x14ac:dyDescent="0.3">
      <c r="A34" s="433" t="s">
        <v>10</v>
      </c>
      <c r="B34" s="433"/>
      <c r="C34" s="433"/>
      <c r="D34" s="433"/>
      <c r="E34" s="434"/>
      <c r="F34" s="435">
        <f>M26-F28</f>
        <v>2011</v>
      </c>
      <c r="G34" s="436"/>
      <c r="H34" s="437"/>
      <c r="I34" s="9"/>
      <c r="J34" s="9"/>
    </row>
    <row r="35" spans="1:23" ht="15.75" thickBot="1" x14ac:dyDescent="0.3">
      <c r="E35" s="14"/>
      <c r="F35" s="9"/>
      <c r="G35" s="10"/>
      <c r="H35" s="9"/>
      <c r="I35" s="9"/>
      <c r="J35" s="9"/>
    </row>
    <row r="36" spans="1:23" ht="16.5" hidden="1" thickTop="1" thickBot="1" x14ac:dyDescent="0.3">
      <c r="A36" s="433" t="s">
        <v>11</v>
      </c>
      <c r="B36" s="433"/>
      <c r="C36" s="433"/>
      <c r="D36" s="433"/>
      <c r="E36" s="438"/>
      <c r="F36" s="439"/>
      <c r="G36" s="440"/>
      <c r="H36" s="441"/>
      <c r="I36" s="9"/>
    </row>
    <row r="37" spans="1:23" ht="15.75" hidden="1" thickBot="1" x14ac:dyDescent="0.3">
      <c r="A37" s="16"/>
      <c r="B37" s="16"/>
      <c r="C37" s="16"/>
      <c r="D37" s="16"/>
      <c r="E37" s="16"/>
      <c r="F37" s="16"/>
      <c r="G37" s="16"/>
      <c r="H37" s="16"/>
      <c r="I37" s="16"/>
      <c r="J37" s="16"/>
      <c r="K37" s="16"/>
      <c r="L37" s="16"/>
      <c r="M37" s="16"/>
      <c r="N37" s="16"/>
      <c r="O37" s="16"/>
      <c r="P37" s="16"/>
      <c r="Q37" s="16"/>
      <c r="R37" s="16"/>
      <c r="S37" s="16"/>
      <c r="T37" s="16"/>
      <c r="U37" s="16"/>
      <c r="V37" s="16"/>
      <c r="W37" s="16"/>
    </row>
    <row r="38" spans="1:23" ht="35.25" customHeight="1" thickTop="1" thickBot="1" x14ac:dyDescent="0.3">
      <c r="A38" s="433" t="s">
        <v>12</v>
      </c>
      <c r="B38" s="433"/>
      <c r="C38" s="433"/>
      <c r="D38" s="433"/>
      <c r="E38" s="438"/>
      <c r="F38" s="435">
        <f>M26-2</f>
        <v>2021</v>
      </c>
      <c r="G38" s="436"/>
      <c r="H38" s="437"/>
      <c r="I38" s="9"/>
    </row>
    <row r="39" spans="1:23" ht="15.75" thickBot="1" x14ac:dyDescent="0.3">
      <c r="A39" s="16"/>
      <c r="B39" s="16"/>
      <c r="C39" s="16"/>
      <c r="D39" s="16"/>
      <c r="E39" s="16"/>
      <c r="F39" s="16"/>
      <c r="G39" s="16"/>
      <c r="H39" s="16"/>
      <c r="I39" s="16"/>
    </row>
    <row r="40" spans="1:23" ht="16.5" thickTop="1" thickBot="1" x14ac:dyDescent="0.3">
      <c r="E40" s="17" t="s">
        <v>13</v>
      </c>
      <c r="F40" s="443">
        <v>3.3000000000000002E-2</v>
      </c>
      <c r="G40" s="444"/>
      <c r="H40" s="445"/>
      <c r="I40" s="9"/>
    </row>
    <row r="41" spans="1:23" ht="15.75" thickBot="1" x14ac:dyDescent="0.3"/>
    <row r="42" spans="1:23" ht="16.5" thickTop="1" thickBot="1" x14ac:dyDescent="0.3">
      <c r="E42" s="17" t="s">
        <v>587</v>
      </c>
      <c r="F42" s="446" t="s">
        <v>14</v>
      </c>
      <c r="G42" s="447"/>
      <c r="H42" s="448"/>
      <c r="I42" s="9"/>
    </row>
    <row r="43" spans="1:23" ht="15.75" thickBot="1" x14ac:dyDescent="0.3"/>
    <row r="44" spans="1:23" ht="16.5" thickTop="1" thickBot="1" x14ac:dyDescent="0.3">
      <c r="E44" s="17" t="s">
        <v>15</v>
      </c>
      <c r="F44" s="446">
        <v>3.0000000000000001E-3</v>
      </c>
      <c r="G44" s="447"/>
      <c r="H44" s="448"/>
      <c r="I44" s="9"/>
    </row>
    <row r="45" spans="1:23" ht="15.75" thickBot="1" x14ac:dyDescent="0.3"/>
    <row r="46" spans="1:23" ht="16.5" thickTop="1" thickBot="1" x14ac:dyDescent="0.3">
      <c r="E46" s="17" t="s">
        <v>16</v>
      </c>
      <c r="F46" s="446">
        <f>F40-F44</f>
        <v>3.0000000000000002E-2</v>
      </c>
      <c r="G46" s="447"/>
      <c r="H46" s="448"/>
      <c r="I46" s="9"/>
    </row>
    <row r="47" spans="1:23" x14ac:dyDescent="0.25">
      <c r="I47" s="18"/>
      <c r="J47" s="18"/>
      <c r="K47" s="18"/>
      <c r="L47" s="18"/>
      <c r="M47" s="18"/>
    </row>
    <row r="48" spans="1:23" ht="22.5" customHeight="1" thickBot="1" x14ac:dyDescent="0.3">
      <c r="A48" s="449" t="s">
        <v>17</v>
      </c>
      <c r="B48" s="449"/>
      <c r="C48" s="449"/>
      <c r="D48" s="449"/>
      <c r="E48" s="449"/>
      <c r="F48" s="450" t="str">
        <f>CONCATENATE("Revenues Based on ",IF($F$26="COS",$M$26&amp;" Test Year Distribution Revenues",MAX(F34,F38) &amp; IF(F38&gt;F34," Actual Distribution Demand"," Board-Approved Distribution Demand")))</f>
        <v>Revenues Based on 2021 Actual Distribution Demand</v>
      </c>
      <c r="G48" s="450"/>
      <c r="H48" s="450"/>
      <c r="I48" s="19" t="str">
        <f>LEFT(RIGHT(F48,LEN(F48)-18),4)</f>
        <v>2021</v>
      </c>
      <c r="J48" s="19"/>
      <c r="K48" s="19"/>
      <c r="L48" s="19"/>
      <c r="M48" s="19"/>
      <c r="N48" s="20"/>
    </row>
    <row r="49" spans="1:14" ht="23.1" customHeight="1" x14ac:dyDescent="0.25">
      <c r="A49" s="449"/>
      <c r="B49" s="449"/>
      <c r="C49" s="449"/>
      <c r="D49" s="449"/>
      <c r="E49" s="449"/>
      <c r="F49" s="451" t="str">
        <f>CONCATENATE("Revenues Based on ",IF(F26="COS",F38&amp;" Actual Distribution Revenues", IF(F34&gt;F38,F38,IF(F34=F38,F34-1,F34)) &amp; IF(F38&gt;F34, " Board-Approved Distribution Demand", " Actual Distribution Demand")))</f>
        <v>Revenues Based on 2011 Board-Approved Distribution Demand</v>
      </c>
      <c r="G49" s="451"/>
      <c r="H49" s="451"/>
      <c r="I49" s="19" t="str">
        <f>LEFT(RIGHT(F49,LEN(F49)-18),4)</f>
        <v>2011</v>
      </c>
      <c r="J49" s="19"/>
      <c r="K49" s="19"/>
      <c r="L49" s="19"/>
      <c r="M49" s="19"/>
      <c r="N49" s="20"/>
    </row>
    <row r="50" spans="1:14" x14ac:dyDescent="0.25">
      <c r="A50" s="20"/>
      <c r="B50" s="20"/>
      <c r="C50" s="20"/>
      <c r="D50" s="20"/>
      <c r="E50" s="20"/>
      <c r="F50" s="20"/>
      <c r="G50" s="20"/>
      <c r="H50" s="20"/>
      <c r="I50" s="19"/>
      <c r="J50" s="19"/>
      <c r="K50" s="19"/>
      <c r="L50" s="19"/>
      <c r="M50" s="19"/>
      <c r="N50" s="20"/>
    </row>
    <row r="51" spans="1:14" x14ac:dyDescent="0.25">
      <c r="B51" s="21" t="s">
        <v>18</v>
      </c>
      <c r="I51" s="18"/>
      <c r="J51" s="19"/>
      <c r="K51" s="19"/>
      <c r="L51" s="19"/>
      <c r="M51" s="19"/>
    </row>
    <row r="52" spans="1:14" ht="15.75" thickBot="1" x14ac:dyDescent="0.3">
      <c r="I52" s="18"/>
      <c r="J52" s="19"/>
      <c r="K52" s="19"/>
      <c r="L52" s="19"/>
      <c r="M52" s="19"/>
    </row>
    <row r="53" spans="1:14" ht="15.75" thickBot="1" x14ac:dyDescent="0.3">
      <c r="B53" s="99"/>
      <c r="C53" s="452" t="s">
        <v>19</v>
      </c>
      <c r="D53" s="452"/>
      <c r="E53" s="452"/>
      <c r="F53" s="452"/>
      <c r="G53" s="452"/>
      <c r="H53" s="452"/>
      <c r="I53" s="452"/>
      <c r="J53" s="452"/>
      <c r="K53" s="452"/>
      <c r="L53" s="452"/>
    </row>
    <row r="54" spans="1:14" ht="15.75" thickBot="1" x14ac:dyDescent="0.3"/>
    <row r="55" spans="1:14" ht="15.75" thickBot="1" x14ac:dyDescent="0.3">
      <c r="B55" s="22"/>
      <c r="C55" s="453" t="s">
        <v>20</v>
      </c>
      <c r="D55" s="454"/>
      <c r="E55" s="454"/>
      <c r="F55" s="454"/>
      <c r="G55" s="454"/>
      <c r="H55" s="454"/>
      <c r="I55" s="454"/>
      <c r="J55" s="454"/>
      <c r="K55" s="454"/>
      <c r="L55" s="454"/>
      <c r="M55" s="454"/>
      <c r="N55" s="454"/>
    </row>
    <row r="56" spans="1:14" ht="15.75" thickBot="1" x14ac:dyDescent="0.3">
      <c r="B56" s="23"/>
    </row>
    <row r="57" spans="1:14" ht="15.75" thickBot="1" x14ac:dyDescent="0.3">
      <c r="B57" s="24"/>
      <c r="C57" s="455" t="s">
        <v>21</v>
      </c>
      <c r="D57" s="456"/>
      <c r="E57" s="456"/>
      <c r="F57" s="456"/>
      <c r="G57" s="456"/>
      <c r="H57" s="456"/>
      <c r="I57" s="456"/>
      <c r="J57" s="456"/>
      <c r="K57" s="456"/>
      <c r="L57" s="456"/>
      <c r="M57" s="456"/>
    </row>
    <row r="58" spans="1:14" ht="4.5" customHeight="1" x14ac:dyDescent="0.25"/>
    <row r="60" spans="1:14" ht="87.75" customHeight="1" x14ac:dyDescent="0.25">
      <c r="A60" s="442" t="s">
        <v>588</v>
      </c>
      <c r="B60" s="442"/>
      <c r="C60" s="442"/>
      <c r="D60" s="442"/>
      <c r="E60" s="442"/>
      <c r="F60" s="442"/>
      <c r="G60" s="442"/>
      <c r="H60" s="442"/>
      <c r="I60" s="442"/>
      <c r="J60" s="442"/>
      <c r="K60" s="442"/>
      <c r="L60" s="442"/>
    </row>
    <row r="61" spans="1:14" ht="51" customHeight="1" x14ac:dyDescent="0.25">
      <c r="A61" s="432" t="s">
        <v>22</v>
      </c>
      <c r="B61" s="432"/>
      <c r="C61" s="432"/>
      <c r="D61" s="432"/>
      <c r="E61" s="432"/>
      <c r="F61" s="432"/>
      <c r="G61" s="432"/>
      <c r="H61" s="432"/>
      <c r="I61" s="432"/>
      <c r="J61" s="432"/>
      <c r="K61" s="432"/>
      <c r="L61" s="432"/>
    </row>
  </sheetData>
  <sheetProtection algorithmName="SHA-512" hashValue="e+Addx8o221qlqHKwxqh/Qrh4WziDsHDL6lhy0JpuDuHkFTS656SJp6eQHzPrwcahy9TaH1TJFrghXz+C8J8Xg==" saltValue="h66ujIB5J1FvnrJCzhNhGw==" spinCount="100000" sheet="1" objects="1" scenarios="1"/>
  <mergeCells count="32">
    <mergeCell ref="F14:L14"/>
    <mergeCell ref="F18:J18"/>
    <mergeCell ref="F20:J20"/>
    <mergeCell ref="F22:J22"/>
    <mergeCell ref="F24:J24"/>
    <mergeCell ref="C55:N55"/>
    <mergeCell ref="C57:M57"/>
    <mergeCell ref="F32:H32"/>
    <mergeCell ref="A26:E26"/>
    <mergeCell ref="F26:H26"/>
    <mergeCell ref="J28:L28"/>
    <mergeCell ref="A28:E28"/>
    <mergeCell ref="F28:H28"/>
    <mergeCell ref="A30:E30"/>
    <mergeCell ref="F30:H30"/>
    <mergeCell ref="A32:E32"/>
    <mergeCell ref="A61:L61"/>
    <mergeCell ref="A34:E34"/>
    <mergeCell ref="F34:H34"/>
    <mergeCell ref="A36:E36"/>
    <mergeCell ref="F36:H36"/>
    <mergeCell ref="A38:E38"/>
    <mergeCell ref="F38:H38"/>
    <mergeCell ref="A60:L60"/>
    <mergeCell ref="F40:H40"/>
    <mergeCell ref="F42:H42"/>
    <mergeCell ref="F44:H44"/>
    <mergeCell ref="F46:H46"/>
    <mergeCell ref="A48:E49"/>
    <mergeCell ref="F48:H48"/>
    <mergeCell ref="F49:H49"/>
    <mergeCell ref="C53:L53"/>
  </mergeCells>
  <dataValidations count="10">
    <dataValidation type="whole" allowBlank="1" showInputMessage="1" showErrorMessage="1" sqref="M28">
      <formula1>2020</formula1>
      <formula2>2040</formula2>
    </dataValidation>
    <dataValidation type="whole" showErrorMessage="1" errorTitle="Incorrect Input" error="Please ensure that the year is in the following format: 20XX" prompt="Use the following format eg: January 1, 2013" sqref="F30:H30">
      <formula1>2000</formula1>
      <formula2>2100</formula2>
    </dataValidation>
    <dataValidation type="list" showErrorMessage="1" errorTitle="Incorrect Input" error="Please enter a number between 1 and 10." prompt="Use the following format eg: January 1, 2013" sqref="F28:H28">
      <formula1>"1, 2, 3,4,5,6,7,8,9,10,11,12,13,14,15"</formula1>
    </dataValidation>
    <dataValidation type="list" showErrorMessage="1" errorTitle="Selection Needed" error="Please select an option from the drop-down list." prompt="Use the following format eg: January 1, 2013" sqref="F26:H26">
      <formula1>"COS, Price-Cap IR"</formula1>
    </dataValidation>
    <dataValidation type="whole" showErrorMessage="1" errorTitle="Incorrect Input" error="Please re-enter your last cost of service rebasing YEAR and ensure that it is in the following format: 20XX" prompt="Use the following format eg: January 1, 2013" sqref="F38:H38 F34:H34">
      <formula1>2000</formula1>
      <formula2>2100</formula2>
    </dataValidation>
    <dataValidation showErrorMessage="1" errorTitle="Selection Needed" error="Please select an option from the drop-down list." prompt="Use the following format eg: January 1, 2013" sqref="F44:H44 F36:H36 F40:H40 F46:H46 F42:H42"/>
    <dataValidation allowBlank="1" showInputMessage="1" showErrorMessage="1" prompt="First and last name, title" sqref="F20:J20"/>
    <dataValidation type="list" allowBlank="1" showInputMessage="1" showErrorMessage="1" sqref="F14:L14">
      <formula1>LDCNAMES</formula1>
    </dataValidation>
    <dataValidation type="whole" allowBlank="1" showInputMessage="1" showErrorMessage="1" sqref="M26">
      <formula1>2019</formula1>
      <formula2>2040</formula2>
    </dataValidation>
    <dataValidation type="list" showErrorMessage="1" sqref="F32:H32">
      <formula1>"ACM Rate Rider Approval, ICM Rate Rider Approval, ACM and ICM Rate Rider Approval"</formula1>
    </dataValidation>
  </dataValidations>
  <printOptions headings="1"/>
  <pageMargins left="0.23622047244094491" right="0.23622047244094491" top="0.74803149606299213" bottom="0.74803149606299213" header="0.31496062992125984" footer="0.31496062992125984"/>
  <pageSetup scale="6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7:Q38"/>
  <sheetViews>
    <sheetView showGridLines="0" topLeftCell="A6" zoomScaleNormal="100" workbookViewId="0"/>
  </sheetViews>
  <sheetFormatPr defaultColWidth="8.85546875" defaultRowHeight="15" x14ac:dyDescent="0.25"/>
  <cols>
    <col min="1" max="1" width="13.42578125" style="1" customWidth="1"/>
    <col min="2" max="4" width="8.85546875" style="1"/>
    <col min="5" max="5" width="9.140625" style="1" customWidth="1"/>
    <col min="6" max="10" width="8.85546875" style="1"/>
    <col min="11" max="14" width="8.85546875" style="1" customWidth="1"/>
    <col min="15" max="16384" width="8.85546875" style="1"/>
  </cols>
  <sheetData>
    <row r="7" spans="1:17" ht="15" customHeight="1" x14ac:dyDescent="0.25"/>
    <row r="11" spans="1:17" x14ac:dyDescent="0.25">
      <c r="G11" s="3"/>
    </row>
    <row r="12" spans="1:17" ht="32.25" customHeight="1" x14ac:dyDescent="0.25">
      <c r="A12" s="479" t="s">
        <v>589</v>
      </c>
      <c r="B12" s="479"/>
      <c r="C12" s="479"/>
      <c r="D12" s="479"/>
      <c r="E12" s="479"/>
      <c r="F12" s="479"/>
      <c r="G12" s="479"/>
      <c r="H12" s="479"/>
      <c r="I12" s="479"/>
      <c r="J12" s="479"/>
      <c r="K12" s="479"/>
      <c r="L12" s="479"/>
      <c r="M12" s="479"/>
      <c r="N12" s="479"/>
    </row>
    <row r="13" spans="1:17" ht="15" customHeight="1" x14ac:dyDescent="0.25">
      <c r="A13" s="11"/>
      <c r="B13" s="11"/>
      <c r="C13" s="11"/>
      <c r="D13" s="11"/>
      <c r="E13" s="11"/>
      <c r="F13" s="11"/>
      <c r="G13" s="287"/>
      <c r="H13" s="11"/>
      <c r="I13" s="11"/>
      <c r="J13" s="11"/>
      <c r="K13" s="11"/>
      <c r="O13" s="472" t="s">
        <v>849</v>
      </c>
      <c r="P13" s="472"/>
      <c r="Q13" s="472"/>
    </row>
    <row r="14" spans="1:17" ht="15" customHeight="1" x14ac:dyDescent="0.25">
      <c r="A14" s="11" t="s">
        <v>590</v>
      </c>
      <c r="B14" s="11"/>
      <c r="C14" s="288"/>
      <c r="D14" s="288"/>
      <c r="E14" s="288"/>
      <c r="F14" s="288"/>
      <c r="G14" s="288"/>
      <c r="H14" s="288"/>
      <c r="I14" s="288"/>
      <c r="J14" s="102">
        <v>6</v>
      </c>
      <c r="K14" s="288"/>
      <c r="O14" s="472"/>
      <c r="P14" s="472"/>
      <c r="Q14" s="472"/>
    </row>
    <row r="15" spans="1:17" ht="6" customHeight="1" x14ac:dyDescent="0.25">
      <c r="A15" s="11"/>
      <c r="B15" s="11"/>
      <c r="C15" s="288"/>
      <c r="D15" s="288"/>
      <c r="E15" s="288"/>
      <c r="F15" s="288"/>
      <c r="G15" s="288"/>
      <c r="H15" s="288"/>
      <c r="I15" s="288"/>
      <c r="J15" s="288"/>
      <c r="K15" s="288"/>
      <c r="O15" s="472"/>
      <c r="P15" s="472"/>
      <c r="Q15" s="472"/>
    </row>
    <row r="16" spans="1:17" x14ac:dyDescent="0.25">
      <c r="A16" s="11" t="s">
        <v>591</v>
      </c>
      <c r="B16" s="11"/>
      <c r="C16" s="288"/>
      <c r="D16" s="288"/>
      <c r="E16" s="289"/>
      <c r="F16" s="290"/>
      <c r="G16" s="290"/>
      <c r="H16" s="290"/>
      <c r="I16" s="290"/>
      <c r="J16" s="290"/>
      <c r="K16" s="288"/>
      <c r="O16" s="472"/>
      <c r="P16" s="472"/>
      <c r="Q16" s="472"/>
    </row>
    <row r="17" spans="1:17" x14ac:dyDescent="0.25">
      <c r="A17" s="3"/>
      <c r="B17" s="291"/>
      <c r="C17" s="291"/>
      <c r="D17" s="291"/>
      <c r="E17" s="292"/>
      <c r="F17" s="293"/>
      <c r="G17" s="293"/>
      <c r="I17" s="293"/>
      <c r="J17" s="293"/>
      <c r="K17" s="291"/>
      <c r="O17" s="472"/>
      <c r="P17" s="472"/>
      <c r="Q17" s="472"/>
    </row>
    <row r="18" spans="1:17" x14ac:dyDescent="0.25">
      <c r="A18" s="3"/>
      <c r="B18" s="480" t="s">
        <v>592</v>
      </c>
      <c r="C18" s="481"/>
      <c r="D18" s="481"/>
      <c r="E18" s="481"/>
      <c r="F18" s="481"/>
      <c r="G18" s="481"/>
      <c r="H18" s="481"/>
      <c r="I18" s="481"/>
      <c r="J18" s="482"/>
      <c r="K18" s="291"/>
      <c r="O18" s="361"/>
      <c r="P18" s="361"/>
      <c r="Q18" s="361"/>
    </row>
    <row r="19" spans="1:17" ht="15" customHeight="1" x14ac:dyDescent="0.25">
      <c r="A19" s="294">
        <v>1</v>
      </c>
      <c r="B19" s="473" t="s">
        <v>77</v>
      </c>
      <c r="C19" s="474"/>
      <c r="D19" s="474"/>
      <c r="E19" s="474"/>
      <c r="F19" s="474"/>
      <c r="G19" s="474"/>
      <c r="H19" s="474"/>
      <c r="I19" s="474"/>
      <c r="J19" s="475"/>
      <c r="K19" s="291"/>
      <c r="L19" s="291"/>
    </row>
    <row r="20" spans="1:17" ht="15" customHeight="1" x14ac:dyDescent="0.25">
      <c r="A20" s="294">
        <v>2</v>
      </c>
      <c r="B20" s="473" t="s">
        <v>86</v>
      </c>
      <c r="C20" s="474"/>
      <c r="D20" s="474"/>
      <c r="E20" s="474"/>
      <c r="F20" s="474"/>
      <c r="G20" s="474"/>
      <c r="H20" s="474"/>
      <c r="I20" s="474"/>
      <c r="J20" s="475"/>
      <c r="K20" s="291"/>
      <c r="L20" s="291"/>
    </row>
    <row r="21" spans="1:17" ht="15" customHeight="1" x14ac:dyDescent="0.25">
      <c r="A21" s="294">
        <v>3</v>
      </c>
      <c r="B21" s="476" t="s">
        <v>89</v>
      </c>
      <c r="C21" s="477"/>
      <c r="D21" s="477"/>
      <c r="E21" s="477"/>
      <c r="F21" s="477"/>
      <c r="G21" s="477"/>
      <c r="H21" s="477"/>
      <c r="I21" s="477"/>
      <c r="J21" s="478"/>
      <c r="K21" s="291"/>
      <c r="L21" s="291"/>
    </row>
    <row r="22" spans="1:17" ht="15" customHeight="1" x14ac:dyDescent="0.25">
      <c r="A22" s="294">
        <v>4</v>
      </c>
      <c r="B22" s="473" t="s">
        <v>123</v>
      </c>
      <c r="C22" s="474"/>
      <c r="D22" s="474"/>
      <c r="E22" s="474"/>
      <c r="F22" s="474"/>
      <c r="G22" s="474"/>
      <c r="H22" s="474"/>
      <c r="I22" s="474"/>
      <c r="J22" s="475"/>
      <c r="K22" s="291"/>
      <c r="L22" s="291"/>
    </row>
    <row r="23" spans="1:17" ht="15" customHeight="1" x14ac:dyDescent="0.25">
      <c r="A23" s="294">
        <v>5</v>
      </c>
      <c r="B23" s="473" t="s">
        <v>132</v>
      </c>
      <c r="C23" s="474"/>
      <c r="D23" s="474"/>
      <c r="E23" s="474"/>
      <c r="F23" s="474"/>
      <c r="G23" s="474"/>
      <c r="H23" s="474"/>
      <c r="I23" s="474"/>
      <c r="J23" s="475"/>
      <c r="K23" s="291"/>
      <c r="L23" s="291"/>
    </row>
    <row r="24" spans="1:17" ht="15" customHeight="1" x14ac:dyDescent="0.25">
      <c r="A24" s="301">
        <v>6</v>
      </c>
      <c r="B24" s="476" t="s">
        <v>68</v>
      </c>
      <c r="C24" s="477"/>
      <c r="D24" s="477"/>
      <c r="E24" s="477"/>
      <c r="F24" s="477"/>
      <c r="G24" s="477"/>
      <c r="H24" s="477"/>
      <c r="I24" s="477"/>
      <c r="J24" s="478"/>
      <c r="K24" s="291"/>
      <c r="L24" s="291"/>
    </row>
    <row r="25" spans="1:17" ht="15" customHeight="1" x14ac:dyDescent="0.25">
      <c r="A25" s="301"/>
      <c r="B25" s="295"/>
      <c r="C25" s="296"/>
      <c r="D25" s="296"/>
      <c r="E25" s="296"/>
      <c r="F25" s="296"/>
      <c r="G25" s="296"/>
      <c r="H25" s="296"/>
      <c r="I25" s="296"/>
      <c r="J25" s="297"/>
      <c r="K25" s="291"/>
      <c r="L25" s="291"/>
    </row>
    <row r="26" spans="1:17" ht="15" customHeight="1" x14ac:dyDescent="0.25">
      <c r="A26" s="301"/>
      <c r="B26" s="295"/>
      <c r="C26" s="296"/>
      <c r="D26" s="296"/>
      <c r="E26" s="296"/>
      <c r="F26" s="296"/>
      <c r="G26" s="296"/>
      <c r="H26" s="296"/>
      <c r="I26" s="296"/>
      <c r="J26" s="297"/>
      <c r="K26" s="291"/>
      <c r="L26" s="291"/>
    </row>
    <row r="27" spans="1:17" ht="15" customHeight="1" x14ac:dyDescent="0.25">
      <c r="A27" s="301"/>
      <c r="B27" s="302"/>
      <c r="C27" s="303"/>
      <c r="D27" s="303"/>
      <c r="E27" s="303"/>
      <c r="F27" s="303"/>
      <c r="G27" s="303"/>
      <c r="H27" s="303"/>
      <c r="I27" s="303"/>
      <c r="J27" s="304"/>
    </row>
    <row r="28" spans="1:17" ht="15" customHeight="1" x14ac:dyDescent="0.25">
      <c r="A28" s="301"/>
      <c r="B28" s="298"/>
      <c r="C28" s="299"/>
      <c r="D28" s="299"/>
      <c r="E28" s="299"/>
      <c r="F28" s="299"/>
      <c r="G28" s="299"/>
      <c r="H28" s="299"/>
      <c r="I28" s="299"/>
      <c r="J28" s="300"/>
    </row>
    <row r="29" spans="1:17" ht="15" customHeight="1" x14ac:dyDescent="0.25">
      <c r="A29" s="301"/>
      <c r="B29" s="298"/>
      <c r="C29" s="299"/>
      <c r="D29" s="299"/>
      <c r="E29" s="299"/>
      <c r="F29" s="299"/>
      <c r="G29" s="299"/>
      <c r="H29" s="299"/>
      <c r="I29" s="299"/>
      <c r="J29" s="300"/>
    </row>
    <row r="30" spans="1:17" ht="15" customHeight="1" x14ac:dyDescent="0.25">
      <c r="A30" s="301"/>
      <c r="B30" s="302"/>
      <c r="C30" s="303"/>
      <c r="D30" s="303"/>
      <c r="E30" s="303"/>
      <c r="F30" s="303"/>
      <c r="G30" s="303"/>
      <c r="H30" s="303"/>
      <c r="I30" s="303"/>
      <c r="J30" s="304"/>
    </row>
    <row r="31" spans="1:17" ht="15" customHeight="1" x14ac:dyDescent="0.25">
      <c r="A31" s="301"/>
      <c r="B31" s="298"/>
      <c r="C31" s="299"/>
      <c r="D31" s="299"/>
      <c r="E31" s="299"/>
      <c r="F31" s="299"/>
      <c r="G31" s="299"/>
      <c r="H31" s="299"/>
      <c r="I31" s="299"/>
      <c r="J31" s="300"/>
    </row>
    <row r="32" spans="1:17" ht="15" customHeight="1" x14ac:dyDescent="0.25">
      <c r="A32" s="301"/>
      <c r="B32" s="298"/>
      <c r="C32" s="299"/>
      <c r="D32" s="299"/>
      <c r="E32" s="299"/>
      <c r="F32" s="299"/>
      <c r="G32" s="299"/>
      <c r="H32" s="299"/>
      <c r="I32" s="299"/>
      <c r="J32" s="300"/>
    </row>
    <row r="33" spans="2:10" x14ac:dyDescent="0.25">
      <c r="B33" s="305"/>
      <c r="C33" s="305"/>
      <c r="D33" s="305"/>
      <c r="E33" s="305"/>
      <c r="F33" s="305"/>
      <c r="G33" s="305"/>
      <c r="H33" s="305"/>
      <c r="I33" s="305"/>
      <c r="J33" s="305"/>
    </row>
    <row r="34" spans="2:10" x14ac:dyDescent="0.25">
      <c r="B34" s="306"/>
      <c r="C34" s="306"/>
      <c r="D34" s="306"/>
      <c r="E34" s="306"/>
      <c r="F34" s="307"/>
      <c r="G34" s="307"/>
      <c r="H34" s="307"/>
      <c r="I34" s="307"/>
      <c r="J34" s="307"/>
    </row>
    <row r="35" spans="2:10" x14ac:dyDescent="0.25">
      <c r="B35" s="291"/>
      <c r="C35" s="291"/>
      <c r="D35" s="291"/>
      <c r="E35" s="291"/>
    </row>
    <row r="36" spans="2:10" x14ac:dyDescent="0.25">
      <c r="B36" s="291"/>
      <c r="C36" s="291"/>
      <c r="D36" s="291"/>
      <c r="E36" s="291"/>
    </row>
    <row r="37" spans="2:10" x14ac:dyDescent="0.25">
      <c r="B37" s="291"/>
      <c r="C37" s="291"/>
      <c r="D37" s="291"/>
      <c r="E37" s="291"/>
    </row>
    <row r="38" spans="2:10" x14ac:dyDescent="0.25">
      <c r="B38" s="291"/>
      <c r="C38" s="291"/>
      <c r="D38" s="291"/>
      <c r="E38" s="291"/>
    </row>
  </sheetData>
  <sheetProtection algorithmName="SHA-512" hashValue="96NX6a5sV7oXdZ4GPl8QGg4U5H3y8LPzCiFOiV9WGOusuBiw4LK5eZ7X908QDX32Jx9P6ehpHAKjnAlBl/fy6Q==" saltValue="A/qQlyeComzhHOphnWSW5A==" spinCount="100000" sheet="1" objects="1" scenarios="1"/>
  <mergeCells count="9">
    <mergeCell ref="A12:N12"/>
    <mergeCell ref="B18:J18"/>
    <mergeCell ref="O13:Q17"/>
    <mergeCell ref="B19:J19"/>
    <mergeCell ref="B20:J20"/>
    <mergeCell ref="B23:J23"/>
    <mergeCell ref="B24:J24"/>
    <mergeCell ref="B21:J21"/>
    <mergeCell ref="B22:J22"/>
  </mergeCells>
  <dataValidations count="3">
    <dataValidation type="list" allowBlank="1" showInputMessage="1" showErrorMessage="1" sqref="J14">
      <formula1>"1,2,3,4,5,6,7,8, 9, 10,11,12,13,14,15"</formula1>
    </dataValidation>
    <dataValidation allowBlank="1" showInputMessage="1" showErrorMessage="1" sqref="C25:J33 B25:B33"/>
    <dataValidation type="list" allowBlank="1" showInputMessage="1" showErrorMessage="1" sqref="B19:J19 B20:J20 B21:J21 B22:J22 B23:J23 B24:J24">
      <formula1>Rate_Class</formula1>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Button 5">
              <controlPr defaultSize="0" print="0" autoFill="0" autoPict="0" macro="[0]!Module3.GenWorkbook">
                <anchor moveWithCells="1" sizeWithCells="1">
                  <from>
                    <xdr:col>15</xdr:col>
                    <xdr:colOff>352425</xdr:colOff>
                    <xdr:row>15</xdr:row>
                    <xdr:rowOff>85725</xdr:rowOff>
                  </from>
                  <to>
                    <xdr:col>16</xdr:col>
                    <xdr:colOff>466725</xdr:colOff>
                    <xdr:row>16</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3"/>
  <sheetViews>
    <sheetView showGridLines="0" topLeftCell="A6" zoomScaleNormal="100" workbookViewId="0">
      <selection activeCell="C20" sqref="C20"/>
    </sheetView>
  </sheetViews>
  <sheetFormatPr defaultColWidth="9.140625" defaultRowHeight="15" x14ac:dyDescent="0.25"/>
  <cols>
    <col min="1" max="1" width="65.85546875" style="1" customWidth="1"/>
    <col min="2" max="2" width="21.85546875" style="1" customWidth="1"/>
    <col min="3" max="5" width="25.140625" style="1" customWidth="1"/>
    <col min="6" max="6" width="3.42578125" style="1" customWidth="1"/>
    <col min="7" max="9" width="25.42578125" style="1" customWidth="1"/>
    <col min="10" max="11" width="28" style="1" customWidth="1"/>
    <col min="12" max="16384" width="9.140625" style="1"/>
  </cols>
  <sheetData>
    <row r="1" spans="1:9" x14ac:dyDescent="0.25">
      <c r="A1" s="103"/>
    </row>
    <row r="5" spans="1:9" ht="15.75" x14ac:dyDescent="0.25">
      <c r="H5" s="111"/>
    </row>
    <row r="11" spans="1:9" ht="15.75" x14ac:dyDescent="0.25">
      <c r="A11" s="104"/>
    </row>
    <row r="13" spans="1:9" ht="35.25" customHeight="1" x14ac:dyDescent="0.25">
      <c r="A13" s="483" t="str">
        <f>"Input the billing determinants associated with " &amp; '1. Information Sheet'!F14 &amp; "'s " &amp; '1. Information Sheet'!F48 &amp; ". Input the current approved distribution rates.  Sheets 4 &amp; 5 calculate the NUMERATOR portion of the growth factor calculation."</f>
        <v>Input the billing determinants associated with Elexicon Energy Inc.-Whitby Rate Zone's Revenues Based on 2021 Actual Distribution Demand. Input the current approved distribution rates.  Sheets 4 &amp; 5 calculate the NUMERATOR portion of the growth factor calculation.</v>
      </c>
      <c r="B13" s="483"/>
      <c r="C13" s="483"/>
      <c r="D13" s="483"/>
      <c r="E13" s="483"/>
    </row>
    <row r="14" spans="1:9" ht="15.75" x14ac:dyDescent="0.25">
      <c r="A14" s="104"/>
    </row>
    <row r="15" spans="1:9" ht="17.25" x14ac:dyDescent="0.25">
      <c r="A15" s="104"/>
      <c r="C15" s="484" t="str">
        <f>RIGHT('1. Information Sheet'!F48,LEN('1. Information Sheet'!F48)-18)</f>
        <v>2021 Actual Distribution Demand</v>
      </c>
      <c r="D15" s="484"/>
      <c r="E15" s="484"/>
      <c r="F15" s="105"/>
      <c r="G15" s="484" t="str">
        <f>IF('1. Information Sheet'!F26="COS","Proposed Distribution Rates","Current Approved Distribution Rates")</f>
        <v>Current Approved Distribution Rates</v>
      </c>
      <c r="H15" s="484"/>
      <c r="I15" s="484"/>
    </row>
    <row r="16" spans="1:9" ht="64.5" customHeight="1" x14ac:dyDescent="0.25">
      <c r="A16" s="106" t="s">
        <v>593</v>
      </c>
      <c r="B16" s="189" t="s">
        <v>26</v>
      </c>
      <c r="C16" s="190" t="s">
        <v>594</v>
      </c>
      <c r="D16" s="191" t="s">
        <v>595</v>
      </c>
      <c r="E16" s="191" t="s">
        <v>596</v>
      </c>
      <c r="F16" s="192"/>
      <c r="G16" s="193" t="s">
        <v>597</v>
      </c>
      <c r="H16" s="194" t="s">
        <v>598</v>
      </c>
      <c r="I16" s="195" t="s">
        <v>599</v>
      </c>
    </row>
    <row r="17" spans="1:9" ht="15.75" thickBot="1" x14ac:dyDescent="0.3">
      <c r="A17" s="1" t="s">
        <v>77</v>
      </c>
      <c r="B17" s="388" t="s">
        <v>41</v>
      </c>
      <c r="C17" s="385">
        <v>43441</v>
      </c>
      <c r="D17" s="373">
        <v>394692740</v>
      </c>
      <c r="E17" s="373">
        <v>0</v>
      </c>
      <c r="F17" s="370"/>
      <c r="G17" s="376">
        <v>33.409999999999997</v>
      </c>
      <c r="H17" s="377"/>
      <c r="I17" s="378"/>
    </row>
    <row r="18" spans="1:9" ht="15.75" thickBot="1" x14ac:dyDescent="0.3">
      <c r="A18" s="1" t="s">
        <v>86</v>
      </c>
      <c r="B18" s="389" t="s">
        <v>41</v>
      </c>
      <c r="C18" s="386">
        <v>2350</v>
      </c>
      <c r="D18" s="374">
        <v>83266323</v>
      </c>
      <c r="E18" s="374">
        <v>0</v>
      </c>
      <c r="F18" s="371"/>
      <c r="G18" s="379">
        <v>28.08</v>
      </c>
      <c r="H18" s="380">
        <v>2.0799999999999999E-2</v>
      </c>
      <c r="I18" s="381"/>
    </row>
    <row r="19" spans="1:9" ht="15.75" thickBot="1" x14ac:dyDescent="0.3">
      <c r="A19" s="1" t="s">
        <v>89</v>
      </c>
      <c r="B19" s="389" t="s">
        <v>51</v>
      </c>
      <c r="C19" s="386">
        <v>398</v>
      </c>
      <c r="D19" s="374">
        <v>0</v>
      </c>
      <c r="E19" s="374">
        <v>915640</v>
      </c>
      <c r="F19" s="371"/>
      <c r="G19" s="379">
        <v>213.88</v>
      </c>
      <c r="H19" s="380"/>
      <c r="I19" s="381">
        <v>4.2717000000000001</v>
      </c>
    </row>
    <row r="20" spans="1:9" ht="15.75" thickBot="1" x14ac:dyDescent="0.3">
      <c r="A20" s="1" t="s">
        <v>123</v>
      </c>
      <c r="B20" s="389" t="s">
        <v>41</v>
      </c>
      <c r="C20" s="386">
        <v>392</v>
      </c>
      <c r="D20" s="374">
        <v>1852550</v>
      </c>
      <c r="E20" s="374">
        <v>0</v>
      </c>
      <c r="F20" s="371"/>
      <c r="G20" s="379">
        <v>10.4</v>
      </c>
      <c r="H20" s="380">
        <v>3.32E-2</v>
      </c>
      <c r="I20" s="381"/>
    </row>
    <row r="21" spans="1:9" ht="15.75" thickBot="1" x14ac:dyDescent="0.3">
      <c r="A21" s="1" t="s">
        <v>132</v>
      </c>
      <c r="B21" s="389" t="s">
        <v>51</v>
      </c>
      <c r="C21" s="386">
        <v>47</v>
      </c>
      <c r="D21" s="374">
        <v>0</v>
      </c>
      <c r="E21" s="374">
        <v>71</v>
      </c>
      <c r="F21" s="371"/>
      <c r="G21" s="379">
        <v>6.11</v>
      </c>
      <c r="H21" s="380"/>
      <c r="I21" s="381">
        <v>16.445799999999998</v>
      </c>
    </row>
    <row r="22" spans="1:9" ht="15.75" thickBot="1" x14ac:dyDescent="0.3">
      <c r="A22" s="1" t="s">
        <v>68</v>
      </c>
      <c r="B22" s="389" t="s">
        <v>51</v>
      </c>
      <c r="C22" s="387">
        <v>13214</v>
      </c>
      <c r="D22" s="375">
        <v>0</v>
      </c>
      <c r="E22" s="375">
        <v>9363</v>
      </c>
      <c r="F22" s="372"/>
      <c r="G22" s="382">
        <v>1.88</v>
      </c>
      <c r="H22" s="383"/>
      <c r="I22" s="384">
        <v>7.1955999999999998</v>
      </c>
    </row>
    <row r="23" spans="1:9" x14ac:dyDescent="0.25">
      <c r="G23" s="286"/>
      <c r="H23" s="286"/>
      <c r="I23" s="286"/>
    </row>
  </sheetData>
  <sheetProtection algorithmName="SHA-512" hashValue="8blbOt+23EughMLQ4z6RyAqFAtSN6lY1drc6N+bB2032INH0owkFjlNJorLsaHm+bXPJuCPF7uzLOuBwS8XWkg==" saltValue="9dHnzeaHNk0rmVkcUlpa0A==" spinCount="100000" sheet="1" objects="1" scenarios="1"/>
  <mergeCells count="3">
    <mergeCell ref="A13:E13"/>
    <mergeCell ref="C15:E15"/>
    <mergeCell ref="G15:I15"/>
  </mergeCells>
  <dataValidations count="1">
    <dataValidation type="list" allowBlank="1" showInputMessage="1" showErrorMessage="1" sqref="B17:B22">
      <formula1>Units1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2:Z50"/>
  <sheetViews>
    <sheetView showGridLines="0" zoomScaleNormal="100" workbookViewId="0">
      <selection activeCell="C18" sqref="C18"/>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tr">
        <f>IF('1. Information Sheet'!F26="COS", "Calculation of " &amp; '1. Information Sheet'!M26 &amp; " Revenue Requirement.  No input required.", "Calculation of pro forma " &amp; '1. Information Sheet'!F34 &amp; " Revenues.  No input required.")</f>
        <v>Calculation of pro forma 2011 Revenues.  No input required.</v>
      </c>
    </row>
    <row r="14" spans="1:26" ht="21.75" thickBot="1" x14ac:dyDescent="0.3">
      <c r="C14" s="485" t="str">
        <f>'3. Growth Factor - NUM_CALC1'!C15</f>
        <v>2021 Actual Distribution Demand</v>
      </c>
      <c r="D14" s="485"/>
      <c r="E14" s="485"/>
      <c r="F14" s="108"/>
      <c r="G14" s="485" t="str">
        <f>'3. Growth Factor - NUM_CALC1'!G15:I15</f>
        <v>Current Approved Distribution Rates</v>
      </c>
      <c r="H14" s="485"/>
      <c r="I14" s="485"/>
    </row>
    <row r="15" spans="1:26" s="112" customFormat="1" ht="63" x14ac:dyDescent="0.25">
      <c r="A15" s="109" t="s">
        <v>593</v>
      </c>
      <c r="B15" s="110"/>
      <c r="C15" s="111" t="s">
        <v>594</v>
      </c>
      <c r="D15" s="111" t="s">
        <v>595</v>
      </c>
      <c r="E15" s="111" t="s">
        <v>596</v>
      </c>
      <c r="F15" s="111"/>
      <c r="G15" s="111" t="s">
        <v>597</v>
      </c>
      <c r="H15" s="111" t="s">
        <v>598</v>
      </c>
      <c r="I15" s="111" t="s">
        <v>599</v>
      </c>
      <c r="J15" s="111"/>
      <c r="K15" s="111" t="s">
        <v>601</v>
      </c>
      <c r="L15" s="111" t="s">
        <v>602</v>
      </c>
      <c r="M15" s="111" t="s">
        <v>603</v>
      </c>
      <c r="N15" s="111" t="s">
        <v>604</v>
      </c>
      <c r="O15" s="111"/>
      <c r="P15" s="111" t="s">
        <v>605</v>
      </c>
      <c r="Q15" s="111" t="s">
        <v>606</v>
      </c>
      <c r="R15" s="111" t="s">
        <v>607</v>
      </c>
      <c r="S15" s="111" t="s">
        <v>608</v>
      </c>
    </row>
    <row r="16" spans="1:26" s="118" customFormat="1" ht="15.75" x14ac:dyDescent="0.25">
      <c r="A16" s="113"/>
      <c r="B16" s="114"/>
      <c r="C16" s="114" t="s">
        <v>618</v>
      </c>
      <c r="D16" s="114" t="s">
        <v>620</v>
      </c>
      <c r="E16" s="114" t="s">
        <v>622</v>
      </c>
      <c r="F16" s="114"/>
      <c r="G16" s="114" t="s">
        <v>609</v>
      </c>
      <c r="H16" s="114" t="s">
        <v>610</v>
      </c>
      <c r="I16" s="114" t="s">
        <v>611</v>
      </c>
      <c r="J16" s="114"/>
      <c r="K16" s="115" t="s">
        <v>627</v>
      </c>
      <c r="L16" s="115" t="s">
        <v>745</v>
      </c>
      <c r="M16" s="115" t="s">
        <v>631</v>
      </c>
      <c r="N16" s="115" t="s">
        <v>633</v>
      </c>
      <c r="O16" s="114"/>
      <c r="P16" s="116" t="s">
        <v>612</v>
      </c>
      <c r="Q16" s="116" t="s">
        <v>613</v>
      </c>
      <c r="R16" s="116" t="s">
        <v>614</v>
      </c>
      <c r="S16" s="116" t="s">
        <v>746</v>
      </c>
      <c r="T16" s="117"/>
      <c r="U16" s="117"/>
      <c r="V16" s="117"/>
      <c r="W16" s="117"/>
      <c r="X16" s="117"/>
      <c r="Y16" s="117"/>
      <c r="Z16" s="117"/>
    </row>
    <row r="17" spans="1:26" x14ac:dyDescent="0.25">
      <c r="A17" s="390" t="s">
        <v>77</v>
      </c>
      <c r="B17" s="390"/>
      <c r="C17" s="391">
        <f>'3. Growth Factor - NUM_CALC1'!C17</f>
        <v>43441</v>
      </c>
      <c r="D17" s="391">
        <f>'3. Growth Factor - NUM_CALC1'!D17</f>
        <v>394692740</v>
      </c>
      <c r="E17" s="391">
        <f>'3. Growth Factor - NUM_CALC1'!E17</f>
        <v>0</v>
      </c>
      <c r="F17" s="392"/>
      <c r="G17" s="393">
        <f>'3. Growth Factor - NUM_CALC1'!G17</f>
        <v>33.409999999999997</v>
      </c>
      <c r="H17" s="394">
        <f>'3. Growth Factor - NUM_CALC1'!H17</f>
        <v>0</v>
      </c>
      <c r="I17" s="394">
        <f>'3. Growth Factor - NUM_CALC1'!I17</f>
        <v>0</v>
      </c>
      <c r="J17" s="390"/>
      <c r="K17" s="395">
        <f t="shared" ref="K17:K22" si="0">G17*C17*12</f>
        <v>17416365.719999999</v>
      </c>
      <c r="L17" s="395">
        <f t="shared" ref="L17:M22" si="1">H17*D17</f>
        <v>0</v>
      </c>
      <c r="M17" s="395">
        <f t="shared" si="1"/>
        <v>0</v>
      </c>
      <c r="N17" s="395">
        <f t="shared" ref="N17:N22" si="2">SUM(K17,L17,M17)</f>
        <v>17416365.719999999</v>
      </c>
      <c r="O17" s="390"/>
      <c r="P17" s="396">
        <f t="shared" ref="P17:P22" si="3">IF(ISERROR(K17/N17),0,ROUND(K17/N17,3))</f>
        <v>1</v>
      </c>
      <c r="Q17" s="396">
        <f t="shared" ref="Q17:Q22" si="4">IF(ISERROR(L17/N17),0,ROUND(L17/N17,3))</f>
        <v>0</v>
      </c>
      <c r="R17" s="396">
        <f t="shared" ref="R17:R22" si="5">IF(ISERROR(M17/N17),0,ROUND(M17/N17,3))</f>
        <v>0</v>
      </c>
      <c r="S17" s="396">
        <f>N17/N23</f>
        <v>0.68694096208033617</v>
      </c>
    </row>
    <row r="18" spans="1:26" x14ac:dyDescent="0.25">
      <c r="A18" s="157" t="s">
        <v>86</v>
      </c>
      <c r="B18" s="157"/>
      <c r="C18" s="397">
        <f>'3. Growth Factor - NUM_CALC1'!C18</f>
        <v>2350</v>
      </c>
      <c r="D18" s="397">
        <f>'3. Growth Factor - NUM_CALC1'!D18</f>
        <v>83266323</v>
      </c>
      <c r="E18" s="397">
        <f>'3. Growth Factor - NUM_CALC1'!E18</f>
        <v>0</v>
      </c>
      <c r="F18" s="158"/>
      <c r="G18" s="398">
        <f>'3. Growth Factor - NUM_CALC1'!G18</f>
        <v>28.08</v>
      </c>
      <c r="H18" s="399">
        <f>'3. Growth Factor - NUM_CALC1'!H18</f>
        <v>2.0799999999999999E-2</v>
      </c>
      <c r="I18" s="399">
        <f>'3. Growth Factor - NUM_CALC1'!I18</f>
        <v>0</v>
      </c>
      <c r="J18" s="157"/>
      <c r="K18" s="400">
        <f t="shared" si="0"/>
        <v>791856</v>
      </c>
      <c r="L18" s="400">
        <f t="shared" si="1"/>
        <v>1731939.5183999999</v>
      </c>
      <c r="M18" s="400">
        <f t="shared" si="1"/>
        <v>0</v>
      </c>
      <c r="N18" s="400">
        <f t="shared" si="2"/>
        <v>2523795.5183999999</v>
      </c>
      <c r="O18" s="157"/>
      <c r="P18" s="160">
        <f t="shared" si="3"/>
        <v>0.314</v>
      </c>
      <c r="Q18" s="160">
        <f t="shared" si="4"/>
        <v>0.68600000000000005</v>
      </c>
      <c r="R18" s="160">
        <f t="shared" si="5"/>
        <v>0</v>
      </c>
      <c r="S18" s="160">
        <f>N18/N23</f>
        <v>9.9544218890216141E-2</v>
      </c>
    </row>
    <row r="19" spans="1:26" x14ac:dyDescent="0.25">
      <c r="A19" s="157" t="s">
        <v>89</v>
      </c>
      <c r="B19" s="157"/>
      <c r="C19" s="397">
        <f>'3. Growth Factor - NUM_CALC1'!C19</f>
        <v>398</v>
      </c>
      <c r="D19" s="397">
        <f>'3. Growth Factor - NUM_CALC1'!D19</f>
        <v>0</v>
      </c>
      <c r="E19" s="397">
        <f>'3. Growth Factor - NUM_CALC1'!E19</f>
        <v>915640</v>
      </c>
      <c r="F19" s="158"/>
      <c r="G19" s="398">
        <f>'3. Growth Factor - NUM_CALC1'!G19</f>
        <v>213.88</v>
      </c>
      <c r="H19" s="399">
        <f>'3. Growth Factor - NUM_CALC1'!H19</f>
        <v>0</v>
      </c>
      <c r="I19" s="399">
        <f>'3. Growth Factor - NUM_CALC1'!I19</f>
        <v>4.2717000000000001</v>
      </c>
      <c r="J19" s="157"/>
      <c r="K19" s="400">
        <f t="shared" si="0"/>
        <v>1021490.8800000001</v>
      </c>
      <c r="L19" s="400">
        <f t="shared" si="1"/>
        <v>0</v>
      </c>
      <c r="M19" s="400">
        <f t="shared" si="1"/>
        <v>3911339.3880000003</v>
      </c>
      <c r="N19" s="400">
        <f t="shared" si="2"/>
        <v>4932830.2680000002</v>
      </c>
      <c r="O19" s="157"/>
      <c r="P19" s="160">
        <f t="shared" si="3"/>
        <v>0.20699999999999999</v>
      </c>
      <c r="Q19" s="160">
        <f t="shared" si="4"/>
        <v>0</v>
      </c>
      <c r="R19" s="160">
        <f t="shared" si="5"/>
        <v>0.79300000000000004</v>
      </c>
      <c r="S19" s="160">
        <f>N19/N23</f>
        <v>0.19456201279625648</v>
      </c>
    </row>
    <row r="20" spans="1:26" x14ac:dyDescent="0.25">
      <c r="A20" s="157" t="s">
        <v>123</v>
      </c>
      <c r="B20" s="157"/>
      <c r="C20" s="397">
        <f>'3. Growth Factor - NUM_CALC1'!C20</f>
        <v>392</v>
      </c>
      <c r="D20" s="397">
        <f>'3. Growth Factor - NUM_CALC1'!D20</f>
        <v>1852550</v>
      </c>
      <c r="E20" s="397">
        <f>'3. Growth Factor - NUM_CALC1'!E20</f>
        <v>0</v>
      </c>
      <c r="F20" s="158"/>
      <c r="G20" s="398">
        <f>'3. Growth Factor - NUM_CALC1'!G20</f>
        <v>10.4</v>
      </c>
      <c r="H20" s="399">
        <f>'3. Growth Factor - NUM_CALC1'!H20</f>
        <v>3.32E-2</v>
      </c>
      <c r="I20" s="399">
        <f>'3. Growth Factor - NUM_CALC1'!I20</f>
        <v>0</v>
      </c>
      <c r="J20" s="157"/>
      <c r="K20" s="400">
        <f t="shared" si="0"/>
        <v>48921.600000000006</v>
      </c>
      <c r="L20" s="400">
        <f t="shared" si="1"/>
        <v>61504.66</v>
      </c>
      <c r="M20" s="400">
        <f t="shared" si="1"/>
        <v>0</v>
      </c>
      <c r="N20" s="400">
        <f t="shared" si="2"/>
        <v>110426.26000000001</v>
      </c>
      <c r="O20" s="157"/>
      <c r="P20" s="160">
        <f t="shared" si="3"/>
        <v>0.443</v>
      </c>
      <c r="Q20" s="160">
        <f t="shared" si="4"/>
        <v>0.55700000000000005</v>
      </c>
      <c r="R20" s="160">
        <f t="shared" si="5"/>
        <v>0</v>
      </c>
      <c r="S20" s="160">
        <f>N20/N23</f>
        <v>4.355462126993814E-3</v>
      </c>
    </row>
    <row r="21" spans="1:26" x14ac:dyDescent="0.25">
      <c r="A21" s="157" t="s">
        <v>132</v>
      </c>
      <c r="B21" s="157"/>
      <c r="C21" s="397">
        <f>'3. Growth Factor - NUM_CALC1'!C21</f>
        <v>47</v>
      </c>
      <c r="D21" s="397">
        <f>'3. Growth Factor - NUM_CALC1'!D21</f>
        <v>0</v>
      </c>
      <c r="E21" s="397">
        <f>'3. Growth Factor - NUM_CALC1'!E21</f>
        <v>71</v>
      </c>
      <c r="F21" s="158"/>
      <c r="G21" s="398">
        <f>'3. Growth Factor - NUM_CALC1'!G21</f>
        <v>6.11</v>
      </c>
      <c r="H21" s="399">
        <f>'3. Growth Factor - NUM_CALC1'!H21</f>
        <v>0</v>
      </c>
      <c r="I21" s="399">
        <f>'3. Growth Factor - NUM_CALC1'!I21</f>
        <v>16.445799999999998</v>
      </c>
      <c r="J21" s="157"/>
      <c r="K21" s="400">
        <f t="shared" si="0"/>
        <v>3446.04</v>
      </c>
      <c r="L21" s="400">
        <f t="shared" si="1"/>
        <v>0</v>
      </c>
      <c r="M21" s="400">
        <f t="shared" si="1"/>
        <v>1167.6517999999999</v>
      </c>
      <c r="N21" s="400">
        <f t="shared" si="2"/>
        <v>4613.6917999999996</v>
      </c>
      <c r="O21" s="157"/>
      <c r="P21" s="160">
        <f t="shared" si="3"/>
        <v>0.747</v>
      </c>
      <c r="Q21" s="160">
        <f t="shared" si="4"/>
        <v>0</v>
      </c>
      <c r="R21" s="160">
        <f t="shared" si="5"/>
        <v>0.253</v>
      </c>
      <c r="S21" s="160">
        <f>N21/N23</f>
        <v>1.8197446785322546E-4</v>
      </c>
    </row>
    <row r="22" spans="1:26" x14ac:dyDescent="0.25">
      <c r="A22" s="157" t="s">
        <v>68</v>
      </c>
      <c r="B22" s="157"/>
      <c r="C22" s="397">
        <f>'3. Growth Factor - NUM_CALC1'!C22</f>
        <v>13214</v>
      </c>
      <c r="D22" s="397">
        <f>'3. Growth Factor - NUM_CALC1'!D22</f>
        <v>0</v>
      </c>
      <c r="E22" s="397">
        <f>'3. Growth Factor - NUM_CALC1'!E22</f>
        <v>9363</v>
      </c>
      <c r="F22" s="158"/>
      <c r="G22" s="398">
        <f>'3. Growth Factor - NUM_CALC1'!G22</f>
        <v>1.88</v>
      </c>
      <c r="H22" s="399">
        <f>'3. Growth Factor - NUM_CALC1'!H22</f>
        <v>0</v>
      </c>
      <c r="I22" s="399">
        <f>'3. Growth Factor - NUM_CALC1'!I22</f>
        <v>7.1955999999999998</v>
      </c>
      <c r="J22" s="157"/>
      <c r="K22" s="400">
        <f t="shared" si="0"/>
        <v>298107.83999999997</v>
      </c>
      <c r="L22" s="400">
        <f t="shared" si="1"/>
        <v>0</v>
      </c>
      <c r="M22" s="400">
        <f t="shared" si="1"/>
        <v>67372.402799999996</v>
      </c>
      <c r="N22" s="400">
        <f t="shared" si="2"/>
        <v>365480.24279999995</v>
      </c>
      <c r="O22" s="157"/>
      <c r="P22" s="160">
        <f t="shared" si="3"/>
        <v>0.81599999999999995</v>
      </c>
      <c r="Q22" s="160">
        <f t="shared" si="4"/>
        <v>0</v>
      </c>
      <c r="R22" s="160">
        <f t="shared" si="5"/>
        <v>0.184</v>
      </c>
      <c r="S22" s="160">
        <f>N22/N23</f>
        <v>1.4415369638344206E-2</v>
      </c>
    </row>
    <row r="23" spans="1:26" x14ac:dyDescent="0.25">
      <c r="A23" s="119" t="s">
        <v>767</v>
      </c>
      <c r="B23" s="119"/>
      <c r="C23" s="401">
        <f>SUM(C17:C22)</f>
        <v>59842</v>
      </c>
      <c r="D23" s="401">
        <f>SUM(D17:D22)</f>
        <v>479811613</v>
      </c>
      <c r="E23" s="401">
        <f>SUM(E17:E22)</f>
        <v>925074</v>
      </c>
      <c r="F23" s="120"/>
      <c r="G23" s="120"/>
      <c r="H23" s="120"/>
      <c r="I23" s="120"/>
      <c r="J23" s="119"/>
      <c r="K23" s="121">
        <f>SUM(K17:K22)</f>
        <v>19580188.079999998</v>
      </c>
      <c r="L23" s="121">
        <f>SUM(L17:L22)</f>
        <v>1793444.1783999999</v>
      </c>
      <c r="M23" s="121">
        <f>SUM(M17:M22)</f>
        <v>3979879.4426000002</v>
      </c>
      <c r="N23" s="121">
        <f>SUM(N17:N22)</f>
        <v>25353511.700999998</v>
      </c>
      <c r="O23" s="119"/>
      <c r="P23" s="122"/>
      <c r="Q23" s="122"/>
      <c r="R23" s="122"/>
      <c r="S23" s="122">
        <f>SUM(S17:S22)</f>
        <v>1</v>
      </c>
      <c r="T23" s="117"/>
      <c r="U23" s="117"/>
      <c r="V23" s="117"/>
      <c r="W23" s="117"/>
      <c r="X23" s="117"/>
      <c r="Y23" s="117"/>
      <c r="Z23" s="117"/>
    </row>
    <row r="24" spans="1:26" x14ac:dyDescent="0.25">
      <c r="C24" s="123"/>
      <c r="D24" s="123"/>
      <c r="E24" s="123"/>
      <c r="F24" s="123"/>
      <c r="G24" s="123"/>
      <c r="H24" s="123"/>
      <c r="I24" s="123"/>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2ldB+4qX3qD7bpVxUa3XbgQ5IgY39utC2fqFdS9462fKcSE8W1tIVerCHpz9+n7HQVE8ufsY9mWflSYhcML1/A==" saltValue="9KY/+PHT1NF4BkkDwHQ6+Q=="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01"/>
  <sheetViews>
    <sheetView showGridLines="0" topLeftCell="A21" zoomScaleNormal="100" workbookViewId="0">
      <selection activeCell="E65" sqref="E65"/>
    </sheetView>
  </sheetViews>
  <sheetFormatPr defaultColWidth="9.140625" defaultRowHeight="15" customHeight="1" zeroHeight="1" x14ac:dyDescent="0.2"/>
  <cols>
    <col min="1" max="1" width="70.140625" style="126" bestFit="1" customWidth="1"/>
    <col min="2" max="2" width="9.140625" style="126" customWidth="1"/>
    <col min="3" max="3" width="22.42578125" style="126" customWidth="1"/>
    <col min="4" max="4" width="3.5703125" style="126" customWidth="1"/>
    <col min="5" max="5" width="26.5703125" style="126" customWidth="1"/>
    <col min="6" max="6" width="23.5703125" style="156" bestFit="1" customWidth="1"/>
    <col min="7" max="7" width="26.5703125" style="126" customWidth="1"/>
    <col min="8" max="8" width="23.5703125" style="156" bestFit="1" customWidth="1"/>
    <col min="9" max="9" width="11.85546875" style="156" customWidth="1"/>
    <col min="10" max="11" width="11.42578125" style="126" customWidth="1"/>
    <col min="12" max="16384" width="9.140625" style="126"/>
  </cols>
  <sheetData>
    <row r="1" spans="1:11" ht="33.75" customHeight="1" x14ac:dyDescent="0.2">
      <c r="A1" s="124"/>
      <c r="B1" s="124"/>
      <c r="C1" s="124"/>
      <c r="D1" s="124"/>
      <c r="E1" s="124"/>
      <c r="F1" s="124"/>
      <c r="G1" s="124"/>
      <c r="H1" s="124"/>
      <c r="I1" s="125"/>
      <c r="J1" s="124"/>
      <c r="K1" s="124"/>
    </row>
    <row r="2" spans="1:11" s="124" customFormat="1" ht="33.75" customHeight="1" x14ac:dyDescent="0.25">
      <c r="C2" s="127"/>
      <c r="F2" s="125"/>
      <c r="H2" s="125"/>
      <c r="I2" s="125"/>
    </row>
    <row r="3" spans="1:11" s="124" customFormat="1" ht="33.75" customHeight="1" x14ac:dyDescent="0.25">
      <c r="C3" s="127"/>
      <c r="F3" s="125"/>
      <c r="H3" s="125"/>
      <c r="I3" s="125"/>
    </row>
    <row r="4" spans="1:11" s="124" customFormat="1" ht="33.75" customHeight="1" x14ac:dyDescent="0.25">
      <c r="C4" s="127"/>
      <c r="F4" s="125"/>
      <c r="H4" s="125"/>
      <c r="I4" s="125"/>
    </row>
    <row r="5" spans="1:11" s="124" customFormat="1" ht="18" x14ac:dyDescent="0.25">
      <c r="C5" s="127"/>
      <c r="F5" s="125"/>
      <c r="H5" s="125"/>
      <c r="I5" s="125"/>
    </row>
    <row r="6" spans="1:11" s="124" customFormat="1" ht="15.75" x14ac:dyDescent="0.25">
      <c r="A6" s="128"/>
      <c r="F6" s="125"/>
      <c r="H6" s="125"/>
      <c r="I6" s="125"/>
    </row>
    <row r="7" spans="1:11" s="124" customFormat="1" x14ac:dyDescent="0.2">
      <c r="F7" s="125"/>
      <c r="H7" s="125"/>
      <c r="I7" s="125"/>
    </row>
    <row r="8" spans="1:11" s="124" customFormat="1" ht="21" thickBot="1" x14ac:dyDescent="0.35">
      <c r="A8" s="129" t="s">
        <v>615</v>
      </c>
      <c r="B8" s="130"/>
      <c r="C8" s="486" t="str">
        <f>IF('1. Information Sheet'!F26="COS",CONCATENATE('1. Information Sheet'!M26," Test Year COS Rebasing"),CONCATENATE("Last COS Rebasing: ",'1. Information Sheet'!F34))</f>
        <v>Last COS Rebasing: 2011</v>
      </c>
      <c r="D8" s="486"/>
      <c r="E8" s="486"/>
      <c r="F8" s="486"/>
      <c r="G8" s="125"/>
    </row>
    <row r="9" spans="1:11" s="124" customFormat="1" ht="18" x14ac:dyDescent="0.25">
      <c r="A9" s="131" t="s">
        <v>616</v>
      </c>
      <c r="B9" s="130"/>
      <c r="C9" s="132"/>
      <c r="D9" s="132"/>
      <c r="E9" s="132"/>
      <c r="F9" s="132"/>
      <c r="G9" s="125"/>
    </row>
    <row r="10" spans="1:11" s="124" customFormat="1" x14ac:dyDescent="0.2">
      <c r="A10" s="133" t="s">
        <v>617</v>
      </c>
      <c r="B10" s="130"/>
      <c r="C10" s="184">
        <v>129145318</v>
      </c>
      <c r="D10" s="134" t="s">
        <v>618</v>
      </c>
      <c r="E10" s="135"/>
      <c r="F10" s="136"/>
      <c r="G10" s="125"/>
    </row>
    <row r="11" spans="1:11" s="124" customFormat="1" x14ac:dyDescent="0.2">
      <c r="A11" s="133" t="s">
        <v>619</v>
      </c>
      <c r="B11" s="130"/>
      <c r="C11" s="184"/>
      <c r="D11" s="134" t="s">
        <v>620</v>
      </c>
      <c r="E11" s="135"/>
      <c r="F11" s="136"/>
      <c r="G11" s="125"/>
    </row>
    <row r="12" spans="1:11" s="124" customFormat="1" x14ac:dyDescent="0.2">
      <c r="A12" s="133" t="s">
        <v>621</v>
      </c>
      <c r="B12" s="130"/>
      <c r="C12" s="184"/>
      <c r="D12" s="134" t="s">
        <v>622</v>
      </c>
      <c r="E12" s="135"/>
      <c r="F12" s="136"/>
      <c r="G12" s="125"/>
    </row>
    <row r="13" spans="1:11" s="124" customFormat="1" x14ac:dyDescent="0.2">
      <c r="A13" s="133" t="s">
        <v>623</v>
      </c>
      <c r="B13" s="130"/>
      <c r="C13" s="184"/>
      <c r="D13" s="134" t="s">
        <v>609</v>
      </c>
      <c r="E13" s="135"/>
      <c r="F13" s="136"/>
      <c r="G13" s="125"/>
    </row>
    <row r="14" spans="1:11" s="124" customFormat="1" x14ac:dyDescent="0.2">
      <c r="A14" s="133" t="s">
        <v>624</v>
      </c>
      <c r="B14" s="130"/>
      <c r="C14" s="184"/>
      <c r="D14" s="137" t="s">
        <v>610</v>
      </c>
      <c r="E14" s="135"/>
      <c r="F14" s="136"/>
      <c r="G14" s="125"/>
    </row>
    <row r="15" spans="1:11" s="124" customFormat="1" x14ac:dyDescent="0.2">
      <c r="A15" s="133" t="s">
        <v>625</v>
      </c>
      <c r="B15" s="130"/>
      <c r="C15" s="184"/>
      <c r="D15" s="134" t="s">
        <v>611</v>
      </c>
      <c r="E15" s="135"/>
      <c r="F15" s="136"/>
      <c r="G15" s="125"/>
    </row>
    <row r="16" spans="1:11" s="124" customFormat="1" x14ac:dyDescent="0.2">
      <c r="A16" s="133" t="s">
        <v>626</v>
      </c>
      <c r="B16" s="130"/>
      <c r="C16" s="138">
        <f>SUM(C10:C15)</f>
        <v>129145318</v>
      </c>
      <c r="D16" s="139" t="s">
        <v>627</v>
      </c>
      <c r="E16" s="135"/>
      <c r="F16" s="134"/>
      <c r="G16" s="125"/>
    </row>
    <row r="17" spans="1:9" s="124" customFormat="1" x14ac:dyDescent="0.2">
      <c r="A17" s="133" t="s">
        <v>628</v>
      </c>
      <c r="B17" s="130"/>
      <c r="C17" s="140"/>
      <c r="D17" s="136"/>
      <c r="E17" s="138">
        <f>(C10+C16)/2</f>
        <v>129145318</v>
      </c>
      <c r="F17" s="141" t="s">
        <v>629</v>
      </c>
      <c r="G17" s="125"/>
    </row>
    <row r="18" spans="1:9" s="124" customFormat="1" x14ac:dyDescent="0.2">
      <c r="B18" s="130"/>
      <c r="C18" s="140"/>
      <c r="D18" s="136"/>
      <c r="E18" s="140"/>
      <c r="F18" s="134"/>
      <c r="G18" s="125"/>
    </row>
    <row r="19" spans="1:9" s="124" customFormat="1" x14ac:dyDescent="0.2">
      <c r="A19" s="133" t="s">
        <v>630</v>
      </c>
      <c r="B19" s="130"/>
      <c r="C19" s="184">
        <v>64061997</v>
      </c>
      <c r="D19" s="141" t="s">
        <v>631</v>
      </c>
      <c r="E19" s="140"/>
      <c r="F19" s="134"/>
      <c r="G19" s="125"/>
    </row>
    <row r="20" spans="1:9" s="124" customFormat="1" x14ac:dyDescent="0.2">
      <c r="A20" s="133" t="s">
        <v>632</v>
      </c>
      <c r="B20" s="130"/>
      <c r="C20" s="184">
        <v>4800644</v>
      </c>
      <c r="D20" s="141" t="s">
        <v>633</v>
      </c>
      <c r="E20" s="140"/>
      <c r="F20" s="134"/>
      <c r="G20" s="125"/>
      <c r="I20" s="142"/>
    </row>
    <row r="21" spans="1:9" s="124" customFormat="1" x14ac:dyDescent="0.2">
      <c r="A21" s="133" t="s">
        <v>634</v>
      </c>
      <c r="B21" s="130"/>
      <c r="C21" s="184"/>
      <c r="D21" s="143" t="s">
        <v>635</v>
      </c>
      <c r="E21" s="140"/>
      <c r="F21" s="134"/>
      <c r="G21" s="125"/>
    </row>
    <row r="22" spans="1:9" s="124" customFormat="1" x14ac:dyDescent="0.2">
      <c r="A22" s="133" t="s">
        <v>636</v>
      </c>
      <c r="B22" s="130"/>
      <c r="C22" s="184"/>
      <c r="D22" s="134" t="s">
        <v>637</v>
      </c>
      <c r="E22" s="140"/>
      <c r="F22" s="134"/>
      <c r="G22" s="125"/>
    </row>
    <row r="23" spans="1:9" s="124" customFormat="1" x14ac:dyDescent="0.2">
      <c r="A23" s="133" t="s">
        <v>638</v>
      </c>
      <c r="B23" s="130"/>
      <c r="C23" s="138">
        <f>SUM(C19:C22)</f>
        <v>68862641</v>
      </c>
      <c r="D23" s="134" t="s">
        <v>639</v>
      </c>
      <c r="E23" s="140"/>
      <c r="F23" s="134"/>
      <c r="G23" s="125"/>
    </row>
    <row r="24" spans="1:9" s="124" customFormat="1" x14ac:dyDescent="0.2">
      <c r="A24" s="133" t="s">
        <v>640</v>
      </c>
      <c r="B24" s="130"/>
      <c r="C24" s="140"/>
      <c r="D24" s="136"/>
      <c r="E24" s="138">
        <f>SUM(C19,C23)/2</f>
        <v>66462319</v>
      </c>
      <c r="F24" s="134" t="s">
        <v>641</v>
      </c>
      <c r="G24" s="125"/>
    </row>
    <row r="25" spans="1:9" s="124" customFormat="1" x14ac:dyDescent="0.2">
      <c r="B25" s="130"/>
      <c r="C25" s="140"/>
      <c r="D25" s="136"/>
      <c r="E25" s="140"/>
      <c r="F25" s="136"/>
      <c r="G25" s="125"/>
    </row>
    <row r="26" spans="1:9" s="124" customFormat="1" ht="15.75" x14ac:dyDescent="0.25">
      <c r="A26" s="128" t="s">
        <v>642</v>
      </c>
      <c r="B26" s="130"/>
      <c r="C26" s="140"/>
      <c r="D26" s="136"/>
      <c r="E26" s="144">
        <f>E17-E24</f>
        <v>62682999</v>
      </c>
      <c r="F26" s="143" t="s">
        <v>643</v>
      </c>
      <c r="G26" s="125"/>
    </row>
    <row r="27" spans="1:9" s="124" customFormat="1" x14ac:dyDescent="0.2">
      <c r="B27" s="130"/>
      <c r="C27" s="140"/>
      <c r="D27" s="136"/>
      <c r="E27" s="140"/>
      <c r="F27" s="136"/>
      <c r="G27" s="125"/>
    </row>
    <row r="28" spans="1:9" s="124" customFormat="1" ht="15.75" x14ac:dyDescent="0.25">
      <c r="A28" s="128" t="s">
        <v>644</v>
      </c>
      <c r="B28" s="130"/>
      <c r="C28" s="140"/>
      <c r="D28" s="136"/>
      <c r="E28" s="135"/>
      <c r="F28" s="134"/>
      <c r="G28" s="125"/>
    </row>
    <row r="29" spans="1:9" s="124" customFormat="1" x14ac:dyDescent="0.2">
      <c r="A29" s="133" t="s">
        <v>645</v>
      </c>
      <c r="B29" s="130"/>
      <c r="C29" s="184">
        <v>87235651</v>
      </c>
      <c r="D29" s="145" t="s">
        <v>646</v>
      </c>
      <c r="E29" s="140"/>
      <c r="F29" s="136"/>
      <c r="G29" s="125"/>
    </row>
    <row r="30" spans="1:9" s="124" customFormat="1" x14ac:dyDescent="0.2">
      <c r="A30" s="133" t="s">
        <v>647</v>
      </c>
      <c r="B30" s="130"/>
      <c r="C30" s="185">
        <v>0.15</v>
      </c>
      <c r="D30" s="143" t="s">
        <v>648</v>
      </c>
      <c r="E30" s="140"/>
      <c r="F30" s="136"/>
      <c r="G30" s="125"/>
    </row>
    <row r="31" spans="1:9" s="124" customFormat="1" ht="15.75" x14ac:dyDescent="0.25">
      <c r="A31" s="128" t="s">
        <v>644</v>
      </c>
      <c r="B31" s="130"/>
      <c r="C31" s="140"/>
      <c r="D31" s="143"/>
      <c r="E31" s="144">
        <f>C29*C30</f>
        <v>13085347.65</v>
      </c>
      <c r="F31" s="134" t="s">
        <v>649</v>
      </c>
      <c r="G31" s="125"/>
    </row>
    <row r="32" spans="1:9" s="124" customFormat="1" x14ac:dyDescent="0.2">
      <c r="B32" s="130"/>
      <c r="C32" s="140"/>
      <c r="D32" s="136"/>
      <c r="E32" s="140"/>
      <c r="F32" s="136"/>
      <c r="G32" s="125"/>
    </row>
    <row r="33" spans="1:7" s="124" customFormat="1" ht="15.75" x14ac:dyDescent="0.25">
      <c r="A33" s="128" t="s">
        <v>650</v>
      </c>
      <c r="B33" s="130"/>
      <c r="C33" s="140"/>
      <c r="D33" s="136"/>
      <c r="E33" s="146">
        <f>SUM(E26,E31)</f>
        <v>75768346.650000006</v>
      </c>
      <c r="F33" s="134" t="s">
        <v>651</v>
      </c>
      <c r="G33" s="125"/>
    </row>
    <row r="34" spans="1:7" s="124" customFormat="1" ht="15.75" x14ac:dyDescent="0.25">
      <c r="A34" s="128"/>
      <c r="B34" s="130"/>
      <c r="C34" s="140"/>
      <c r="D34" s="136"/>
      <c r="E34" s="147"/>
      <c r="F34" s="136"/>
      <c r="G34" s="125"/>
    </row>
    <row r="35" spans="1:7" s="124" customFormat="1" ht="18" x14ac:dyDescent="0.25">
      <c r="A35" s="131" t="s">
        <v>652</v>
      </c>
      <c r="B35" s="130"/>
      <c r="C35" s="140"/>
      <c r="D35" s="136"/>
      <c r="E35" s="140"/>
      <c r="F35" s="136"/>
      <c r="G35" s="125"/>
    </row>
    <row r="36" spans="1:7" s="124" customFormat="1" ht="14.25" customHeight="1" x14ac:dyDescent="0.2">
      <c r="A36" s="124" t="s">
        <v>653</v>
      </c>
      <c r="B36" s="130"/>
      <c r="C36" s="148">
        <v>0.04</v>
      </c>
      <c r="D36" s="136" t="s">
        <v>654</v>
      </c>
      <c r="E36" s="138">
        <f>E33*C36</f>
        <v>3030733.8660000004</v>
      </c>
      <c r="F36" s="134" t="s">
        <v>655</v>
      </c>
      <c r="G36" s="125"/>
    </row>
    <row r="37" spans="1:7" s="124" customFormat="1" x14ac:dyDescent="0.2">
      <c r="A37" s="124" t="s">
        <v>656</v>
      </c>
      <c r="B37" s="130"/>
      <c r="C37" s="186">
        <v>0.56000000000000005</v>
      </c>
      <c r="D37" s="134" t="s">
        <v>657</v>
      </c>
      <c r="E37" s="138">
        <f>E33*C37</f>
        <v>42430274.124000005</v>
      </c>
      <c r="F37" s="136" t="s">
        <v>658</v>
      </c>
      <c r="G37" s="125"/>
    </row>
    <row r="38" spans="1:7" s="124" customFormat="1" x14ac:dyDescent="0.2">
      <c r="A38" s="124" t="s">
        <v>659</v>
      </c>
      <c r="B38" s="130"/>
      <c r="C38" s="148">
        <f>1-C36-C37</f>
        <v>0.39999999999999991</v>
      </c>
      <c r="D38" s="149" t="s">
        <v>660</v>
      </c>
      <c r="E38" s="138">
        <f>E33*C38</f>
        <v>30307338.659999996</v>
      </c>
      <c r="F38" s="134" t="s">
        <v>661</v>
      </c>
      <c r="G38" s="125"/>
    </row>
    <row r="39" spans="1:7" s="124" customFormat="1" x14ac:dyDescent="0.2">
      <c r="B39" s="130"/>
      <c r="C39" s="136"/>
      <c r="D39" s="136"/>
      <c r="E39" s="140"/>
      <c r="F39" s="136"/>
      <c r="G39" s="125"/>
    </row>
    <row r="40" spans="1:7" s="124" customFormat="1" x14ac:dyDescent="0.2">
      <c r="A40" s="124" t="s">
        <v>662</v>
      </c>
      <c r="B40" s="130"/>
      <c r="C40" s="186">
        <v>2.4299999999999999E-2</v>
      </c>
      <c r="D40" s="139" t="s">
        <v>663</v>
      </c>
      <c r="E40" s="138">
        <f>E36*C40</f>
        <v>73646.832943800007</v>
      </c>
      <c r="F40" s="136" t="s">
        <v>664</v>
      </c>
      <c r="G40" s="125"/>
    </row>
    <row r="41" spans="1:7" s="124" customFormat="1" x14ac:dyDescent="0.2">
      <c r="A41" s="124" t="s">
        <v>665</v>
      </c>
      <c r="B41" s="130"/>
      <c r="C41" s="186">
        <v>5.4800000000000001E-2</v>
      </c>
      <c r="D41" s="136" t="s">
        <v>666</v>
      </c>
      <c r="E41" s="138">
        <f>E37*C41</f>
        <v>2325179.0219952003</v>
      </c>
      <c r="F41" s="136" t="s">
        <v>667</v>
      </c>
      <c r="G41" s="125"/>
    </row>
    <row r="42" spans="1:7" s="124" customFormat="1" x14ac:dyDescent="0.2">
      <c r="A42" s="124" t="s">
        <v>668</v>
      </c>
      <c r="B42" s="130"/>
      <c r="C42" s="186">
        <v>9.6600000000000005E-2</v>
      </c>
      <c r="D42" s="136" t="s">
        <v>669</v>
      </c>
      <c r="E42" s="150">
        <f>E38*C42</f>
        <v>2927688.9145559999</v>
      </c>
      <c r="F42" s="136" t="s">
        <v>670</v>
      </c>
      <c r="G42" s="125"/>
    </row>
    <row r="43" spans="1:7" s="124" customFormat="1" ht="16.5" thickBot="1" x14ac:dyDescent="0.3">
      <c r="A43" s="128" t="s">
        <v>652</v>
      </c>
      <c r="B43" s="130"/>
      <c r="C43" s="140"/>
      <c r="D43" s="136"/>
      <c r="E43" s="151">
        <f>SUM(E40:E42)</f>
        <v>5326514.7694950001</v>
      </c>
      <c r="F43" s="136" t="s">
        <v>671</v>
      </c>
      <c r="G43" s="125"/>
    </row>
    <row r="44" spans="1:7" s="124" customFormat="1" x14ac:dyDescent="0.2">
      <c r="B44" s="130"/>
      <c r="C44" s="140"/>
      <c r="D44" s="136"/>
      <c r="E44" s="135"/>
      <c r="F44" s="134"/>
      <c r="G44" s="125"/>
    </row>
    <row r="45" spans="1:7" s="124" customFormat="1" ht="18" x14ac:dyDescent="0.25">
      <c r="A45" s="131" t="s">
        <v>672</v>
      </c>
      <c r="B45" s="130"/>
      <c r="C45" s="140"/>
      <c r="D45" s="136"/>
      <c r="E45" s="135"/>
      <c r="F45" s="134"/>
      <c r="G45" s="125"/>
    </row>
    <row r="46" spans="1:7" s="124" customFormat="1" x14ac:dyDescent="0.2">
      <c r="A46" s="133" t="s">
        <v>673</v>
      </c>
      <c r="B46" s="130"/>
      <c r="C46" s="184">
        <v>8879421</v>
      </c>
      <c r="D46" s="136" t="s">
        <v>674</v>
      </c>
      <c r="E46" s="140"/>
      <c r="F46" s="136"/>
      <c r="G46" s="125"/>
    </row>
    <row r="47" spans="1:7" s="124" customFormat="1" x14ac:dyDescent="0.2">
      <c r="A47" s="133" t="s">
        <v>675</v>
      </c>
      <c r="B47" s="130"/>
      <c r="C47" s="184">
        <v>4800644</v>
      </c>
      <c r="D47" s="136" t="s">
        <v>676</v>
      </c>
      <c r="E47" s="140"/>
      <c r="F47" s="136"/>
      <c r="G47" s="125"/>
    </row>
    <row r="48" spans="1:7" s="124" customFormat="1" x14ac:dyDescent="0.2">
      <c r="A48" s="133" t="s">
        <v>677</v>
      </c>
      <c r="B48" s="130"/>
      <c r="C48" s="184"/>
      <c r="D48" s="136" t="s">
        <v>678</v>
      </c>
      <c r="E48" s="140"/>
      <c r="F48" s="136"/>
      <c r="G48" s="125"/>
    </row>
    <row r="49" spans="1:7" s="124" customFormat="1" x14ac:dyDescent="0.2">
      <c r="A49" s="133" t="s">
        <v>679</v>
      </c>
      <c r="B49" s="130"/>
      <c r="C49" s="184">
        <v>1190589</v>
      </c>
      <c r="D49" s="136" t="s">
        <v>680</v>
      </c>
      <c r="E49" s="140"/>
      <c r="F49" s="136"/>
      <c r="G49" s="125"/>
    </row>
    <row r="50" spans="1:7" s="124" customFormat="1" x14ac:dyDescent="0.2">
      <c r="A50" s="133" t="s">
        <v>681</v>
      </c>
      <c r="B50" s="130"/>
      <c r="C50" s="184"/>
      <c r="D50" s="136" t="s">
        <v>682</v>
      </c>
      <c r="E50" s="140"/>
      <c r="F50" s="136"/>
      <c r="G50" s="125"/>
    </row>
    <row r="51" spans="1:7" s="124" customFormat="1" x14ac:dyDescent="0.2">
      <c r="A51" s="133" t="s">
        <v>683</v>
      </c>
      <c r="B51" s="130"/>
      <c r="C51" s="184"/>
      <c r="D51" s="136" t="s">
        <v>684</v>
      </c>
      <c r="E51" s="140"/>
      <c r="F51" s="136"/>
      <c r="G51" s="125"/>
    </row>
    <row r="52" spans="1:7" s="124" customFormat="1" x14ac:dyDescent="0.2">
      <c r="A52" s="187"/>
      <c r="B52" s="130"/>
      <c r="C52" s="184"/>
      <c r="D52" s="136" t="s">
        <v>685</v>
      </c>
      <c r="E52" s="140"/>
      <c r="F52" s="136"/>
      <c r="G52" s="125"/>
    </row>
    <row r="53" spans="1:7" s="124" customFormat="1" x14ac:dyDescent="0.2">
      <c r="A53" s="188"/>
      <c r="B53" s="130"/>
      <c r="C53" s="184"/>
      <c r="D53" s="136" t="s">
        <v>686</v>
      </c>
      <c r="E53" s="140"/>
      <c r="F53" s="136"/>
      <c r="G53" s="125"/>
    </row>
    <row r="54" spans="1:7" s="124" customFormat="1" x14ac:dyDescent="0.2">
      <c r="A54" s="188"/>
      <c r="B54" s="130"/>
      <c r="C54" s="184"/>
      <c r="D54" s="136" t="s">
        <v>687</v>
      </c>
      <c r="E54" s="140"/>
      <c r="F54" s="136"/>
      <c r="G54" s="125"/>
    </row>
    <row r="55" spans="1:7" s="124" customFormat="1" ht="15.75" x14ac:dyDescent="0.25">
      <c r="C55" s="140"/>
      <c r="D55" s="136"/>
      <c r="E55" s="152">
        <f>SUM(C46:C54)</f>
        <v>14870654</v>
      </c>
      <c r="F55" s="136" t="s">
        <v>688</v>
      </c>
      <c r="G55" s="125"/>
    </row>
    <row r="56" spans="1:7" s="124" customFormat="1" ht="18" x14ac:dyDescent="0.25">
      <c r="A56" s="131" t="s">
        <v>689</v>
      </c>
      <c r="B56" s="130"/>
      <c r="C56" s="140"/>
      <c r="D56" s="136"/>
      <c r="E56" s="140"/>
      <c r="F56" s="136"/>
      <c r="G56" s="125"/>
    </row>
    <row r="57" spans="1:7" s="124" customFormat="1" x14ac:dyDescent="0.2">
      <c r="A57" s="124" t="s">
        <v>690</v>
      </c>
      <c r="B57" s="130"/>
      <c r="C57" s="184">
        <v>-157835</v>
      </c>
      <c r="D57" s="136" t="s">
        <v>691</v>
      </c>
      <c r="E57" s="140"/>
      <c r="F57" s="136"/>
      <c r="G57" s="125"/>
    </row>
    <row r="58" spans="1:7" s="124" customFormat="1" x14ac:dyDescent="0.2">
      <c r="A58" s="124" t="s">
        <v>692</v>
      </c>
      <c r="B58" s="130"/>
      <c r="C58" s="184">
        <v>-363000</v>
      </c>
      <c r="D58" s="136" t="s">
        <v>693</v>
      </c>
      <c r="E58" s="140"/>
      <c r="F58" s="136"/>
      <c r="G58" s="125"/>
    </row>
    <row r="59" spans="1:7" s="124" customFormat="1" x14ac:dyDescent="0.2">
      <c r="A59" s="124" t="s">
        <v>694</v>
      </c>
      <c r="B59" s="130"/>
      <c r="C59" s="184">
        <v>-401909</v>
      </c>
      <c r="D59" s="136" t="s">
        <v>695</v>
      </c>
      <c r="E59" s="140"/>
      <c r="F59" s="136"/>
      <c r="G59" s="125"/>
    </row>
    <row r="60" spans="1:7" s="124" customFormat="1" ht="15.75" x14ac:dyDescent="0.25">
      <c r="A60" s="124" t="s">
        <v>696</v>
      </c>
      <c r="B60" s="130"/>
      <c r="C60" s="184">
        <v>-78000</v>
      </c>
      <c r="D60" s="136" t="s">
        <v>697</v>
      </c>
      <c r="E60" s="144">
        <f>SUM(C57:C60)</f>
        <v>-1000744</v>
      </c>
      <c r="F60" s="136" t="s">
        <v>698</v>
      </c>
      <c r="G60" s="125"/>
    </row>
    <row r="61" spans="1:7" s="124" customFormat="1" x14ac:dyDescent="0.2">
      <c r="B61" s="130"/>
      <c r="C61" s="140"/>
      <c r="D61" s="136"/>
      <c r="E61" s="135"/>
      <c r="F61" s="134"/>
      <c r="G61" s="125"/>
    </row>
    <row r="62" spans="1:7" s="124" customFormat="1" ht="18.75" thickBot="1" x14ac:dyDescent="0.3">
      <c r="A62" s="127" t="s">
        <v>699</v>
      </c>
      <c r="B62" s="130"/>
      <c r="C62" s="140"/>
      <c r="D62" s="136"/>
      <c r="E62" s="153">
        <f>SUM(E60,E55,E43)</f>
        <v>19196424.769494999</v>
      </c>
      <c r="F62" s="136" t="s">
        <v>700</v>
      </c>
      <c r="G62" s="125"/>
    </row>
    <row r="63" spans="1:7" s="124" customFormat="1" ht="15.75" x14ac:dyDescent="0.25">
      <c r="A63" s="128"/>
      <c r="B63" s="130"/>
      <c r="C63" s="140"/>
      <c r="D63" s="136"/>
      <c r="E63" s="147"/>
      <c r="F63" s="136"/>
      <c r="G63" s="125"/>
    </row>
    <row r="64" spans="1:7" s="124" customFormat="1" ht="18" x14ac:dyDescent="0.25">
      <c r="A64" s="131" t="s">
        <v>701</v>
      </c>
      <c r="B64" s="130"/>
      <c r="C64" s="140"/>
      <c r="D64" s="136"/>
      <c r="E64" s="140"/>
      <c r="F64" s="136"/>
      <c r="G64" s="125"/>
    </row>
    <row r="65" spans="1:9" s="124" customFormat="1" ht="15.75" x14ac:dyDescent="0.25">
      <c r="A65" s="128" t="s">
        <v>874</v>
      </c>
      <c r="C65" s="140"/>
      <c r="D65" s="140"/>
      <c r="E65" s="138">
        <f>'4. Growth Factor - NUM_CALC2'!N23</f>
        <v>25353511.700999998</v>
      </c>
      <c r="F65" s="136" t="s">
        <v>702</v>
      </c>
      <c r="G65" s="125"/>
    </row>
    <row r="66" spans="1:9" s="124" customFormat="1" x14ac:dyDescent="0.2">
      <c r="C66" s="140"/>
      <c r="D66" s="136"/>
      <c r="E66" s="140"/>
      <c r="F66" s="136"/>
      <c r="G66" s="125"/>
    </row>
    <row r="67" spans="1:9" s="124" customFormat="1" x14ac:dyDescent="0.2">
      <c r="C67" s="140"/>
      <c r="D67" s="136"/>
      <c r="E67" s="138"/>
      <c r="F67" s="136"/>
      <c r="G67" s="125"/>
    </row>
    <row r="68" spans="1:9" s="124" customFormat="1" x14ac:dyDescent="0.2">
      <c r="C68" s="140"/>
      <c r="D68" s="136"/>
      <c r="E68" s="154"/>
      <c r="F68" s="145"/>
      <c r="G68" s="125"/>
    </row>
    <row r="69" spans="1:9" s="124" customFormat="1" x14ac:dyDescent="0.2">
      <c r="C69" s="140"/>
      <c r="D69" s="136"/>
      <c r="E69" s="155"/>
      <c r="F69" s="136"/>
      <c r="G69" s="125"/>
    </row>
    <row r="70" spans="1:9" s="124" customFormat="1" x14ac:dyDescent="0.2">
      <c r="F70" s="125"/>
      <c r="H70" s="125"/>
      <c r="I70" s="125"/>
    </row>
    <row r="71" spans="1:9" s="124" customFormat="1" x14ac:dyDescent="0.2">
      <c r="F71" s="125"/>
      <c r="H71" s="125"/>
      <c r="I71" s="125"/>
    </row>
    <row r="72" spans="1:9" s="124" customFormat="1" x14ac:dyDescent="0.2">
      <c r="F72" s="125"/>
      <c r="H72" s="125"/>
      <c r="I72" s="125"/>
    </row>
    <row r="73" spans="1:9" s="124" customFormat="1" x14ac:dyDescent="0.2">
      <c r="F73" s="125"/>
      <c r="H73" s="125"/>
      <c r="I73" s="125"/>
    </row>
    <row r="74" spans="1:9" s="124" customFormat="1" x14ac:dyDescent="0.2">
      <c r="F74" s="125"/>
      <c r="H74" s="125"/>
      <c r="I74" s="125"/>
    </row>
    <row r="75" spans="1:9" s="124" customFormat="1" x14ac:dyDescent="0.2">
      <c r="F75" s="125"/>
      <c r="H75" s="125"/>
      <c r="I75" s="125"/>
    </row>
    <row r="76" spans="1:9" s="124" customFormat="1" x14ac:dyDescent="0.2">
      <c r="F76" s="125"/>
      <c r="H76" s="125"/>
      <c r="I76" s="125"/>
    </row>
    <row r="77" spans="1:9" s="124" customFormat="1" x14ac:dyDescent="0.2">
      <c r="F77" s="125"/>
      <c r="H77" s="125"/>
      <c r="I77" s="125"/>
    </row>
    <row r="78" spans="1:9" s="124" customFormat="1" x14ac:dyDescent="0.2">
      <c r="F78" s="125"/>
      <c r="H78" s="125"/>
      <c r="I78" s="125"/>
    </row>
    <row r="79" spans="1:9" s="124" customFormat="1" x14ac:dyDescent="0.2">
      <c r="F79" s="125"/>
      <c r="H79" s="125"/>
      <c r="I79" s="125"/>
    </row>
    <row r="80" spans="1:9" s="124" customFormat="1" x14ac:dyDescent="0.2">
      <c r="F80" s="125"/>
      <c r="H80" s="125"/>
      <c r="I80" s="125"/>
    </row>
    <row r="81" spans="6:9" s="124" customFormat="1" x14ac:dyDescent="0.2">
      <c r="F81" s="125"/>
      <c r="H81" s="125"/>
      <c r="I81" s="125"/>
    </row>
    <row r="82" spans="6:9" s="124" customFormat="1" x14ac:dyDescent="0.2">
      <c r="F82" s="125"/>
      <c r="H82" s="125"/>
      <c r="I82" s="125"/>
    </row>
    <row r="83" spans="6:9" s="124" customFormat="1" x14ac:dyDescent="0.2">
      <c r="F83" s="125"/>
      <c r="H83" s="125"/>
      <c r="I83" s="125"/>
    </row>
    <row r="84" spans="6:9" s="124" customFormat="1" x14ac:dyDescent="0.2">
      <c r="F84" s="125"/>
      <c r="H84" s="125"/>
      <c r="I84" s="125"/>
    </row>
    <row r="85" spans="6:9" s="124" customFormat="1" x14ac:dyDescent="0.2">
      <c r="F85" s="125"/>
      <c r="H85" s="125"/>
      <c r="I85" s="125"/>
    </row>
    <row r="86" spans="6:9" s="124" customFormat="1" x14ac:dyDescent="0.2">
      <c r="F86" s="125"/>
      <c r="H86" s="125"/>
      <c r="I86" s="125"/>
    </row>
    <row r="87" spans="6:9" s="124" customFormat="1" x14ac:dyDescent="0.2">
      <c r="F87" s="125"/>
      <c r="H87" s="125"/>
      <c r="I87" s="125"/>
    </row>
    <row r="88" spans="6:9" s="124" customFormat="1" x14ac:dyDescent="0.2">
      <c r="F88" s="125"/>
      <c r="H88" s="125"/>
      <c r="I88" s="125"/>
    </row>
    <row r="89" spans="6:9" ht="15" customHeight="1" x14ac:dyDescent="0.2"/>
    <row r="90" spans="6:9" ht="15" customHeight="1" x14ac:dyDescent="0.2"/>
    <row r="91" spans="6:9" ht="15" customHeight="1" x14ac:dyDescent="0.2"/>
    <row r="92" spans="6:9" ht="15" customHeight="1" x14ac:dyDescent="0.2"/>
    <row r="93" spans="6:9" ht="15" customHeight="1" x14ac:dyDescent="0.2"/>
    <row r="94" spans="6:9" ht="15" customHeight="1" x14ac:dyDescent="0.2"/>
    <row r="95" spans="6:9" ht="15" customHeight="1" x14ac:dyDescent="0.2"/>
    <row r="96" spans="6:9" ht="15" customHeight="1" x14ac:dyDescent="0.2"/>
    <row r="97" ht="15" customHeight="1" x14ac:dyDescent="0.2"/>
    <row r="98" ht="15" customHeight="1" x14ac:dyDescent="0.2"/>
    <row r="99" ht="15" customHeight="1" x14ac:dyDescent="0.2"/>
    <row r="100" ht="15" customHeight="1" x14ac:dyDescent="0.2"/>
    <row r="101" ht="15" customHeight="1" x14ac:dyDescent="0.2"/>
  </sheetData>
  <sheetProtection algorithmName="SHA-512" hashValue="LiVQos5d06eyhEYNQL1nM8tN8UGEvOQabOPQeGmxfm00UA3kQpkJNBZdQBh0dO5EjOWkpYRuClX0Stl/xMmv7g==" saltValue="+RkjHzrRD8mb5dwQSgErqA==" spinCount="100000" sheet="1" objects="1" scenarios="1"/>
  <mergeCells count="1">
    <mergeCell ref="C8:F8"/>
  </mergeCells>
  <conditionalFormatting sqref="C60">
    <cfRule type="cellIs" dxfId="56" priority="2" stopIfTrue="1" operator="greaterThan">
      <formula>0</formula>
    </cfRule>
  </conditionalFormatting>
  <conditionalFormatting sqref="C57:C59">
    <cfRule type="cellIs" dxfId="55" priority="1" stopIfTrue="1" operator="greaterThan">
      <formula>0</formula>
    </cfRule>
  </conditionalFormatting>
  <pageMargins left="0.25" right="0.26" top="0.17" bottom="0.34" header="0.23" footer="0.16"/>
  <pageSetup scale="58"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2:Z50"/>
  <sheetViews>
    <sheetView showGridLines="0" topLeftCell="A4" zoomScaleNormal="100" workbookViewId="0">
      <selection activeCell="I56" sqref="I56"/>
    </sheetView>
  </sheetViews>
  <sheetFormatPr defaultRowHeight="15" x14ac:dyDescent="0.25"/>
  <cols>
    <col min="1" max="1" width="50" customWidth="1"/>
    <col min="3" max="3" width="16" bestFit="1" customWidth="1"/>
    <col min="4" max="4" width="16.7109375" bestFit="1" customWidth="1"/>
    <col min="5"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42578125" bestFit="1"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tr">
        <f>"Input the billing determinants associated with "&amp;'1. Information Sheet'!F14&amp;"'s "&amp;'1. Information Sheet'!F49&amp;".  This sheet calculates the DENOMINATOR portion of the growth factor calculation."</f>
        <v>Input the billing determinants associated with Elexicon Energy Inc.-Whitby Rate Zone's Revenues Based on 2011 Board-Approved Distribution Demand.  This sheet calculates the DENOMINATOR portion of the growth factor calculation.</v>
      </c>
    </row>
    <row r="13" spans="1:26" ht="15.75" x14ac:dyDescent="0.25">
      <c r="A13" s="107" t="s">
        <v>703</v>
      </c>
    </row>
    <row r="14" spans="1:26" ht="30.75" customHeight="1" thickBot="1" x14ac:dyDescent="0.3">
      <c r="C14" s="487" t="str">
        <f>RIGHT('1. Information Sheet'!F49,LEN('1. Information Sheet'!F49)-18)</f>
        <v>2011 Board-Approved Distribution Demand</v>
      </c>
      <c r="D14" s="487"/>
      <c r="E14" s="487"/>
      <c r="G14" s="488" t="str">
        <f>'3. Growth Factor - NUM_CALC1'!G15</f>
        <v>Current Approved Distribution Rates</v>
      </c>
      <c r="H14" s="485"/>
      <c r="I14" s="485"/>
    </row>
    <row r="15" spans="1:26" s="112" customFormat="1" ht="63" x14ac:dyDescent="0.25">
      <c r="A15" s="109" t="s">
        <v>593</v>
      </c>
      <c r="B15" s="110"/>
      <c r="C15" s="111" t="s">
        <v>594</v>
      </c>
      <c r="D15" s="111" t="s">
        <v>595</v>
      </c>
      <c r="E15" s="111" t="s">
        <v>704</v>
      </c>
      <c r="F15" s="111"/>
      <c r="G15" s="111" t="s">
        <v>597</v>
      </c>
      <c r="H15" s="111" t="s">
        <v>598</v>
      </c>
      <c r="I15" s="111" t="s">
        <v>599</v>
      </c>
      <c r="J15" s="111"/>
      <c r="K15" s="111" t="s">
        <v>601</v>
      </c>
      <c r="L15" s="111" t="s">
        <v>602</v>
      </c>
      <c r="M15" s="111" t="s">
        <v>603</v>
      </c>
      <c r="N15" s="111" t="s">
        <v>705</v>
      </c>
      <c r="O15" s="111"/>
      <c r="P15" s="111" t="s">
        <v>605</v>
      </c>
      <c r="Q15" s="111" t="s">
        <v>606</v>
      </c>
      <c r="R15" s="111" t="s">
        <v>607</v>
      </c>
      <c r="S15" s="111" t="s">
        <v>608</v>
      </c>
    </row>
    <row r="16" spans="1:26" s="118" customFormat="1" ht="18.75" x14ac:dyDescent="0.25">
      <c r="A16" s="113"/>
      <c r="B16" s="114"/>
      <c r="C16" s="114" t="s">
        <v>618</v>
      </c>
      <c r="D16" s="114" t="s">
        <v>620</v>
      </c>
      <c r="E16" s="114" t="s">
        <v>622</v>
      </c>
      <c r="F16" s="114"/>
      <c r="G16" s="114" t="s">
        <v>609</v>
      </c>
      <c r="H16" s="114" t="s">
        <v>610</v>
      </c>
      <c r="I16" s="114" t="s">
        <v>611</v>
      </c>
      <c r="J16" s="114"/>
      <c r="K16" s="402" t="s">
        <v>627</v>
      </c>
      <c r="L16" s="402" t="s">
        <v>745</v>
      </c>
      <c r="M16" s="402" t="s">
        <v>631</v>
      </c>
      <c r="N16" s="402" t="s">
        <v>633</v>
      </c>
      <c r="O16" s="114"/>
      <c r="P16" s="116" t="s">
        <v>706</v>
      </c>
      <c r="Q16" s="116" t="s">
        <v>707</v>
      </c>
      <c r="R16" s="116" t="s">
        <v>708</v>
      </c>
      <c r="S16" s="116" t="s">
        <v>746</v>
      </c>
      <c r="T16" s="117"/>
      <c r="U16" s="117"/>
      <c r="V16" s="117"/>
      <c r="W16" s="117"/>
      <c r="X16" s="117"/>
      <c r="Y16" s="117"/>
      <c r="Z16" s="117"/>
    </row>
    <row r="17" spans="1:26" x14ac:dyDescent="0.25">
      <c r="A17" s="390" t="s">
        <v>77</v>
      </c>
      <c r="B17" s="390"/>
      <c r="C17" s="421">
        <v>36927</v>
      </c>
      <c r="D17" s="421">
        <v>350407180</v>
      </c>
      <c r="E17" s="421"/>
      <c r="F17" s="392"/>
      <c r="G17" s="393">
        <f>'3. Growth Factor - NUM_CALC1'!G17</f>
        <v>33.409999999999997</v>
      </c>
      <c r="H17" s="394">
        <f>'3. Growth Factor - NUM_CALC1'!H17</f>
        <v>0</v>
      </c>
      <c r="I17" s="394">
        <f>'3. Growth Factor - NUM_CALC1'!I17</f>
        <v>0</v>
      </c>
      <c r="J17" s="390"/>
      <c r="K17" s="422">
        <f t="shared" ref="K17:K22" si="0">G17*C17*12</f>
        <v>14804772.839999998</v>
      </c>
      <c r="L17" s="422">
        <f t="shared" ref="L17:M22" si="1">H17*D17</f>
        <v>0</v>
      </c>
      <c r="M17" s="422">
        <f t="shared" si="1"/>
        <v>0</v>
      </c>
      <c r="N17" s="422">
        <f t="shared" ref="N17:N22" si="2">SUM(K17,L17,M17)</f>
        <v>14804772.839999998</v>
      </c>
      <c r="O17" s="390"/>
      <c r="P17" s="396">
        <f>IF(ISERROR(K17/N23),0,ROUND(K17/N23,3))</f>
        <v>0.64900000000000002</v>
      </c>
      <c r="Q17" s="396">
        <f>IF(ISERROR(L17/N23),0,ROUND(L17/N23,3))</f>
        <v>0</v>
      </c>
      <c r="R17" s="396">
        <f>IF(ISERROR(M17/N23),0,ROUND(M17/N23,3))</f>
        <v>0</v>
      </c>
      <c r="S17" s="396">
        <f>N17/N23</f>
        <v>0.648592589974476</v>
      </c>
    </row>
    <row r="18" spans="1:26" x14ac:dyDescent="0.25">
      <c r="A18" s="157" t="s">
        <v>86</v>
      </c>
      <c r="B18" s="157"/>
      <c r="C18" s="403">
        <v>1909</v>
      </c>
      <c r="D18" s="403">
        <v>75150446</v>
      </c>
      <c r="E18" s="403"/>
      <c r="F18" s="158"/>
      <c r="G18" s="398">
        <f>'3. Growth Factor - NUM_CALC1'!G18</f>
        <v>28.08</v>
      </c>
      <c r="H18" s="399">
        <f>'3. Growth Factor - NUM_CALC1'!H18</f>
        <v>2.0799999999999999E-2</v>
      </c>
      <c r="I18" s="399">
        <f>'3. Growth Factor - NUM_CALC1'!I18</f>
        <v>0</v>
      </c>
      <c r="J18" s="157"/>
      <c r="K18" s="159">
        <f t="shared" si="0"/>
        <v>643256.6399999999</v>
      </c>
      <c r="L18" s="159">
        <f t="shared" si="1"/>
        <v>1563129.2767999999</v>
      </c>
      <c r="M18" s="159">
        <f t="shared" si="1"/>
        <v>0</v>
      </c>
      <c r="N18" s="159">
        <f t="shared" si="2"/>
        <v>2206385.9167999998</v>
      </c>
      <c r="O18" s="157"/>
      <c r="P18" s="160">
        <f>IF(ISERROR(K18/N23),0,ROUND(K18/N23,3))</f>
        <v>2.8000000000000001E-2</v>
      </c>
      <c r="Q18" s="160">
        <f>IF(ISERROR(L18/N23),0,ROUND(L18/N23,3))</f>
        <v>6.8000000000000005E-2</v>
      </c>
      <c r="R18" s="160">
        <f>IF(ISERROR(M18/N23),0,ROUND(M18/N23,3))</f>
        <v>0</v>
      </c>
      <c r="S18" s="160">
        <f>N18/N23</f>
        <v>9.6661095156696825E-2</v>
      </c>
    </row>
    <row r="19" spans="1:26" x14ac:dyDescent="0.25">
      <c r="A19" s="157" t="s">
        <v>89</v>
      </c>
      <c r="B19" s="157"/>
      <c r="C19" s="403">
        <v>435</v>
      </c>
      <c r="D19" s="403"/>
      <c r="E19" s="403">
        <v>966330</v>
      </c>
      <c r="F19" s="158"/>
      <c r="G19" s="398">
        <f>'3. Growth Factor - NUM_CALC1'!G19</f>
        <v>213.88</v>
      </c>
      <c r="H19" s="399">
        <f>'3. Growth Factor - NUM_CALC1'!H19</f>
        <v>0</v>
      </c>
      <c r="I19" s="399">
        <f>'3. Growth Factor - NUM_CALC1'!I19</f>
        <v>4.2717000000000001</v>
      </c>
      <c r="J19" s="157"/>
      <c r="K19" s="159">
        <f t="shared" si="0"/>
        <v>1116453.6000000001</v>
      </c>
      <c r="L19" s="159">
        <f t="shared" si="1"/>
        <v>0</v>
      </c>
      <c r="M19" s="159">
        <f t="shared" si="1"/>
        <v>4127871.861</v>
      </c>
      <c r="N19" s="159">
        <f t="shared" si="2"/>
        <v>5244325.4610000001</v>
      </c>
      <c r="O19" s="157"/>
      <c r="P19" s="160">
        <f>IF(ISERROR(K19/N23),0,ROUND(K19/N23,3))</f>
        <v>4.9000000000000002E-2</v>
      </c>
      <c r="Q19" s="160">
        <f>IF(ISERROR(L19/N23),0,ROUND(L19/N23,3))</f>
        <v>0</v>
      </c>
      <c r="R19" s="160">
        <f>IF(ISERROR(M19/N23),0,ROUND(M19/N23,3))</f>
        <v>0.18099999999999999</v>
      </c>
      <c r="S19" s="160">
        <f>N19/N23</f>
        <v>0.2297523015165073</v>
      </c>
    </row>
    <row r="20" spans="1:26" x14ac:dyDescent="0.25">
      <c r="A20" s="157" t="s">
        <v>123</v>
      </c>
      <c r="B20" s="157"/>
      <c r="C20" s="403">
        <v>391</v>
      </c>
      <c r="D20" s="403">
        <v>2493809</v>
      </c>
      <c r="E20" s="403"/>
      <c r="F20" s="158"/>
      <c r="G20" s="398">
        <f>'3. Growth Factor - NUM_CALC1'!G20</f>
        <v>10.4</v>
      </c>
      <c r="H20" s="399">
        <f>'3. Growth Factor - NUM_CALC1'!H20</f>
        <v>3.32E-2</v>
      </c>
      <c r="I20" s="399">
        <f>'3. Growth Factor - NUM_CALC1'!I20</f>
        <v>0</v>
      </c>
      <c r="J20" s="157"/>
      <c r="K20" s="159">
        <f t="shared" si="0"/>
        <v>48796.800000000003</v>
      </c>
      <c r="L20" s="159">
        <f t="shared" si="1"/>
        <v>82794.458800000008</v>
      </c>
      <c r="M20" s="159">
        <f t="shared" si="1"/>
        <v>0</v>
      </c>
      <c r="N20" s="159">
        <f t="shared" si="2"/>
        <v>131591.25880000001</v>
      </c>
      <c r="O20" s="157"/>
      <c r="P20" s="160">
        <f>IF(ISERROR(K20/N23),0,ROUND(K20/N23,3))</f>
        <v>2E-3</v>
      </c>
      <c r="Q20" s="160">
        <f>IF(ISERROR(L20/N23),0,ROUND(L20/N23,3))</f>
        <v>4.0000000000000001E-3</v>
      </c>
      <c r="R20" s="160">
        <f>IF(ISERROR(M20/N23),0,ROUND(M20/N23,3))</f>
        <v>0</v>
      </c>
      <c r="S20" s="160">
        <f>N20/N23</f>
        <v>5.7649729776666787E-3</v>
      </c>
    </row>
    <row r="21" spans="1:26" x14ac:dyDescent="0.25">
      <c r="A21" s="157" t="s">
        <v>132</v>
      </c>
      <c r="B21" s="157"/>
      <c r="C21" s="403">
        <v>37</v>
      </c>
      <c r="D21" s="403"/>
      <c r="E21" s="403">
        <v>120</v>
      </c>
      <c r="F21" s="158"/>
      <c r="G21" s="398">
        <f>'3. Growth Factor - NUM_CALC1'!G21</f>
        <v>6.11</v>
      </c>
      <c r="H21" s="399">
        <f>'3. Growth Factor - NUM_CALC1'!H21</f>
        <v>0</v>
      </c>
      <c r="I21" s="399">
        <f>'3. Growth Factor - NUM_CALC1'!I21</f>
        <v>16.445799999999998</v>
      </c>
      <c r="J21" s="157"/>
      <c r="K21" s="159">
        <f t="shared" si="0"/>
        <v>2712.84</v>
      </c>
      <c r="L21" s="159">
        <f t="shared" si="1"/>
        <v>0</v>
      </c>
      <c r="M21" s="159">
        <f t="shared" si="1"/>
        <v>1973.4959999999999</v>
      </c>
      <c r="N21" s="159">
        <f t="shared" si="2"/>
        <v>4686.3360000000002</v>
      </c>
      <c r="O21" s="157"/>
      <c r="P21" s="160">
        <f>IF(ISERROR(K21/N23),0,ROUND(K21/N23,3))</f>
        <v>0</v>
      </c>
      <c r="Q21" s="160">
        <f>IF(ISERROR(L21/N23),0,ROUND(L21/N23,3))</f>
        <v>0</v>
      </c>
      <c r="R21" s="160">
        <f>IF(ISERROR(M21/N23),0,ROUND(M21/N23,3))</f>
        <v>0</v>
      </c>
      <c r="S21" s="160">
        <f>N21/N23</f>
        <v>2.0530695314137804E-4</v>
      </c>
    </row>
    <row r="22" spans="1:26" x14ac:dyDescent="0.25">
      <c r="A22" s="157" t="s">
        <v>68</v>
      </c>
      <c r="B22" s="157"/>
      <c r="C22" s="403">
        <v>11478</v>
      </c>
      <c r="D22" s="403"/>
      <c r="E22" s="403">
        <v>24361</v>
      </c>
      <c r="F22" s="158"/>
      <c r="G22" s="398">
        <f>'3. Growth Factor - NUM_CALC1'!G22</f>
        <v>1.88</v>
      </c>
      <c r="H22" s="399">
        <f>'3. Growth Factor - NUM_CALC1'!H22</f>
        <v>0</v>
      </c>
      <c r="I22" s="399">
        <f>'3. Growth Factor - NUM_CALC1'!I22</f>
        <v>7.1955999999999998</v>
      </c>
      <c r="J22" s="157"/>
      <c r="K22" s="159">
        <f t="shared" si="0"/>
        <v>258943.68</v>
      </c>
      <c r="L22" s="159">
        <f t="shared" si="1"/>
        <v>0</v>
      </c>
      <c r="M22" s="159">
        <f t="shared" si="1"/>
        <v>175292.0116</v>
      </c>
      <c r="N22" s="159">
        <f t="shared" si="2"/>
        <v>434235.69160000002</v>
      </c>
      <c r="O22" s="157"/>
      <c r="P22" s="160">
        <f>IF(ISERROR(K22/N23),0,ROUND(K22/N23,3))</f>
        <v>1.0999999999999999E-2</v>
      </c>
      <c r="Q22" s="160">
        <f>IF(ISERROR(L22/N23),0,ROUND(L22/N23,3))</f>
        <v>0</v>
      </c>
      <c r="R22" s="160">
        <f>IF(ISERROR(M22/N23),0,ROUND(M22/N23,3))</f>
        <v>8.0000000000000002E-3</v>
      </c>
      <c r="S22" s="160">
        <f>N22/N23</f>
        <v>1.9023733421512048E-2</v>
      </c>
    </row>
    <row r="23" spans="1:26" x14ac:dyDescent="0.25">
      <c r="A23" s="119" t="s">
        <v>767</v>
      </c>
      <c r="B23" s="119"/>
      <c r="C23" s="401">
        <f>SUM(C17:C22)</f>
        <v>51177</v>
      </c>
      <c r="D23" s="401">
        <f>SUM(D17:D22)</f>
        <v>428051435</v>
      </c>
      <c r="E23" s="401">
        <f>SUM(E17:E22)</f>
        <v>990811</v>
      </c>
      <c r="F23" s="120"/>
      <c r="G23" s="120"/>
      <c r="H23" s="120"/>
      <c r="I23" s="120"/>
      <c r="J23" s="119"/>
      <c r="K23" s="404">
        <f>SUM(K17:K22)</f>
        <v>16874936.399999999</v>
      </c>
      <c r="L23" s="404">
        <f>SUM(L17:L22)</f>
        <v>1645923.7355999998</v>
      </c>
      <c r="M23" s="404">
        <f>SUM(M17:M22)</f>
        <v>4305137.3685999997</v>
      </c>
      <c r="N23" s="404">
        <f>SUM(N17:N22)</f>
        <v>22825997.504199993</v>
      </c>
      <c r="O23" s="119"/>
      <c r="P23" s="122"/>
      <c r="Q23" s="122"/>
      <c r="R23" s="122"/>
      <c r="S23" s="122">
        <f>SUM(S17:S22)</f>
        <v>1.0000000000000002</v>
      </c>
      <c r="T23" s="117"/>
      <c r="U23" s="117"/>
      <c r="V23" s="117"/>
      <c r="W23" s="117"/>
      <c r="X23" s="117"/>
      <c r="Y23" s="117"/>
      <c r="Z23" s="117"/>
    </row>
    <row r="24" spans="1:26" x14ac:dyDescent="0.25">
      <c r="C24" s="123"/>
      <c r="D24" s="123"/>
      <c r="E24" s="123"/>
      <c r="F24" s="123"/>
      <c r="G24" s="123"/>
      <c r="H24" s="123"/>
      <c r="I24" s="123"/>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pZofW1jjHOStcOpQHd6ZOP1QeV0cxMcIFhceskUX9HdQBoq/qneMrVWbid944gAyd40zNHxb2U52gIXWQMtppg==" saltValue="wO4Ue6CB9eSuuV5Oz0hLNw==" spinCount="100000" sheet="1" objects="1" scenarios="1"/>
  <mergeCells count="2">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2:Z50"/>
  <sheetViews>
    <sheetView showGridLines="0" topLeftCell="A4" zoomScale="80" zoomScaleNormal="80" workbookViewId="0">
      <selection activeCell="H40" sqref="H40"/>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42578125" customWidth="1"/>
    <col min="15" max="15" width="2.42578125" customWidth="1"/>
    <col min="16" max="16" width="17.85546875" bestFit="1" customWidth="1"/>
    <col min="17" max="18" width="19.42578125" bestFit="1" customWidth="1"/>
    <col min="19" max="19" width="17.5703125" bestFit="1" customWidth="1"/>
  </cols>
  <sheetData>
    <row r="12" spans="1:26" ht="15.75" x14ac:dyDescent="0.25">
      <c r="A12" s="107" t="s">
        <v>709</v>
      </c>
    </row>
    <row r="13" spans="1:26" ht="31.5" customHeight="1" x14ac:dyDescent="0.25">
      <c r="A13" s="489" t="s">
        <v>710</v>
      </c>
      <c r="B13" s="489"/>
      <c r="C13" s="489"/>
      <c r="D13" s="489"/>
      <c r="E13" s="489"/>
      <c r="F13" s="489"/>
      <c r="G13" s="489"/>
    </row>
    <row r="14" spans="1:26" ht="18" thickBot="1" x14ac:dyDescent="0.3">
      <c r="C14" s="490" t="str">
        <f>IF('1. Information Sheet'!F26="COS", "Proposed Base Rates in Current CoS Application", "Current OEB-Approved Base Rates")</f>
        <v>Current OEB-Approved Base Rates</v>
      </c>
      <c r="D14" s="490"/>
      <c r="E14" s="490"/>
      <c r="G14" s="490" t="str">
        <f>'3. Growth Factor - NUM_CALC1'!C15</f>
        <v>2021 Actual Distribution Demand</v>
      </c>
      <c r="H14" s="490"/>
      <c r="I14" s="490"/>
    </row>
    <row r="15" spans="1:26" s="112" customFormat="1" ht="63" x14ac:dyDescent="0.25">
      <c r="A15" s="109" t="s">
        <v>593</v>
      </c>
      <c r="B15" s="110"/>
      <c r="C15" s="111" t="s">
        <v>597</v>
      </c>
      <c r="D15" s="111" t="s">
        <v>598</v>
      </c>
      <c r="E15" s="111" t="s">
        <v>599</v>
      </c>
      <c r="F15" s="111"/>
      <c r="G15" s="111" t="s">
        <v>711</v>
      </c>
      <c r="H15" s="111" t="s">
        <v>600</v>
      </c>
      <c r="I15" s="111" t="s">
        <v>712</v>
      </c>
      <c r="J15" s="111"/>
      <c r="K15" s="111" t="s">
        <v>713</v>
      </c>
      <c r="L15" s="111" t="s">
        <v>714</v>
      </c>
      <c r="M15" s="111" t="s">
        <v>715</v>
      </c>
      <c r="N15" s="111" t="s">
        <v>716</v>
      </c>
      <c r="O15" s="111"/>
      <c r="P15" s="111" t="s">
        <v>717</v>
      </c>
      <c r="Q15" s="111" t="s">
        <v>718</v>
      </c>
      <c r="R15" s="111" t="s">
        <v>718</v>
      </c>
      <c r="S15" s="111" t="s">
        <v>608</v>
      </c>
    </row>
    <row r="16" spans="1:26" s="118" customFormat="1" ht="18.75" x14ac:dyDescent="0.25">
      <c r="A16" s="113"/>
      <c r="B16" s="114"/>
      <c r="C16" s="114" t="s">
        <v>618</v>
      </c>
      <c r="D16" s="114" t="s">
        <v>620</v>
      </c>
      <c r="E16" s="114" t="s">
        <v>622</v>
      </c>
      <c r="F16" s="114"/>
      <c r="G16" s="114" t="s">
        <v>609</v>
      </c>
      <c r="H16" s="114" t="s">
        <v>610</v>
      </c>
      <c r="I16" s="114" t="s">
        <v>611</v>
      </c>
      <c r="J16" s="114"/>
      <c r="K16" s="115" t="s">
        <v>627</v>
      </c>
      <c r="L16" s="115" t="s">
        <v>745</v>
      </c>
      <c r="M16" s="115" t="s">
        <v>631</v>
      </c>
      <c r="N16" s="115" t="s">
        <v>633</v>
      </c>
      <c r="O16" s="114"/>
      <c r="P16" s="116" t="s">
        <v>719</v>
      </c>
      <c r="Q16" s="116" t="s">
        <v>720</v>
      </c>
      <c r="R16" s="116" t="s">
        <v>721</v>
      </c>
      <c r="S16" s="116" t="s">
        <v>747</v>
      </c>
      <c r="T16" s="117"/>
      <c r="U16" s="117"/>
      <c r="V16" s="117"/>
      <c r="W16" s="117"/>
      <c r="X16" s="117"/>
      <c r="Y16" s="117"/>
      <c r="Z16" s="117"/>
    </row>
    <row r="17" spans="1:26" x14ac:dyDescent="0.25">
      <c r="A17" s="390" t="s">
        <v>77</v>
      </c>
      <c r="B17" s="390"/>
      <c r="C17" s="405">
        <f>'3. Growth Factor - NUM_CALC1'!G17</f>
        <v>33.409999999999997</v>
      </c>
      <c r="D17" s="392">
        <f>'3. Growth Factor - NUM_CALC1'!H17</f>
        <v>0</v>
      </c>
      <c r="E17" s="392">
        <f>'3. Growth Factor - NUM_CALC1'!I17</f>
        <v>0</v>
      </c>
      <c r="F17" s="392"/>
      <c r="G17" s="406">
        <f>'3. Growth Factor - NUM_CALC1'!C17</f>
        <v>43441</v>
      </c>
      <c r="H17" s="406">
        <f>'3. Growth Factor - NUM_CALC1'!D17</f>
        <v>394692740</v>
      </c>
      <c r="I17" s="406">
        <f>'3. Growth Factor - NUM_CALC1'!E17</f>
        <v>0</v>
      </c>
      <c r="J17" s="390"/>
      <c r="K17" s="395">
        <f t="shared" ref="K17:K22" si="0">G17*C17*12</f>
        <v>17416365.719999999</v>
      </c>
      <c r="L17" s="395">
        <f t="shared" ref="L17:M22" si="1">H17*D17</f>
        <v>0</v>
      </c>
      <c r="M17" s="395">
        <f t="shared" si="1"/>
        <v>0</v>
      </c>
      <c r="N17" s="395">
        <f t="shared" ref="N17:N22" si="2">SUM(K17,L17,M17)</f>
        <v>17416365.719999999</v>
      </c>
      <c r="O17" s="390"/>
      <c r="P17" s="410">
        <f>IF(ISERROR(K17/N23),0,K17/N23)</f>
        <v>0.68694096208033617</v>
      </c>
      <c r="Q17" s="410">
        <f>IF(ISERROR(L17/N23),0,L17/N23)</f>
        <v>0</v>
      </c>
      <c r="R17" s="410">
        <f>IF(ISERROR(M17/N23),0,M17/N23)</f>
        <v>0</v>
      </c>
      <c r="S17" s="396">
        <f>N17/N23</f>
        <v>0.68694096208033617</v>
      </c>
    </row>
    <row r="18" spans="1:26" x14ac:dyDescent="0.25">
      <c r="A18" s="157" t="s">
        <v>86</v>
      </c>
      <c r="B18" s="157"/>
      <c r="C18" s="407">
        <f>'3. Growth Factor - NUM_CALC1'!G18</f>
        <v>28.08</v>
      </c>
      <c r="D18" s="158">
        <f>'3. Growth Factor - NUM_CALC1'!H18</f>
        <v>2.0799999999999999E-2</v>
      </c>
      <c r="E18" s="158">
        <f>'3. Growth Factor - NUM_CALC1'!I18</f>
        <v>0</v>
      </c>
      <c r="F18" s="158"/>
      <c r="G18" s="408">
        <f>'3. Growth Factor - NUM_CALC1'!C18</f>
        <v>2350</v>
      </c>
      <c r="H18" s="408">
        <f>'3. Growth Factor - NUM_CALC1'!D18</f>
        <v>83266323</v>
      </c>
      <c r="I18" s="408">
        <f>'3. Growth Factor - NUM_CALC1'!E18</f>
        <v>0</v>
      </c>
      <c r="J18" s="157"/>
      <c r="K18" s="400">
        <f t="shared" si="0"/>
        <v>791856</v>
      </c>
      <c r="L18" s="400">
        <f t="shared" si="1"/>
        <v>1731939.5183999999</v>
      </c>
      <c r="M18" s="400">
        <f t="shared" si="1"/>
        <v>0</v>
      </c>
      <c r="N18" s="400">
        <f t="shared" si="2"/>
        <v>2523795.5183999999</v>
      </c>
      <c r="O18" s="157"/>
      <c r="P18" s="411">
        <f>IF(ISERROR(K18/N23),0,K18/N23)</f>
        <v>3.1232596467840292E-2</v>
      </c>
      <c r="Q18" s="411">
        <f>IF(ISERROR(L18/N23),0,L18/N23)</f>
        <v>6.8311622422375845E-2</v>
      </c>
      <c r="R18" s="411">
        <f>IF(ISERROR(M18/N23),0,M18/N23)</f>
        <v>0</v>
      </c>
      <c r="S18" s="160">
        <f>N18/N23</f>
        <v>9.9544218890216141E-2</v>
      </c>
    </row>
    <row r="19" spans="1:26" x14ac:dyDescent="0.25">
      <c r="A19" s="157" t="s">
        <v>89</v>
      </c>
      <c r="B19" s="157"/>
      <c r="C19" s="407">
        <f>'3. Growth Factor - NUM_CALC1'!G19</f>
        <v>213.88</v>
      </c>
      <c r="D19" s="158">
        <f>'3. Growth Factor - NUM_CALC1'!H19</f>
        <v>0</v>
      </c>
      <c r="E19" s="158">
        <f>'3. Growth Factor - NUM_CALC1'!I19</f>
        <v>4.2717000000000001</v>
      </c>
      <c r="F19" s="158"/>
      <c r="G19" s="408">
        <f>'3. Growth Factor - NUM_CALC1'!C19</f>
        <v>398</v>
      </c>
      <c r="H19" s="408">
        <f>'3. Growth Factor - NUM_CALC1'!D19</f>
        <v>0</v>
      </c>
      <c r="I19" s="408">
        <f>'3. Growth Factor - NUM_CALC1'!E19</f>
        <v>915640</v>
      </c>
      <c r="J19" s="157"/>
      <c r="K19" s="400">
        <f t="shared" si="0"/>
        <v>1021490.8800000001</v>
      </c>
      <c r="L19" s="400">
        <f t="shared" si="1"/>
        <v>0</v>
      </c>
      <c r="M19" s="400">
        <f t="shared" si="1"/>
        <v>3911339.3880000003</v>
      </c>
      <c r="N19" s="400">
        <f t="shared" si="2"/>
        <v>4932830.2680000002</v>
      </c>
      <c r="O19" s="157"/>
      <c r="P19" s="411">
        <f>IF(ISERROR(K19/N23),0,K19/N23)</f>
        <v>4.028991691749393E-2</v>
      </c>
      <c r="Q19" s="411">
        <f>IF(ISERROR(L19/N23),0,L19/N23)</f>
        <v>0</v>
      </c>
      <c r="R19" s="411">
        <f>IF(ISERROR(M19/N23),0,M19/N23)</f>
        <v>0.15427209587876256</v>
      </c>
      <c r="S19" s="160">
        <f>N19/N23</f>
        <v>0.19456201279625648</v>
      </c>
    </row>
    <row r="20" spans="1:26" x14ac:dyDescent="0.25">
      <c r="A20" s="157" t="s">
        <v>123</v>
      </c>
      <c r="B20" s="157"/>
      <c r="C20" s="407">
        <f>'3. Growth Factor - NUM_CALC1'!G20</f>
        <v>10.4</v>
      </c>
      <c r="D20" s="158">
        <f>'3. Growth Factor - NUM_CALC1'!H20</f>
        <v>3.32E-2</v>
      </c>
      <c r="E20" s="158">
        <f>'3. Growth Factor - NUM_CALC1'!I20</f>
        <v>0</v>
      </c>
      <c r="F20" s="158"/>
      <c r="G20" s="408">
        <f>'3. Growth Factor - NUM_CALC1'!C20</f>
        <v>392</v>
      </c>
      <c r="H20" s="408">
        <f>'3. Growth Factor - NUM_CALC1'!D20</f>
        <v>1852550</v>
      </c>
      <c r="I20" s="408">
        <f>'3. Growth Factor - NUM_CALC1'!E20</f>
        <v>0</v>
      </c>
      <c r="J20" s="157"/>
      <c r="K20" s="400">
        <f t="shared" si="0"/>
        <v>48921.600000000006</v>
      </c>
      <c r="L20" s="400">
        <f t="shared" si="1"/>
        <v>61504.66</v>
      </c>
      <c r="M20" s="400">
        <f t="shared" si="1"/>
        <v>0</v>
      </c>
      <c r="N20" s="400">
        <f t="shared" si="2"/>
        <v>110426.26000000001</v>
      </c>
      <c r="O20" s="157"/>
      <c r="P20" s="411">
        <f>IF(ISERROR(K20/N23),0,K20/N23)</f>
        <v>1.9295788519138528E-3</v>
      </c>
      <c r="Q20" s="411">
        <f>IF(ISERROR(L20/N23),0,L20/N23)</f>
        <v>2.4258832750799616E-3</v>
      </c>
      <c r="R20" s="411">
        <f>IF(ISERROR(M20/N23),0,M20/N23)</f>
        <v>0</v>
      </c>
      <c r="S20" s="160">
        <f>N20/N23</f>
        <v>4.355462126993814E-3</v>
      </c>
    </row>
    <row r="21" spans="1:26" x14ac:dyDescent="0.25">
      <c r="A21" s="157" t="s">
        <v>132</v>
      </c>
      <c r="B21" s="157"/>
      <c r="C21" s="407">
        <f>'3. Growth Factor - NUM_CALC1'!G21</f>
        <v>6.11</v>
      </c>
      <c r="D21" s="158">
        <f>'3. Growth Factor - NUM_CALC1'!H21</f>
        <v>0</v>
      </c>
      <c r="E21" s="158">
        <f>'3. Growth Factor - NUM_CALC1'!I21</f>
        <v>16.445799999999998</v>
      </c>
      <c r="F21" s="158"/>
      <c r="G21" s="408">
        <f>'3. Growth Factor - NUM_CALC1'!C21</f>
        <v>47</v>
      </c>
      <c r="H21" s="408">
        <f>'3. Growth Factor - NUM_CALC1'!D21</f>
        <v>0</v>
      </c>
      <c r="I21" s="408">
        <f>'3. Growth Factor - NUM_CALC1'!E21</f>
        <v>71</v>
      </c>
      <c r="J21" s="157"/>
      <c r="K21" s="400">
        <f t="shared" si="0"/>
        <v>3446.04</v>
      </c>
      <c r="L21" s="400">
        <f t="shared" si="1"/>
        <v>0</v>
      </c>
      <c r="M21" s="400">
        <f t="shared" si="1"/>
        <v>1167.6517999999999</v>
      </c>
      <c r="N21" s="400">
        <f t="shared" si="2"/>
        <v>4613.6917999999996</v>
      </c>
      <c r="O21" s="157"/>
      <c r="P21" s="411">
        <f>IF(ISERROR(K21/N23),0,K21/N23)</f>
        <v>1.3591963277671237E-4</v>
      </c>
      <c r="Q21" s="411">
        <f>IF(ISERROR(L21/N23),0,L21/N23)</f>
        <v>0</v>
      </c>
      <c r="R21" s="411">
        <f>IF(ISERROR(M21/N23),0,M21/N23)</f>
        <v>4.6054835076513097E-5</v>
      </c>
      <c r="S21" s="160">
        <f>N21/N23</f>
        <v>1.8197446785322546E-4</v>
      </c>
    </row>
    <row r="22" spans="1:26" x14ac:dyDescent="0.25">
      <c r="A22" s="157" t="s">
        <v>68</v>
      </c>
      <c r="B22" s="157"/>
      <c r="C22" s="407">
        <f>'3. Growth Factor - NUM_CALC1'!G22</f>
        <v>1.88</v>
      </c>
      <c r="D22" s="158">
        <f>'3. Growth Factor - NUM_CALC1'!H22</f>
        <v>0</v>
      </c>
      <c r="E22" s="158">
        <f>'3. Growth Factor - NUM_CALC1'!I22</f>
        <v>7.1955999999999998</v>
      </c>
      <c r="F22" s="158"/>
      <c r="G22" s="408">
        <f>'3. Growth Factor - NUM_CALC1'!C22</f>
        <v>13214</v>
      </c>
      <c r="H22" s="408">
        <f>'3. Growth Factor - NUM_CALC1'!D22</f>
        <v>0</v>
      </c>
      <c r="I22" s="408">
        <f>'3. Growth Factor - NUM_CALC1'!E22</f>
        <v>9363</v>
      </c>
      <c r="J22" s="157"/>
      <c r="K22" s="400">
        <f t="shared" si="0"/>
        <v>298107.83999999997</v>
      </c>
      <c r="L22" s="400">
        <f t="shared" si="1"/>
        <v>0</v>
      </c>
      <c r="M22" s="400">
        <f t="shared" si="1"/>
        <v>67372.402799999996</v>
      </c>
      <c r="N22" s="400">
        <f t="shared" si="2"/>
        <v>365480.24279999995</v>
      </c>
      <c r="O22" s="157"/>
      <c r="P22" s="411">
        <f>IF(ISERROR(K22/N23),0,K22/N23)</f>
        <v>1.1758049279944205E-2</v>
      </c>
      <c r="Q22" s="411">
        <f>IF(ISERROR(L22/N23),0,L22/N23)</f>
        <v>0</v>
      </c>
      <c r="R22" s="411">
        <f>IF(ISERROR(M22/N23),0,M22/N23)</f>
        <v>2.6573203584000036E-3</v>
      </c>
      <c r="S22" s="160">
        <f>N22/N23</f>
        <v>1.4415369638344206E-2</v>
      </c>
    </row>
    <row r="23" spans="1:26" x14ac:dyDescent="0.25">
      <c r="A23" s="119" t="s">
        <v>767</v>
      </c>
      <c r="B23" s="119"/>
      <c r="C23" s="120"/>
      <c r="D23" s="120"/>
      <c r="E23" s="120"/>
      <c r="F23" s="120"/>
      <c r="G23" s="409"/>
      <c r="H23" s="409"/>
      <c r="I23" s="409"/>
      <c r="J23" s="119"/>
      <c r="K23" s="121">
        <f>SUM(K17:K22)</f>
        <v>19580188.079999998</v>
      </c>
      <c r="L23" s="121">
        <f>SUM(L17:L22)</f>
        <v>1793444.1783999999</v>
      </c>
      <c r="M23" s="121">
        <f>SUM(M17:M22)</f>
        <v>3979879.4426000002</v>
      </c>
      <c r="N23" s="121">
        <f>SUM(N17:N22)</f>
        <v>25353511.700999998</v>
      </c>
      <c r="O23" s="119"/>
      <c r="P23" s="122"/>
      <c r="Q23" s="122"/>
      <c r="R23" s="122"/>
      <c r="S23" s="122">
        <f>SUM(S17:S22)</f>
        <v>1</v>
      </c>
      <c r="T23" s="117"/>
      <c r="U23" s="117"/>
      <c r="V23" s="117"/>
      <c r="W23" s="117"/>
      <c r="X23" s="117"/>
      <c r="Y23" s="117"/>
      <c r="Z23" s="117"/>
    </row>
    <row r="24" spans="1:26" x14ac:dyDescent="0.25">
      <c r="C24" s="123"/>
      <c r="D24" s="123"/>
      <c r="E24" s="123"/>
      <c r="F24" s="123"/>
      <c r="G24" s="123"/>
      <c r="H24" s="123"/>
      <c r="I24" s="123"/>
    </row>
    <row r="25" spans="1:26" x14ac:dyDescent="0.25">
      <c r="C25" s="123"/>
      <c r="D25" s="123"/>
      <c r="E25" s="123"/>
      <c r="F25" s="123"/>
      <c r="G25" s="123"/>
      <c r="H25" s="123"/>
      <c r="I25" s="123"/>
    </row>
    <row r="26" spans="1:26" x14ac:dyDescent="0.25">
      <c r="C26" s="123"/>
      <c r="D26" s="123"/>
      <c r="E26" s="123"/>
      <c r="F26" s="123"/>
      <c r="G26" s="123"/>
      <c r="H26" s="123"/>
      <c r="I26" s="123"/>
    </row>
    <row r="27" spans="1:26" x14ac:dyDescent="0.25">
      <c r="C27" s="123"/>
      <c r="D27" s="123"/>
      <c r="E27" s="123"/>
      <c r="F27" s="123"/>
      <c r="G27" s="123"/>
      <c r="H27" s="123"/>
      <c r="I27" s="123"/>
    </row>
    <row r="28" spans="1:26" x14ac:dyDescent="0.25">
      <c r="C28" s="123"/>
      <c r="D28" s="123"/>
      <c r="E28" s="123"/>
      <c r="F28" s="123"/>
      <c r="G28" s="123"/>
      <c r="H28" s="123"/>
      <c r="I28" s="123"/>
    </row>
    <row r="29" spans="1:26" x14ac:dyDescent="0.25">
      <c r="C29" s="123"/>
      <c r="D29" s="123"/>
      <c r="E29" s="123"/>
      <c r="F29" s="123"/>
      <c r="G29" s="123"/>
      <c r="H29" s="123"/>
      <c r="I29" s="123"/>
    </row>
    <row r="30" spans="1:26" x14ac:dyDescent="0.25">
      <c r="C30" s="123"/>
      <c r="D30" s="123"/>
      <c r="E30" s="123"/>
      <c r="F30" s="123"/>
      <c r="G30" s="123"/>
      <c r="H30" s="123"/>
      <c r="I30" s="123"/>
    </row>
    <row r="31" spans="1:26" x14ac:dyDescent="0.25">
      <c r="C31" s="123"/>
      <c r="D31" s="123"/>
      <c r="E31" s="123"/>
      <c r="F31" s="123"/>
      <c r="G31" s="123"/>
      <c r="H31" s="123"/>
      <c r="I31" s="123"/>
    </row>
    <row r="32" spans="1:26" x14ac:dyDescent="0.25">
      <c r="C32" s="123"/>
      <c r="D32" s="123"/>
      <c r="E32" s="123"/>
      <c r="F32" s="123"/>
      <c r="G32" s="123"/>
      <c r="H32" s="123"/>
      <c r="I32" s="123"/>
    </row>
    <row r="33" spans="3:9" x14ac:dyDescent="0.25">
      <c r="C33" s="123"/>
      <c r="D33" s="123"/>
      <c r="E33" s="123"/>
      <c r="F33" s="123"/>
      <c r="G33" s="123"/>
      <c r="H33" s="123"/>
      <c r="I33" s="123"/>
    </row>
    <row r="34" spans="3:9" x14ac:dyDescent="0.25">
      <c r="C34" s="123"/>
      <c r="D34" s="123"/>
      <c r="E34" s="123"/>
      <c r="F34" s="123"/>
      <c r="G34" s="123"/>
      <c r="H34" s="123"/>
      <c r="I34" s="123"/>
    </row>
    <row r="35" spans="3:9" x14ac:dyDescent="0.25">
      <c r="C35" s="123"/>
      <c r="D35" s="123"/>
      <c r="E35" s="123"/>
      <c r="F35" s="123"/>
      <c r="G35" s="123"/>
      <c r="H35" s="123"/>
      <c r="I35" s="123"/>
    </row>
    <row r="36" spans="3:9" x14ac:dyDescent="0.25">
      <c r="C36" s="123"/>
      <c r="D36" s="123"/>
      <c r="E36" s="123"/>
      <c r="F36" s="123"/>
      <c r="G36" s="123"/>
      <c r="H36" s="123"/>
      <c r="I36" s="123"/>
    </row>
    <row r="37" spans="3:9" x14ac:dyDescent="0.25">
      <c r="C37" s="123"/>
      <c r="D37" s="123"/>
      <c r="E37" s="123"/>
      <c r="F37" s="123"/>
      <c r="G37" s="123"/>
      <c r="H37" s="123"/>
      <c r="I37" s="123"/>
    </row>
    <row r="38" spans="3:9" x14ac:dyDescent="0.25">
      <c r="C38" s="123"/>
      <c r="D38" s="123"/>
      <c r="E38" s="123"/>
      <c r="F38" s="123"/>
      <c r="G38" s="123"/>
      <c r="H38" s="123"/>
      <c r="I38" s="123"/>
    </row>
    <row r="39" spans="3:9" x14ac:dyDescent="0.25">
      <c r="C39" s="123"/>
      <c r="D39" s="123"/>
      <c r="E39" s="123"/>
      <c r="F39" s="123"/>
      <c r="G39" s="123"/>
      <c r="H39" s="123"/>
      <c r="I39" s="123"/>
    </row>
    <row r="40" spans="3:9" x14ac:dyDescent="0.25">
      <c r="C40" s="123"/>
      <c r="D40" s="123"/>
      <c r="E40" s="123"/>
      <c r="F40" s="123"/>
      <c r="G40" s="123"/>
      <c r="H40" s="123"/>
      <c r="I40" s="123"/>
    </row>
    <row r="41" spans="3:9" x14ac:dyDescent="0.25">
      <c r="C41" s="123"/>
      <c r="D41" s="123"/>
      <c r="E41" s="123"/>
      <c r="F41" s="123"/>
      <c r="G41" s="123"/>
      <c r="H41" s="123"/>
      <c r="I41" s="123"/>
    </row>
    <row r="42" spans="3:9" x14ac:dyDescent="0.25">
      <c r="C42" s="123"/>
      <c r="D42" s="123"/>
      <c r="E42" s="123"/>
      <c r="F42" s="123"/>
      <c r="G42" s="123"/>
      <c r="H42" s="123"/>
      <c r="I42" s="123"/>
    </row>
    <row r="43" spans="3:9" x14ac:dyDescent="0.25">
      <c r="C43" s="123"/>
      <c r="D43" s="123"/>
      <c r="E43" s="123"/>
      <c r="F43" s="123"/>
      <c r="G43" s="123"/>
      <c r="H43" s="123"/>
      <c r="I43" s="123"/>
    </row>
    <row r="44" spans="3:9" x14ac:dyDescent="0.25">
      <c r="C44" s="123"/>
      <c r="D44" s="123"/>
      <c r="E44" s="123"/>
      <c r="F44" s="123"/>
      <c r="G44" s="123"/>
      <c r="H44" s="123"/>
      <c r="I44" s="123"/>
    </row>
    <row r="45" spans="3:9" x14ac:dyDescent="0.25">
      <c r="C45" s="123"/>
      <c r="D45" s="123"/>
      <c r="E45" s="123"/>
      <c r="F45" s="123"/>
      <c r="G45" s="123"/>
      <c r="H45" s="123"/>
      <c r="I45" s="123"/>
    </row>
    <row r="46" spans="3:9" x14ac:dyDescent="0.25">
      <c r="C46" s="123"/>
      <c r="D46" s="123"/>
      <c r="E46" s="123"/>
      <c r="F46" s="123"/>
      <c r="G46" s="123"/>
      <c r="H46" s="123"/>
      <c r="I46" s="123"/>
    </row>
    <row r="47" spans="3:9" x14ac:dyDescent="0.25">
      <c r="C47" s="123"/>
      <c r="D47" s="123"/>
      <c r="E47" s="123"/>
      <c r="F47" s="123"/>
      <c r="G47" s="123"/>
      <c r="H47" s="123"/>
      <c r="I47" s="123"/>
    </row>
    <row r="48" spans="3:9" x14ac:dyDescent="0.25">
      <c r="C48" s="123"/>
      <c r="D48" s="123"/>
      <c r="E48" s="123"/>
      <c r="F48" s="123"/>
      <c r="G48" s="123"/>
      <c r="H48" s="123"/>
      <c r="I48" s="123"/>
    </row>
    <row r="49" spans="3:9" x14ac:dyDescent="0.25">
      <c r="C49" s="123"/>
      <c r="D49" s="123"/>
      <c r="E49" s="123"/>
      <c r="F49" s="123"/>
      <c r="G49" s="123"/>
      <c r="H49" s="123"/>
      <c r="I49" s="123"/>
    </row>
    <row r="50" spans="3:9" x14ac:dyDescent="0.25">
      <c r="C50" s="123"/>
      <c r="D50" s="123"/>
      <c r="E50" s="123"/>
      <c r="F50" s="123"/>
      <c r="G50" s="123"/>
      <c r="H50" s="123"/>
      <c r="I50" s="123"/>
    </row>
  </sheetData>
  <sheetProtection algorithmName="SHA-512" hashValue="J9spM8AOwHUMoV3lsh3Kc37fQxZFnJEYXXQFme9RJp5deqm2mPIbhrmqKwbHbWVQ6Zv8AxnpoaL/sUD59MOx/A==" saltValue="JKJgnYC3jqdJ6XnUQ883pQ==" spinCount="100000" sheet="1" objects="1" scenarios="1"/>
  <mergeCells count="3">
    <mergeCell ref="A13:G13"/>
    <mergeCell ref="C14:E14"/>
    <mergeCell ref="G14:I14"/>
  </mergeCells>
  <pageMargins left="0.70866141732283472" right="0.70866141732283472"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37</vt:i4>
      </vt:variant>
    </vt:vector>
  </HeadingPairs>
  <TitlesOfParts>
    <vt:vector size="51" baseType="lpstr">
      <vt:lpstr>lists</vt:lpstr>
      <vt:lpstr>tempcopy</vt:lpstr>
      <vt:lpstr>1. Information Sheet</vt:lpstr>
      <vt:lpstr>2. Rate Class Selection</vt:lpstr>
      <vt:lpstr>3. Growth Factor - NUM_CALC1</vt:lpstr>
      <vt:lpstr>4. Growth Factor - NUM_CALC2</vt:lpstr>
      <vt:lpstr>5. Rev_Requ_Check</vt:lpstr>
      <vt:lpstr>6. Growth Factor - DEN_CALC</vt:lpstr>
      <vt:lpstr>7. Revenue Proportions</vt:lpstr>
      <vt:lpstr>8. Threshold Test</vt:lpstr>
      <vt:lpstr>9a. Proposed ACM Projects</vt:lpstr>
      <vt:lpstr>9b. Proposed ACM ICM Projects</vt:lpstr>
      <vt:lpstr>10. Incremental Capital Adj.</vt:lpstr>
      <vt:lpstr>11. Rate Rider Calc</vt:lpstr>
      <vt:lpstr>BI_LDCLIST</vt:lpstr>
      <vt:lpstr>CustomerAdministration</vt:lpstr>
      <vt:lpstr>'11. Rate Rider Calc'!d</vt:lpstr>
      <vt:lpstr>'9a. Proposed ACM Projects'!d</vt:lpstr>
      <vt:lpstr>d</vt:lpstr>
      <vt:lpstr>'11. Rate Rider Calc'!Fixed_Charges</vt:lpstr>
      <vt:lpstr>'2. Rate Class Selection'!Fixed_Charges</vt:lpstr>
      <vt:lpstr>'9a. Proposed ACM Projects'!Fixed_Charges</vt:lpstr>
      <vt:lpstr>Fixed_Charges</vt:lpstr>
      <vt:lpstr>'11. Rate Rider Calc'!g</vt:lpstr>
      <vt:lpstr>'9a. Proposed ACM Projects'!g</vt:lpstr>
      <vt:lpstr>g</vt:lpstr>
      <vt:lpstr>LDC_LIST</vt:lpstr>
      <vt:lpstr>'9a. Proposed ACM Projects'!LDCNAMES</vt:lpstr>
      <vt:lpstr>LDCNAMES</vt:lpstr>
      <vt:lpstr>LossFactors</vt:lpstr>
      <vt:lpstr>n</vt:lpstr>
      <vt:lpstr>NonPayment</vt:lpstr>
      <vt:lpstr>'11. Rate Rider Calc'!PCI</vt:lpstr>
      <vt:lpstr>'9a. Proposed ACM Projects'!PCI</vt:lpstr>
      <vt:lpstr>PCI</vt:lpstr>
      <vt:lpstr>'1. Information Sheet'!Print_Area</vt:lpstr>
      <vt:lpstr>'2. Rate Class Selection'!Print_Area</vt:lpstr>
      <vt:lpstr>'5. Rev_Requ_Check'!Print_Area</vt:lpstr>
      <vt:lpstr>Rate_Class</vt:lpstr>
      <vt:lpstr>'11. Rate Rider Calc'!RB</vt:lpstr>
      <vt:lpstr>'9a. Proposed ACM Projects'!RB</vt:lpstr>
      <vt:lpstr>RB</vt:lpstr>
      <vt:lpstr>'11. Rate Rider Calc'!Units</vt:lpstr>
      <vt:lpstr>'2. Rate Class Selection'!Units</vt:lpstr>
      <vt:lpstr>'9a. Proposed ACM Projects'!Units</vt:lpstr>
      <vt:lpstr>Units</vt:lpstr>
      <vt:lpstr>'11. Rate Rider Calc'!Units1</vt:lpstr>
      <vt:lpstr>'2. Rate Class Selection'!Units1</vt:lpstr>
      <vt:lpstr>'9a. Proposed ACM Projects'!Units1</vt:lpstr>
      <vt:lpstr>Units1</vt:lpstr>
      <vt:lpstr>Units2</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Wang</dc:creator>
  <cp:lastModifiedBy>Steve Zebrowski</cp:lastModifiedBy>
  <dcterms:created xsi:type="dcterms:W3CDTF">2019-03-12T18:12:16Z</dcterms:created>
  <dcterms:modified xsi:type="dcterms:W3CDTF">2022-07-26T21:05:30Z</dcterms:modified>
</cp:coreProperties>
</file>