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EB\Rates\2022 Rate Application\Accounting Guidance\WRZ\To OEB\"/>
    </mc:Choice>
  </mc:AlternateContent>
  <xr:revisionPtr revIDLastSave="0" documentId="13_ncr:1_{87E22AC3-E36D-41CC-AE61-B77EC7C49541}" xr6:coauthVersionLast="47" xr6:coauthVersionMax="47" xr10:uidLastSave="{00000000-0000-0000-0000-000000000000}"/>
  <bookViews>
    <workbookView xWindow="-120" yWindow="-120" windowWidth="25440" windowHeight="15390" tabRatio="707" activeTab="4" xr2:uid="{00000000-000D-0000-FFFF-FFFF00000000}"/>
  </bookViews>
  <sheets>
    <sheet name="WRZ - Jan-Dec 2020" sheetId="5" r:id="rId1"/>
    <sheet name="WRZ Jan-Dec20 RPP 2nd TU" sheetId="6" r:id="rId2"/>
    <sheet name="WH Settlement Comparison Orig" sheetId="10" state="hidden" r:id="rId3"/>
    <sheet name="WRZ Settlement Comparison" sheetId="7" r:id="rId4"/>
    <sheet name="Final RSVA Balances" sheetId="8" r:id="rId5"/>
  </sheets>
  <definedNames>
    <definedName name="_xlnm.Print_Area" localSheetId="2">'WH Settlement Comparison Orig'!$B$2:$I$90</definedName>
    <definedName name="_xlnm.Print_Area" localSheetId="0">'WRZ - Jan-Dec 2020'!$A$1:$E$88</definedName>
    <definedName name="_xlnm.Print_Area" localSheetId="3">'WRZ Settlement Comparison'!$B$2:$I$97</definedName>
    <definedName name="_xlnm.Print_Titles" localSheetId="2">'WH Settlement Comparison Orig'!$2:$2</definedName>
    <definedName name="_xlnm.Print_Titles" localSheetId="0">'WRZ - Jan-Dec 2020'!$1:$1</definedName>
    <definedName name="_xlnm.Print_Titles" localSheetId="3">'WRZ Settlement Comparison'!#REF!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7" l="1"/>
  <c r="T90" i="10" l="1"/>
  <c r="R90" i="10"/>
  <c r="P90" i="10"/>
  <c r="N90" i="10"/>
  <c r="V89" i="10"/>
  <c r="T89" i="10"/>
  <c r="R89" i="10"/>
  <c r="P89" i="10"/>
  <c r="N89" i="10"/>
  <c r="X88" i="10"/>
  <c r="V88" i="10"/>
  <c r="Y88" i="10" s="1"/>
  <c r="V58" i="10"/>
  <c r="V59" i="10" s="1"/>
  <c r="U58" i="10"/>
  <c r="U59" i="10" s="1"/>
  <c r="T58" i="10"/>
  <c r="T59" i="10" s="1"/>
  <c r="W57" i="10"/>
  <c r="N62" i="10" s="1"/>
  <c r="V55" i="10"/>
  <c r="U55" i="10"/>
  <c r="T55" i="10"/>
  <c r="S55" i="10"/>
  <c r="R55" i="10"/>
  <c r="Q55" i="10"/>
  <c r="C38" i="10"/>
  <c r="C34" i="10"/>
  <c r="M29" i="10"/>
  <c r="M26" i="10"/>
  <c r="AB24" i="10"/>
  <c r="S58" i="10" s="1"/>
  <c r="S59" i="10" s="1"/>
  <c r="AA24" i="10"/>
  <c r="R58" i="10" s="1"/>
  <c r="R59" i="10" s="1"/>
  <c r="Z24" i="10"/>
  <c r="Q58" i="10" s="1"/>
  <c r="Q59" i="10" s="1"/>
  <c r="AG22" i="10"/>
  <c r="M21" i="10"/>
  <c r="T13" i="10"/>
  <c r="E12" i="10"/>
  <c r="M25" i="10" s="1"/>
  <c r="M27" i="10" s="1"/>
  <c r="M30" i="10" s="1"/>
  <c r="T11" i="10"/>
  <c r="E11" i="10" s="1"/>
  <c r="H10" i="10"/>
  <c r="S8" i="10"/>
  <c r="R8" i="10"/>
  <c r="Q8" i="10"/>
  <c r="P8" i="10"/>
  <c r="O8" i="10"/>
  <c r="N8" i="10"/>
  <c r="AE6" i="10"/>
  <c r="AD6" i="10"/>
  <c r="AC6" i="10"/>
  <c r="AB6" i="10"/>
  <c r="AA6" i="10"/>
  <c r="Z6" i="10"/>
  <c r="E18" i="10" l="1"/>
  <c r="I12" i="10"/>
  <c r="W59" i="10"/>
  <c r="N64" i="10" s="1"/>
  <c r="AF6" i="10"/>
  <c r="Y89" i="10"/>
  <c r="G10" i="10"/>
  <c r="I10" i="10" s="1"/>
  <c r="E23" i="10"/>
  <c r="P37" i="10"/>
  <c r="W55" i="10"/>
  <c r="W58" i="10" l="1"/>
  <c r="M64" i="10"/>
  <c r="E80" i="10"/>
  <c r="N63" i="10"/>
  <c r="O64" i="10" l="1"/>
  <c r="E30" i="7" l="1"/>
  <c r="M7" i="10"/>
  <c r="T7" i="10" s="1"/>
  <c r="G8" i="10" s="1"/>
  <c r="E22" i="10"/>
  <c r="E29" i="10" l="1"/>
  <c r="P97" i="7" l="1"/>
  <c r="N97" i="7"/>
  <c r="E12" i="7" l="1"/>
  <c r="E61" i="7" s="1"/>
  <c r="G10" i="7"/>
  <c r="E31" i="7" s="1"/>
  <c r="G12" i="7" l="1"/>
  <c r="G17" i="7" s="1"/>
  <c r="G18" i="7" s="1"/>
  <c r="E30" i="10" l="1"/>
  <c r="E31" i="10"/>
  <c r="E32" i="10"/>
  <c r="E33" i="10"/>
  <c r="E34" i="10" l="1"/>
  <c r="AF5" i="10" l="1"/>
  <c r="E38" i="10"/>
  <c r="AF7" i="10" l="1"/>
  <c r="AF10" i="10" l="1"/>
  <c r="AF9" i="10"/>
  <c r="D5" i="5" l="1"/>
  <c r="P96" i="7" l="1"/>
  <c r="U53" i="10" l="1"/>
  <c r="U54" i="10" s="1"/>
  <c r="AD22" i="10" s="1"/>
  <c r="AD12" i="10"/>
  <c r="AE12" i="10"/>
  <c r="V53" i="10"/>
  <c r="V54" i="10" s="1"/>
  <c r="AE22" i="10" s="1"/>
  <c r="E77" i="5" l="1"/>
  <c r="F79" i="10"/>
  <c r="E79" i="10"/>
  <c r="E81" i="10" s="1"/>
  <c r="E80" i="7"/>
  <c r="C25" i="8"/>
  <c r="E75" i="10" l="1"/>
  <c r="F75" i="10"/>
  <c r="F8" i="8" l="1"/>
  <c r="D46" i="8" s="1"/>
  <c r="E59" i="7" l="1"/>
  <c r="E56" i="10"/>
  <c r="F56" i="10"/>
  <c r="F57" i="10"/>
  <c r="E57" i="10"/>
  <c r="F60" i="7"/>
  <c r="E60" i="7"/>
  <c r="D78" i="5"/>
  <c r="C8" i="8" l="1"/>
  <c r="B8" i="8"/>
  <c r="S53" i="10" l="1"/>
  <c r="S54" i="10" s="1"/>
  <c r="AB22" i="10" s="1"/>
  <c r="AB12" i="10"/>
  <c r="AA12" i="10"/>
  <c r="R53" i="10"/>
  <c r="T53" i="10"/>
  <c r="T54" i="10" s="1"/>
  <c r="AC22" i="10" s="1"/>
  <c r="AC12" i="10"/>
  <c r="G8" i="8"/>
  <c r="C7" i="8"/>
  <c r="C16" i="8"/>
  <c r="R54" i="10" l="1"/>
  <c r="AA22" i="10" s="1"/>
  <c r="Z12" i="10"/>
  <c r="Q53" i="10"/>
  <c r="Q54" i="10" s="1"/>
  <c r="Z22" i="10" l="1"/>
  <c r="Q62" i="10"/>
  <c r="AF12" i="10"/>
  <c r="AF14" i="10" s="1"/>
  <c r="AF15" i="10" s="1"/>
  <c r="W53" i="10"/>
  <c r="C42" i="7"/>
  <c r="C46" i="7"/>
  <c r="E41" i="7"/>
  <c r="E40" i="7"/>
  <c r="E39" i="7"/>
  <c r="E38" i="7"/>
  <c r="E37" i="7"/>
  <c r="F80" i="7"/>
  <c r="F59" i="7"/>
  <c r="M62" i="10" l="1"/>
  <c r="W54" i="10"/>
  <c r="AF22" i="10" s="1"/>
  <c r="Z18" i="10"/>
  <c r="AE18" i="10"/>
  <c r="AF18" i="10"/>
  <c r="AC18" i="10"/>
  <c r="AD18" i="10"/>
  <c r="AB18" i="10"/>
  <c r="AA18" i="10"/>
  <c r="O69" i="7"/>
  <c r="M70" i="7"/>
  <c r="E42" i="7"/>
  <c r="AD28" i="10" l="1"/>
  <c r="AD17" i="10"/>
  <c r="AB28" i="10"/>
  <c r="AB17" i="10"/>
  <c r="AE28" i="10"/>
  <c r="AE17" i="10"/>
  <c r="Z28" i="10"/>
  <c r="Z17" i="10"/>
  <c r="AC28" i="10"/>
  <c r="AC17" i="10"/>
  <c r="AA28" i="10"/>
  <c r="AA17" i="10"/>
  <c r="O62" i="10"/>
  <c r="O63" i="10" s="1"/>
  <c r="M63" i="10"/>
  <c r="E46" i="7"/>
  <c r="AF28" i="10" l="1"/>
  <c r="AG28" i="10" s="1"/>
  <c r="AF17" i="10"/>
  <c r="Z26" i="10"/>
  <c r="Z19" i="10"/>
  <c r="AE19" i="10"/>
  <c r="AE26" i="10"/>
  <c r="AE29" i="10" s="1"/>
  <c r="AE30" i="10" s="1"/>
  <c r="AA26" i="10"/>
  <c r="AA29" i="10" s="1"/>
  <c r="AA30" i="10" s="1"/>
  <c r="AA19" i="10"/>
  <c r="AC19" i="10"/>
  <c r="AC26" i="10"/>
  <c r="AC29" i="10" s="1"/>
  <c r="AC30" i="10" s="1"/>
  <c r="AB19" i="10"/>
  <c r="AB26" i="10"/>
  <c r="AB29" i="10" s="1"/>
  <c r="AB30" i="10" s="1"/>
  <c r="AD19" i="10"/>
  <c r="AD26" i="10"/>
  <c r="AD29" i="10" s="1"/>
  <c r="AD30" i="10" s="1"/>
  <c r="Z29" i="10" l="1"/>
  <c r="Z30" i="10" s="1"/>
  <c r="AF26" i="10"/>
  <c r="AF19" i="10"/>
  <c r="AG18" i="10" s="1"/>
  <c r="AG17" i="10" l="1"/>
  <c r="AF29" i="10"/>
  <c r="AG26" i="10"/>
  <c r="C58" i="5"/>
  <c r="E82" i="7" l="1"/>
  <c r="N70" i="7"/>
  <c r="O71" i="7"/>
  <c r="O70" i="7" s="1"/>
  <c r="AF31" i="10"/>
  <c r="AG29" i="10"/>
  <c r="AF30" i="10"/>
  <c r="AF32" i="10"/>
  <c r="E28" i="5" l="1"/>
  <c r="D85" i="5" s="1"/>
  <c r="C85" i="5" s="1"/>
  <c r="D24" i="8" l="1"/>
  <c r="D45" i="8" s="1"/>
  <c r="D10" i="6" l="1"/>
  <c r="F15" i="8"/>
  <c r="C57" i="5"/>
  <c r="D38" i="5"/>
  <c r="D6" i="5"/>
  <c r="D27" i="5" l="1"/>
  <c r="D14" i="6"/>
  <c r="D26" i="6" s="1"/>
  <c r="D11" i="6"/>
  <c r="D22" i="6"/>
  <c r="C34" i="5"/>
  <c r="C37" i="5"/>
  <c r="C33" i="5"/>
  <c r="C36" i="5"/>
  <c r="C35" i="5"/>
  <c r="B6" i="8" l="1"/>
  <c r="B9" i="8" s="1"/>
  <c r="D12" i="6"/>
  <c r="D23" i="6"/>
  <c r="C38" i="5"/>
  <c r="D13" i="6" l="1"/>
  <c r="D25" i="6" s="1"/>
  <c r="D24" i="6"/>
  <c r="D71" i="5"/>
  <c r="D70" i="5"/>
  <c r="D69" i="5"/>
  <c r="D68" i="5"/>
  <c r="D67" i="5"/>
  <c r="D29" i="5"/>
  <c r="E27" i="5"/>
  <c r="C6" i="8" s="1"/>
  <c r="C20" i="5"/>
  <c r="C19" i="5"/>
  <c r="C18" i="5"/>
  <c r="C17" i="5"/>
  <c r="C16" i="5"/>
  <c r="C27" i="5" l="1"/>
  <c r="C9" i="8"/>
  <c r="E23" i="8"/>
  <c r="G7" i="8"/>
  <c r="G9" i="8" s="1"/>
  <c r="F76" i="7"/>
  <c r="E76" i="7"/>
  <c r="C21" i="5"/>
  <c r="E29" i="5"/>
  <c r="K56" i="5"/>
  <c r="D76" i="5"/>
  <c r="C78" i="5"/>
  <c r="E78" i="5" s="1"/>
  <c r="D25" i="5"/>
  <c r="C28" i="5"/>
  <c r="D72" i="5"/>
  <c r="D84" i="5"/>
  <c r="F74" i="10" l="1"/>
  <c r="F76" i="10" s="1"/>
  <c r="E74" i="10"/>
  <c r="E76" i="10" s="1"/>
  <c r="E75" i="7"/>
  <c r="E77" i="7" s="1"/>
  <c r="E84" i="7" s="1"/>
  <c r="E25" i="5"/>
  <c r="F75" i="7"/>
  <c r="F77" i="7" s="1"/>
  <c r="C29" i="5"/>
  <c r="D86" i="5"/>
  <c r="D8" i="5"/>
  <c r="D58" i="5" s="1"/>
  <c r="E58" i="5" s="1"/>
  <c r="D60" i="5"/>
  <c r="D54" i="5"/>
  <c r="C54" i="5" s="1"/>
  <c r="F81" i="7" l="1"/>
  <c r="F80" i="10"/>
  <c r="F81" i="10" s="1"/>
  <c r="F83" i="10" s="1"/>
  <c r="K58" i="5"/>
  <c r="B15" i="8"/>
  <c r="G76" i="10"/>
  <c r="E83" i="10"/>
  <c r="G77" i="7"/>
  <c r="J60" i="5"/>
  <c r="C60" i="5"/>
  <c r="J54" i="5"/>
  <c r="E8" i="5"/>
  <c r="D55" i="5"/>
  <c r="J82" i="10" l="1"/>
  <c r="E31" i="5"/>
  <c r="G81" i="10"/>
  <c r="G83" i="10"/>
  <c r="B17" i="8"/>
  <c r="B24" i="8" s="1"/>
  <c r="C17" i="8"/>
  <c r="G15" i="8"/>
  <c r="G18" i="8" s="1"/>
  <c r="J55" i="5"/>
  <c r="C55" i="5"/>
  <c r="E11" i="5"/>
  <c r="D12" i="5"/>
  <c r="D57" i="5"/>
  <c r="E57" i="5" s="1"/>
  <c r="F30" i="10"/>
  <c r="G30" i="10" s="1"/>
  <c r="E10" i="5"/>
  <c r="C15" i="8" s="1"/>
  <c r="F31" i="10"/>
  <c r="G31" i="10" s="1"/>
  <c r="F32" i="10"/>
  <c r="G32" i="10" s="1"/>
  <c r="F33" i="10"/>
  <c r="G33" i="10" s="1"/>
  <c r="F29" i="10"/>
  <c r="C11" i="5" l="1"/>
  <c r="C10" i="5"/>
  <c r="C12" i="5" s="1"/>
  <c r="F34" i="10"/>
  <c r="F38" i="10" s="1"/>
  <c r="G38" i="10" s="1"/>
  <c r="G29" i="10"/>
  <c r="F59" i="10"/>
  <c r="E59" i="10"/>
  <c r="C36" i="8"/>
  <c r="C35" i="8"/>
  <c r="B25" i="8"/>
  <c r="C45" i="8"/>
  <c r="E45" i="8" s="1"/>
  <c r="C46" i="8"/>
  <c r="E46" i="8" s="1"/>
  <c r="E24" i="8"/>
  <c r="E25" i="8" s="1"/>
  <c r="E42" i="8" s="1"/>
  <c r="C33" i="8"/>
  <c r="C34" i="8"/>
  <c r="C18" i="8"/>
  <c r="B18" i="8"/>
  <c r="F37" i="7"/>
  <c r="G10" i="6"/>
  <c r="K61" i="5"/>
  <c r="F82" i="7"/>
  <c r="F41" i="7"/>
  <c r="G41" i="7" s="1"/>
  <c r="G14" i="6"/>
  <c r="F38" i="7"/>
  <c r="G38" i="7" s="1"/>
  <c r="G11" i="6"/>
  <c r="F40" i="7"/>
  <c r="G40" i="7" s="1"/>
  <c r="G13" i="6"/>
  <c r="J57" i="5"/>
  <c r="F61" i="7"/>
  <c r="F39" i="7"/>
  <c r="G39" i="7" s="1"/>
  <c r="G12" i="6"/>
  <c r="D21" i="5"/>
  <c r="E12" i="5"/>
  <c r="G34" i="10" l="1"/>
  <c r="G68" i="10"/>
  <c r="F84" i="7"/>
  <c r="G84" i="7" s="1"/>
  <c r="G37" i="7"/>
  <c r="F42" i="7"/>
  <c r="F46" i="7" s="1"/>
  <c r="G46" i="7" s="1"/>
  <c r="D8" i="8"/>
  <c r="E8" i="8" s="1"/>
  <c r="D7" i="8"/>
  <c r="E47" i="8"/>
  <c r="G82" i="7"/>
  <c r="J83" i="7"/>
  <c r="J11" i="6"/>
  <c r="J23" i="6" s="1"/>
  <c r="G23" i="6"/>
  <c r="J12" i="6"/>
  <c r="J24" i="6" s="1"/>
  <c r="G24" i="6"/>
  <c r="G25" i="6"/>
  <c r="J13" i="6"/>
  <c r="J25" i="6" s="1"/>
  <c r="J14" i="6"/>
  <c r="J26" i="6" s="1"/>
  <c r="G26" i="6"/>
  <c r="J10" i="6"/>
  <c r="G22" i="6"/>
  <c r="G16" i="6"/>
  <c r="J16" i="6" l="1"/>
  <c r="G42" i="7"/>
  <c r="E7" i="8"/>
  <c r="D36" i="8"/>
  <c r="E36" i="8" s="1"/>
  <c r="G27" i="6"/>
  <c r="J22" i="6"/>
  <c r="J27" i="6" s="1"/>
  <c r="F31" i="7" l="1"/>
  <c r="G31" i="7" s="1"/>
  <c r="H31" i="7" s="1"/>
  <c r="F23" i="10"/>
  <c r="G23" i="10" l="1"/>
  <c r="C44" i="5"/>
  <c r="C84" i="5" l="1"/>
  <c r="H38" i="10" s="1"/>
  <c r="I38" i="10" s="1"/>
  <c r="H23" i="10"/>
  <c r="C76" i="5"/>
  <c r="D16" i="8"/>
  <c r="D17" i="8"/>
  <c r="E17" i="8" s="1"/>
  <c r="I17" i="8" s="1"/>
  <c r="E86" i="5"/>
  <c r="C86" i="5" s="1"/>
  <c r="E76" i="5"/>
  <c r="H46" i="7" l="1"/>
  <c r="I46" i="7" s="1"/>
  <c r="I47" i="7" s="1"/>
  <c r="C43" i="5"/>
  <c r="C10" i="6" s="1"/>
  <c r="C22" i="6" s="1"/>
  <c r="F55" i="7"/>
  <c r="E55" i="7"/>
  <c r="F52" i="10"/>
  <c r="E52" i="10"/>
  <c r="I39" i="10"/>
  <c r="H8" i="10" s="1"/>
  <c r="I8" i="10" s="1"/>
  <c r="D35" i="8"/>
  <c r="E35" i="8" s="1"/>
  <c r="E16" i="8"/>
  <c r="I16" i="8" s="1"/>
  <c r="E79" i="5"/>
  <c r="D15" i="8" l="1"/>
  <c r="E15" i="8" s="1"/>
  <c r="E18" i="8" s="1"/>
  <c r="I40" i="10"/>
  <c r="G52" i="10"/>
  <c r="F7" i="7"/>
  <c r="G7" i="7" s="1"/>
  <c r="C11" i="6"/>
  <c r="E11" i="6" s="1"/>
  <c r="E10" i="6"/>
  <c r="E22" i="6" s="1"/>
  <c r="I10" i="6"/>
  <c r="I48" i="7"/>
  <c r="G55" i="7"/>
  <c r="I22" i="6" l="1"/>
  <c r="C23" i="6"/>
  <c r="C12" i="6"/>
  <c r="E12" i="6" s="1"/>
  <c r="I11" i="6"/>
  <c r="E23" i="6"/>
  <c r="I23" i="6" l="1"/>
  <c r="C24" i="6"/>
  <c r="C13" i="6"/>
  <c r="C25" i="6" s="1"/>
  <c r="I12" i="6"/>
  <c r="I24" i="6" s="1"/>
  <c r="E24" i="6"/>
  <c r="C14" i="6" l="1"/>
  <c r="C26" i="6" s="1"/>
  <c r="I13" i="6"/>
  <c r="I25" i="6" s="1"/>
  <c r="E13" i="6"/>
  <c r="I14" i="6" l="1"/>
  <c r="I16" i="6" s="1"/>
  <c r="E14" i="6"/>
  <c r="E25" i="6"/>
  <c r="E26" i="6" l="1"/>
  <c r="I26" i="6"/>
  <c r="F30" i="7" l="1"/>
  <c r="G30" i="7" s="1"/>
  <c r="H30" i="7" s="1"/>
  <c r="F22" i="10"/>
  <c r="G22" i="10" s="1"/>
  <c r="H22" i="10" s="1"/>
  <c r="I27" i="6"/>
  <c r="E8" i="7" l="1"/>
  <c r="E14" i="7" s="1"/>
  <c r="E33" i="5" l="1"/>
  <c r="C67" i="5" l="1"/>
  <c r="H37" i="7"/>
  <c r="I37" i="7" s="1"/>
  <c r="H29" i="10"/>
  <c r="I29" i="10" s="1"/>
  <c r="E36" i="5"/>
  <c r="E34" i="5"/>
  <c r="E35" i="5"/>
  <c r="J38" i="5"/>
  <c r="M6" i="10" s="1"/>
  <c r="E37" i="5"/>
  <c r="C69" i="5" l="1"/>
  <c r="H31" i="10"/>
  <c r="I31" i="10" s="1"/>
  <c r="H39" i="7"/>
  <c r="I39" i="7" s="1"/>
  <c r="H33" i="10"/>
  <c r="I33" i="10" s="1"/>
  <c r="C71" i="5"/>
  <c r="H41" i="7"/>
  <c r="I41" i="7" s="1"/>
  <c r="M8" i="10"/>
  <c r="T6" i="10"/>
  <c r="H30" i="10"/>
  <c r="I30" i="10" s="1"/>
  <c r="H38" i="7"/>
  <c r="I38" i="7" s="1"/>
  <c r="C68" i="5"/>
  <c r="C70" i="5"/>
  <c r="H40" i="7"/>
  <c r="I40" i="7" s="1"/>
  <c r="I42" i="7" s="1"/>
  <c r="H32" i="10"/>
  <c r="I32" i="10" s="1"/>
  <c r="I34" i="10" s="1"/>
  <c r="B10" i="6"/>
  <c r="E67" i="5"/>
  <c r="G7" i="10" l="1"/>
  <c r="T8" i="10"/>
  <c r="E7" i="10" s="1"/>
  <c r="E71" i="5"/>
  <c r="B14" i="6"/>
  <c r="B13" i="6"/>
  <c r="E70" i="5"/>
  <c r="I43" i="7"/>
  <c r="F6" i="7" s="1"/>
  <c r="I35" i="10"/>
  <c r="I36" i="10" s="1"/>
  <c r="B11" i="6"/>
  <c r="E68" i="5"/>
  <c r="H10" i="6"/>
  <c r="F10" i="6"/>
  <c r="F22" i="6" s="1"/>
  <c r="B22" i="6"/>
  <c r="B12" i="6"/>
  <c r="E69" i="5"/>
  <c r="E72" i="5" l="1"/>
  <c r="I44" i="7"/>
  <c r="F54" i="7"/>
  <c r="E50" i="10"/>
  <c r="E54" i="7"/>
  <c r="E21" i="10"/>
  <c r="E29" i="7"/>
  <c r="F50" i="10"/>
  <c r="F53" i="10" s="1"/>
  <c r="H22" i="6"/>
  <c r="K10" i="6"/>
  <c r="F11" i="6"/>
  <c r="F23" i="6" s="1"/>
  <c r="B23" i="6"/>
  <c r="H11" i="6"/>
  <c r="M17" i="10"/>
  <c r="F8" i="7"/>
  <c r="F14" i="7" s="1"/>
  <c r="G6" i="7"/>
  <c r="G8" i="7" s="1"/>
  <c r="F13" i="6"/>
  <c r="F25" i="6" s="1"/>
  <c r="B25" i="6"/>
  <c r="H13" i="6"/>
  <c r="B26" i="6"/>
  <c r="F14" i="6"/>
  <c r="F26" i="6" s="1"/>
  <c r="H14" i="6"/>
  <c r="H12" i="6"/>
  <c r="F12" i="6"/>
  <c r="F24" i="6" s="1"/>
  <c r="B24" i="6"/>
  <c r="E15" i="10"/>
  <c r="E16" i="10" s="1"/>
  <c r="H7" i="10"/>
  <c r="H9" i="10" s="1"/>
  <c r="H11" i="10" s="1"/>
  <c r="G9" i="10"/>
  <c r="G11" i="10" s="1"/>
  <c r="H16" i="6" l="1"/>
  <c r="F56" i="7"/>
  <c r="D6" i="8"/>
  <c r="I7" i="10"/>
  <c r="I9" i="10" s="1"/>
  <c r="I11" i="10"/>
  <c r="I13" i="10" s="1"/>
  <c r="K12" i="6"/>
  <c r="H24" i="6"/>
  <c r="K24" i="6" s="1"/>
  <c r="E32" i="7"/>
  <c r="G32" i="7" s="1"/>
  <c r="H26" i="6"/>
  <c r="K26" i="6" s="1"/>
  <c r="K14" i="6"/>
  <c r="K11" i="6"/>
  <c r="H23" i="6"/>
  <c r="K23" i="6" s="1"/>
  <c r="H25" i="6"/>
  <c r="K25" i="6" s="1"/>
  <c r="K13" i="6"/>
  <c r="E56" i="7"/>
  <c r="G56" i="7" s="1"/>
  <c r="G54" i="7"/>
  <c r="E53" i="10"/>
  <c r="G53" i="10" s="1"/>
  <c r="G50" i="10"/>
  <c r="M18" i="10"/>
  <c r="M19" i="10" s="1"/>
  <c r="M22" i="10" s="1"/>
  <c r="E61" i="10"/>
  <c r="E24" i="10"/>
  <c r="E25" i="10" s="1"/>
  <c r="G20" i="7"/>
  <c r="G14" i="7"/>
  <c r="K22" i="6"/>
  <c r="K16" i="6" l="1"/>
  <c r="E33" i="7"/>
  <c r="M32" i="10"/>
  <c r="O35" i="10" s="1"/>
  <c r="P36" i="10"/>
  <c r="G22" i="7"/>
  <c r="E62" i="7" s="1"/>
  <c r="G24" i="7"/>
  <c r="H20" i="7"/>
  <c r="K27" i="6"/>
  <c r="H27" i="6"/>
  <c r="H14" i="7"/>
  <c r="F29" i="7"/>
  <c r="F21" i="10"/>
  <c r="B16" i="6"/>
  <c r="E59" i="5" l="1"/>
  <c r="E60" i="10"/>
  <c r="E62" i="10" s="1"/>
  <c r="E64" i="10" s="1"/>
  <c r="J61" i="5"/>
  <c r="L61" i="5" s="1"/>
  <c r="F60" i="10"/>
  <c r="G67" i="10" s="1"/>
  <c r="G69" i="10" s="1"/>
  <c r="H15" i="8"/>
  <c r="H18" i="8" s="1"/>
  <c r="F62" i="7"/>
  <c r="F64" i="7" s="1"/>
  <c r="F66" i="7" s="1"/>
  <c r="E61" i="5"/>
  <c r="D34" i="8"/>
  <c r="E34" i="8" s="1"/>
  <c r="E6" i="8"/>
  <c r="E9" i="8" s="1"/>
  <c r="G21" i="10"/>
  <c r="F25" i="10"/>
  <c r="F33" i="7"/>
  <c r="G29" i="7"/>
  <c r="F62" i="10"/>
  <c r="G62" i="10" s="1"/>
  <c r="E64" i="7"/>
  <c r="I15" i="8" l="1"/>
  <c r="J66" i="7"/>
  <c r="G64" i="7"/>
  <c r="E66" i="7"/>
  <c r="H21" i="10"/>
  <c r="G25" i="10"/>
  <c r="H25" i="10" s="1"/>
  <c r="I18" i="8"/>
  <c r="E30" i="8" s="1"/>
  <c r="D33" i="8"/>
  <c r="E33" i="8" s="1"/>
  <c r="E37" i="8" s="1"/>
  <c r="F64" i="10"/>
  <c r="G64" i="10" s="1"/>
  <c r="J63" i="10"/>
  <c r="G33" i="7"/>
  <c r="H33" i="7" s="1"/>
  <c r="H29" i="7"/>
  <c r="G66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Cindy Perrin</author>
    <author>Susan Reffle</author>
  </authors>
  <commentList>
    <comment ref="T1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Cindy Perrin:</t>
        </r>
        <r>
          <rPr>
            <sz val="9"/>
            <color indexed="81"/>
            <rFont val="Tahoma"/>
            <family val="2"/>
          </rPr>
          <t xml:space="preserve">
Be sure to exclude previous true ups and FSVA which is included in line 142
</t>
        </r>
      </text>
    </comment>
    <comment ref="AE23" authorId="1" shapeId="0" xr:uid="{00000000-0006-0000-0300-000002000000}">
      <text>
        <r>
          <rPr>
            <b/>
            <sz val="9"/>
            <color indexed="81"/>
            <rFont val="Tahoma"/>
            <family val="2"/>
          </rPr>
          <t>Susan Reffle:</t>
        </r>
        <r>
          <rPr>
            <sz val="9"/>
            <color indexed="81"/>
            <rFont val="Tahoma"/>
            <family val="2"/>
          </rPr>
          <t xml:space="preserve">
required to separate due to emergency pricing for GA</t>
        </r>
      </text>
    </comment>
    <comment ref="AE24" authorId="1" shapeId="0" xr:uid="{00000000-0006-0000-0300-000003000000}">
      <text>
        <r>
          <rPr>
            <b/>
            <sz val="9"/>
            <color indexed="81"/>
            <rFont val="Tahoma"/>
            <family val="2"/>
          </rPr>
          <t>Susan Reffle:</t>
        </r>
        <r>
          <rPr>
            <sz val="9"/>
            <color indexed="81"/>
            <rFont val="Tahoma"/>
            <family val="2"/>
          </rPr>
          <t xml:space="preserve">
emergency rate is $0.115/kWh however need to adjust to tie to CT 148 amount.  RPP must be trued up based on actual rate and quantities.  There default balance goes to non-RPP.  See OEB letter May 15 corrected May 26</t>
        </r>
      </text>
    </comment>
  </commentList>
</comments>
</file>

<file path=xl/sharedStrings.xml><?xml version="1.0" encoding="utf-8"?>
<sst xmlns="http://schemas.openxmlformats.org/spreadsheetml/2006/main" count="502" uniqueCount="281">
  <si>
    <t>Table 22: Wholesale Volume data per IESO Power Bill</t>
  </si>
  <si>
    <t>GA RPP/non-RPP Ratios</t>
  </si>
  <si>
    <t>GA Volumes</t>
  </si>
  <si>
    <t>Energy Volumes</t>
  </si>
  <si>
    <t>AQEW</t>
  </si>
  <si>
    <t>Embedded Generation</t>
  </si>
  <si>
    <t>Class A customer Volumes for GA  (TLF included)</t>
  </si>
  <si>
    <t>Actual RPP Quantity Proportion</t>
  </si>
  <si>
    <t>Actual non-RPP Quantity Proportion</t>
  </si>
  <si>
    <t xml:space="preserve">Wholesale kWh Volumes </t>
  </si>
  <si>
    <t>Table 23: Actual Volumes purchased for RPP Customers (TLF Included)</t>
  </si>
  <si>
    <t>kWh Volumes</t>
  </si>
  <si>
    <t>Actual %</t>
  </si>
  <si>
    <t>Tier 1</t>
  </si>
  <si>
    <t>Tier 2</t>
  </si>
  <si>
    <t>TOU Off-peak</t>
  </si>
  <si>
    <t>TOU Mid-peak</t>
  </si>
  <si>
    <t>TOU On-peak</t>
  </si>
  <si>
    <t>Billed/Unbilled Retail Volumes</t>
  </si>
  <si>
    <t>Actual RPP Sales Quantities</t>
  </si>
  <si>
    <t>Actual non-RPP Sales Quantities</t>
  </si>
  <si>
    <t xml:space="preserve">Actual Retail Revenue kWh Volumes </t>
  </si>
  <si>
    <r>
      <t>Table 25: Actual RPP Revenue Volume and Price Data</t>
    </r>
    <r>
      <rPr>
        <b/>
        <vertAlign val="superscript"/>
        <sz val="10"/>
        <color theme="1"/>
        <rFont val="Calibri"/>
        <family val="2"/>
        <scheme val="minor"/>
      </rPr>
      <t>14</t>
    </r>
  </si>
  <si>
    <t>RPP Price/kWh</t>
  </si>
  <si>
    <t>Table 26: Commodity Price Data</t>
  </si>
  <si>
    <t>Wholesale Prices</t>
  </si>
  <si>
    <t>Commodity Price</t>
  </si>
  <si>
    <t>per kWh</t>
  </si>
  <si>
    <t>Actual Average Energy Price for RPP Customers</t>
  </si>
  <si>
    <t>Actual Average Energy Price for non-RPP customers</t>
  </si>
  <si>
    <t>GA 1st estimate</t>
  </si>
  <si>
    <t>GA 2nd estimate</t>
  </si>
  <si>
    <t>Class B - GA actual</t>
  </si>
  <si>
    <t>Class B - GA actual IESO billed</t>
  </si>
  <si>
    <t>Commodity Cost of Power per IESO Invoice:</t>
  </si>
  <si>
    <t>Table 27: Commodity Cost of Power Billed by IESO</t>
  </si>
  <si>
    <t>Cost/kWh</t>
  </si>
  <si>
    <t>Amount</t>
  </si>
  <si>
    <t>Actual Payments to Embedded Generators - 4705</t>
  </si>
  <si>
    <t>Charge Type 101 - 4705</t>
  </si>
  <si>
    <t>Charge Type 147 - non-RPP Class A - 4707</t>
  </si>
  <si>
    <r>
      <t>Charge Type 148 - RPP - 4705</t>
    </r>
    <r>
      <rPr>
        <b/>
        <vertAlign val="superscript"/>
        <sz val="11"/>
        <color theme="1"/>
        <rFont val="Calibri"/>
        <family val="2"/>
        <scheme val="minor"/>
      </rPr>
      <t>15</t>
    </r>
  </si>
  <si>
    <r>
      <t>Charge Type 148 - non-RPP - 4707</t>
    </r>
    <r>
      <rPr>
        <b/>
        <vertAlign val="superscript"/>
        <sz val="11"/>
        <color theme="1"/>
        <rFont val="Calibri"/>
        <family val="2"/>
        <scheme val="minor"/>
      </rPr>
      <t>15</t>
    </r>
  </si>
  <si>
    <t>Charge Type 1412 - FIT Program Settlement Amount - 4705</t>
  </si>
  <si>
    <t>Actual cost of power</t>
  </si>
  <si>
    <t>Actual Net Accrued &amp; Billed Revenue from RPP &amp; non-RPP Customers:</t>
  </si>
  <si>
    <t>Table 28: RPP Commodity Revenue</t>
  </si>
  <si>
    <t>Total Actual Revenue</t>
  </si>
  <si>
    <t>Table 29: non-RPP Actual Revenue</t>
  </si>
  <si>
    <t>Actual non-RPP Energy Revenue</t>
  </si>
  <si>
    <t>Actual Class A non-RPP GA Revenue at PDF</t>
  </si>
  <si>
    <t>Class B non-RPP GA Revenue at 1st estimate</t>
  </si>
  <si>
    <t>Actual RPP power sales volumes and revenues</t>
  </si>
  <si>
    <t>Actual Non-RPP power sales volumes and revenues</t>
  </si>
  <si>
    <t>RPP Settlement - 2nd True-UP</t>
  </si>
  <si>
    <t>RPP Settlement Calculation based on Actual GA Price on Business Day 4 of February 2018</t>
  </si>
  <si>
    <t>RPP Revenue Prices</t>
  </si>
  <si>
    <t>RPP Price</t>
  </si>
  <si>
    <t>GA Actual</t>
  </si>
  <si>
    <t>Total Commodity</t>
  </si>
  <si>
    <t>Difference</t>
  </si>
  <si>
    <t>$ Actual GA</t>
  </si>
  <si>
    <t>Table 32 Final Revised RPP Settlement based on Actual RPP Revenue and Actual GA Price</t>
  </si>
  <si>
    <t>Actual RPP Energy Price</t>
  </si>
  <si>
    <t>$ Actual RPP Revenue</t>
  </si>
  <si>
    <t>$ Actual RPP Energy</t>
  </si>
  <si>
    <t>2nd RPP Settlement True-up</t>
  </si>
  <si>
    <t>Table 33: True-up of RPP Volumes and Revenue and GA price to actual</t>
  </si>
  <si>
    <t>True-Up elements</t>
  </si>
  <si>
    <t>RPP Energy Price Difference</t>
  </si>
  <si>
    <t>GA Price Difference</t>
  </si>
  <si>
    <t>$ True-Up RPP Revenue</t>
  </si>
  <si>
    <t>$ True-up RPP Energy</t>
  </si>
  <si>
    <t>$ True-up GA</t>
  </si>
  <si>
    <t>$ RPP Settlement True-UP</t>
  </si>
  <si>
    <t>Energy COP</t>
  </si>
  <si>
    <t>GA COP</t>
  </si>
  <si>
    <t>TOU On-peak (total)</t>
  </si>
  <si>
    <t>Total for all RPP</t>
  </si>
  <si>
    <t>posted rate</t>
  </si>
  <si>
    <t>IESO Invoice = actual</t>
  </si>
  <si>
    <t>formula</t>
  </si>
  <si>
    <t xml:space="preserve">Table 30: Actual Average unit cost of power sold for RPP &amp; non-RPP for 2nd True-up </t>
  </si>
  <si>
    <t>USED 2ND METHOD BELOW - NO MATERIAL DIFFERENCE</t>
  </si>
  <si>
    <t>$ Final RPP Settlement</t>
  </si>
  <si>
    <t>Total</t>
  </si>
  <si>
    <t>Fixed</t>
  </si>
  <si>
    <t>Actual differential on billings - 'ER'</t>
  </si>
  <si>
    <t>Spot</t>
  </si>
  <si>
    <t>IESO Invoice Breakdown:</t>
  </si>
  <si>
    <t xml:space="preserve">        1598 regular estimate</t>
  </si>
  <si>
    <t xml:space="preserve">        Est. GA for RPP customer</t>
  </si>
  <si>
    <t>Closing Balance</t>
  </si>
  <si>
    <t>Total Actual IESO Settlement</t>
  </si>
  <si>
    <t>Comparison</t>
  </si>
  <si>
    <t>OEB Method</t>
  </si>
  <si>
    <t>RPP Revenue</t>
  </si>
  <si>
    <t>GA - RPP</t>
  </si>
  <si>
    <t>kWh</t>
  </si>
  <si>
    <t>Diff</t>
  </si>
  <si>
    <t>Non-RPP Revenue</t>
  </si>
  <si>
    <t>Energy Revenue - RPP</t>
  </si>
  <si>
    <t>GA RPP Portion</t>
  </si>
  <si>
    <t>1598 Final Settlement</t>
  </si>
  <si>
    <t>FIT/MicroFit @ spot</t>
  </si>
  <si>
    <t>GA True-up File</t>
  </si>
  <si>
    <t>GA - T otal Revenue</t>
  </si>
  <si>
    <t>GA - Class A Cost</t>
  </si>
  <si>
    <t xml:space="preserve">GA - Class B Cost </t>
  </si>
  <si>
    <t>GA - Class A Revenue</t>
  </si>
  <si>
    <t>GA - Total Cost</t>
  </si>
  <si>
    <t xml:space="preserve">Final RPP Settlement Calculation </t>
  </si>
  <si>
    <t>(1)</t>
  </si>
  <si>
    <t>Wholesale vs Retail Volume Differences (UAF Energy)</t>
  </si>
  <si>
    <t>Rate</t>
  </si>
  <si>
    <t>$ Amount</t>
  </si>
  <si>
    <t>(2)</t>
  </si>
  <si>
    <t>Retail kWh</t>
  </si>
  <si>
    <t>Wholesale kWh</t>
  </si>
  <si>
    <t>(3)</t>
  </si>
  <si>
    <t>GA - Class B Non-RPP Revenue</t>
  </si>
  <si>
    <t>Final True-up with IESO (based on actuals)</t>
  </si>
  <si>
    <t>Comparison:</t>
  </si>
  <si>
    <t>Difference in 1598 Final Settlement</t>
  </si>
  <si>
    <t>Difference in GA RPP Portion</t>
  </si>
  <si>
    <t>(4)</t>
  </si>
  <si>
    <t>(A)</t>
  </si>
  <si>
    <t>(B)</t>
  </si>
  <si>
    <t>(C)</t>
  </si>
  <si>
    <t>Final Settlement (A-B-C)</t>
  </si>
  <si>
    <t>Cost of Energy (4705)</t>
  </si>
  <si>
    <t>Sale of Energy (  )</t>
  </si>
  <si>
    <t>GA Revenue (4   )</t>
  </si>
  <si>
    <t>GA - Cost (4707)</t>
  </si>
  <si>
    <t>not needed for final</t>
  </si>
  <si>
    <t>IESO inv Class B GA $/Class B IESO kWh - see GA true-up file</t>
  </si>
  <si>
    <t>1598 Claim</t>
  </si>
  <si>
    <t>GA true-up spreadsheet - blended rate</t>
  </si>
  <si>
    <t>from IESO Spreadsheet</t>
  </si>
  <si>
    <t>148 RPP</t>
  </si>
  <si>
    <t>from GA true up or  split of IESO invoice spreadsheet</t>
  </si>
  <si>
    <t>Total GA</t>
  </si>
  <si>
    <t>Materiality</t>
  </si>
  <si>
    <t>1588 Variance Account (after true-up)</t>
  </si>
  <si>
    <t>1589 Variance Account (after true-up)</t>
  </si>
  <si>
    <t>Summary and Explanation of Final Balances of RSVA 1588 and 1589</t>
  </si>
  <si>
    <t>Table 37 - Total Energy and GA Revenue</t>
  </si>
  <si>
    <t>Volume Data by Customer Group</t>
  </si>
  <si>
    <t>Revenue - Energy Sales (Tables 28 &amp; 29)</t>
  </si>
  <si>
    <t>Revenue - GA (Table 29)</t>
  </si>
  <si>
    <t>Customer Group</t>
  </si>
  <si>
    <t>GA Retail
kWh Volumes</t>
  </si>
  <si>
    <t>Energy Retail kWh Volumes</t>
  </si>
  <si>
    <t>1st Estimate GA</t>
  </si>
  <si>
    <t>Class B - RPP</t>
  </si>
  <si>
    <t xml:space="preserve">Class A - Non-RPP </t>
  </si>
  <si>
    <t>Class B - Non-RPP</t>
  </si>
  <si>
    <t>Table 38 - Account 4705 Total Commodity Costs</t>
  </si>
  <si>
    <t>Costs - 4705 (Table 27)</t>
  </si>
  <si>
    <t>Commodity  (Wholesale)</t>
  </si>
  <si>
    <t>GA (Wholesale)</t>
  </si>
  <si>
    <t>Final IESO RPP Settlement</t>
  </si>
  <si>
    <t>Total Wholesale Cost</t>
  </si>
  <si>
    <t>GA Wholesale kWh Volumes</t>
  </si>
  <si>
    <t>Energy Wholesale kWh Volumes</t>
  </si>
  <si>
    <t>Final Purchased Price</t>
  </si>
  <si>
    <t>Actual GA IESO Bill Price</t>
  </si>
  <si>
    <t>Class B  - RPP</t>
  </si>
  <si>
    <t xml:space="preserve"> </t>
  </si>
  <si>
    <t>Table 39 - Account 4705 Total GA Costs</t>
  </si>
  <si>
    <t>GA Costs - 4707 (Table 27)</t>
  </si>
  <si>
    <t>Table 40 - Account 1588 Balance Explanation</t>
  </si>
  <si>
    <t>1588 - RSVA Power - Balance Explanation</t>
  </si>
  <si>
    <t>Balance Per DVA Continuity</t>
  </si>
  <si>
    <t>Variance - Type</t>
  </si>
  <si>
    <t>Quantity</t>
  </si>
  <si>
    <t>Price</t>
  </si>
  <si>
    <t>Explanation</t>
  </si>
  <si>
    <t>Price Variance</t>
  </si>
  <si>
    <t>Retail vs Wholesale Price Variances</t>
  </si>
  <si>
    <t>Volume Variance</t>
  </si>
  <si>
    <t>Retail vs Wholesale Volume Variance - (UFE differences)</t>
  </si>
  <si>
    <t>Price Difference</t>
  </si>
  <si>
    <t>Balance Explained</t>
  </si>
  <si>
    <t>Table 41 - Account 1589 Balance Explanation</t>
  </si>
  <si>
    <t>1589 - RSVA GA - Balance Explanation</t>
  </si>
  <si>
    <t>Retail GA Price Billed vs Wholesale GA Actual Price paid to IESO</t>
  </si>
  <si>
    <t>RPP kWh @ Rtl</t>
  </si>
  <si>
    <t>NonRPP kWh @Rtl</t>
  </si>
  <si>
    <t>Wholesale</t>
  </si>
  <si>
    <t>unaccounted for energy %</t>
  </si>
  <si>
    <t>NEW RPP - Class B GA actual</t>
  </si>
  <si>
    <t>NEW Non RPP - Class B GA actual</t>
  </si>
  <si>
    <t>Adjustment for OEB Accounting Guidance (UFE)</t>
  </si>
  <si>
    <t xml:space="preserve"> Adjustment for OEB Accounting Guidance (UFE)</t>
  </si>
  <si>
    <t>EW Method - GA CT 148 Split Adjusted for OEB Accounting Guidance</t>
  </si>
  <si>
    <t>W/S kWh</t>
  </si>
  <si>
    <t>IESO</t>
  </si>
  <si>
    <t>nonRPP</t>
  </si>
  <si>
    <t>RPP</t>
  </si>
  <si>
    <t>rate</t>
  </si>
  <si>
    <t>$'s</t>
  </si>
  <si>
    <t>EW Method</t>
  </si>
  <si>
    <t>amount required for closing balance to = 0</t>
  </si>
  <si>
    <t>Total GA kWh class B</t>
  </si>
  <si>
    <t>Total GA$ class B</t>
  </si>
  <si>
    <t>Non-RPP GA @ W/S</t>
  </si>
  <si>
    <t>Non-RPP GA$ @ W/S</t>
  </si>
  <si>
    <t>from GA TrueUp file</t>
  </si>
  <si>
    <t>from above and on 1st tab</t>
  </si>
  <si>
    <r>
      <t>Charge Type 1142/142 - RPP - 4705 - RPP Settlement - Final Settlement Amount</t>
    </r>
    <r>
      <rPr>
        <b/>
        <vertAlign val="superscript"/>
        <sz val="11"/>
        <color theme="1"/>
        <rFont val="Calibri"/>
        <family val="2"/>
        <scheme val="minor"/>
      </rPr>
      <t>16</t>
    </r>
  </si>
  <si>
    <t>done</t>
  </si>
  <si>
    <t xml:space="preserve"> done final</t>
  </si>
  <si>
    <t>NonRPP kWh @Wholesale</t>
  </si>
  <si>
    <t>RPP kWh @Wholesale</t>
  </si>
  <si>
    <t>Total GA rate (IESO bill)</t>
  </si>
  <si>
    <t>RPP GA actual (portion of CT148)</t>
  </si>
  <si>
    <t>Non-RPP GA actual (portion of CT148)</t>
  </si>
  <si>
    <t>Total CT 148</t>
  </si>
  <si>
    <t>Check</t>
  </si>
  <si>
    <t>GA Rate - RPP</t>
  </si>
  <si>
    <t>GA Rate - Non RPP</t>
  </si>
  <si>
    <t>This section can be simplified to pull from GA True-up file as the UFE is now built into that process</t>
  </si>
  <si>
    <t>May-Sep average GA rate for RPP and non RPP</t>
  </si>
  <si>
    <t>O</t>
  </si>
  <si>
    <t>N</t>
  </si>
  <si>
    <t>D</t>
  </si>
  <si>
    <t>Oct - Dec 2020 Actuals</t>
  </si>
  <si>
    <t>Actual Billings - Harris (related to consumption from Oct - Dec 2020)</t>
  </si>
  <si>
    <t>Oct 1 /20-  Dec 30/20 billing stats for Oct-Dec 2020 effective dates</t>
  </si>
  <si>
    <t>Oct-Dec</t>
  </si>
  <si>
    <t>2020 Oct-Dec</t>
  </si>
  <si>
    <t>Power</t>
  </si>
  <si>
    <t>GA</t>
  </si>
  <si>
    <t>GA Class B True Up  (Oct-Dec 2020)</t>
  </si>
  <si>
    <t>estimated true-up</t>
  </si>
  <si>
    <t>Owing to IESO</t>
  </si>
  <si>
    <t>Owing from IESO</t>
  </si>
  <si>
    <t>Claimed from IESO</t>
  </si>
  <si>
    <t>Owing from</t>
  </si>
  <si>
    <t>142 RPP</t>
  </si>
  <si>
    <t>142 Non</t>
  </si>
  <si>
    <t>December RV entry</t>
  </si>
  <si>
    <t>30.000.2220.032.00</t>
  </si>
  <si>
    <t>DB</t>
  </si>
  <si>
    <t>CR</t>
  </si>
  <si>
    <t>40.000.4705.009.00</t>
  </si>
  <si>
    <t>40.000.4707.000.00</t>
  </si>
  <si>
    <t>Opening Balance (amounts related to 4705)</t>
  </si>
  <si>
    <t>IESO Invoice (CT 148)</t>
  </si>
  <si>
    <t>Paid to/from IESO (CT 1142)</t>
  </si>
  <si>
    <t>GA RPP proportion True Up</t>
  </si>
  <si>
    <t>Actuals per Billing (RPP price -RPP Energy)</t>
  </si>
  <si>
    <t xml:space="preserve">Acctg Guidance True Up (UFE) </t>
  </si>
  <si>
    <t>RPP Revenue (actual billings)</t>
  </si>
  <si>
    <t>RPP Spot value (actual billings)</t>
  </si>
  <si>
    <t>GA - RPP Portion Estimate</t>
  </si>
  <si>
    <t>IESO GA Cost - RPP Portion</t>
  </si>
  <si>
    <t>Posted IESO Settlement:</t>
  </si>
  <si>
    <t>For IESO Settlement</t>
  </si>
  <si>
    <t>Billed (Retail)</t>
  </si>
  <si>
    <t>Difference:</t>
  </si>
  <si>
    <t>1598 Final True-up Claim</t>
  </si>
  <si>
    <t>1598 IESO Claims - RPP</t>
  </si>
  <si>
    <t>Total Actual IESO Settment (1598)</t>
  </si>
  <si>
    <t>Actual Calculations for IESO Settlement:</t>
  </si>
  <si>
    <t>Power Costs - RPP Portion</t>
  </si>
  <si>
    <t>OEB Acctg      (UFE)</t>
  </si>
  <si>
    <t xml:space="preserve">GA True-up (booked per GA true-up calc) </t>
  </si>
  <si>
    <t>Total $</t>
  </si>
  <si>
    <t xml:space="preserve">Retail with UFE </t>
  </si>
  <si>
    <t>Adj Separate</t>
  </si>
  <si>
    <t>rounding</t>
  </si>
  <si>
    <t>due to late correction to RPP GA rate</t>
  </si>
  <si>
    <t>May-Sep true-up (not material)</t>
  </si>
  <si>
    <t>see above</t>
  </si>
  <si>
    <t>Jan - Dec 2020 Actuals</t>
  </si>
  <si>
    <t>GA - Total Revenue</t>
  </si>
  <si>
    <t>Data for Final RPP Settlement based on Actual Revenue Volumes Jan-Dec 2020:</t>
  </si>
  <si>
    <t>Account Balance - December 31, 2020</t>
  </si>
  <si>
    <t>Table 24: Actual Retail Volume Revenue Data (TLF excluded)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</si>
</sst>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0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  <numFmt numFmtId="167" formatCode="_(&quot;$&quot;* #,##0_);_(&quot;$&quot;* \(#,##0\);_(&quot;$&quot;* &quot;-&quot;??_);_(@_)"/>
    <numFmt numFmtId="168" formatCode="_(* #,##0.00000_);_(* \(#,##0.00000\);_(* &quot;-&quot;??_);_(@_)"/>
    <numFmt numFmtId="169" formatCode="_(&quot;$&quot;* #,##0.0000_);_(&quot;$&quot;* \(#,##0.0000\);_(&quot;$&quot;* &quot;-&quot;??_);_(@_)"/>
    <numFmt numFmtId="170" formatCode="_-* #,##0_-;\-* #,##0_-;_-* &quot;-&quot;??_-;_-@_-"/>
    <numFmt numFmtId="171" formatCode="_(&quot;$&quot;* #,##0.000_);_(&quot;$&quot;* \(#,##0.000\);_(&quot;$&quot;* &quot;-&quot;??_);_(@_)"/>
    <numFmt numFmtId="172" formatCode="_(* #,##0.0000_);_(* \(#,##0.0000\);_(* &quot;-&quot;??_);_(@_)"/>
    <numFmt numFmtId="173" formatCode="_-&quot;$&quot;* #,##0.0000_-;\-&quot;$&quot;* #,##0.0000_-;_-&quot;$&quot;* &quot;-&quot;??_-;_-@_-"/>
    <numFmt numFmtId="174" formatCode="_-* #,##0.00000000_-;\-* #,##0.00000000_-;_-* &quot;-&quot;??_-;_-@_-"/>
    <numFmt numFmtId="175" formatCode="_(&quot;$&quot;* #,##0.00000_);_(&quot;$&quot;* \(#,##0.00000\);_(&quot;$&quot;* &quot;-&quot;??_);_(@_)"/>
    <numFmt numFmtId="176" formatCode="_-&quot;$&quot;* #,##0_-;\-&quot;$&quot;* #,##0_-;_-&quot;$&quot;* &quot;-&quot;????_-;_-@_-"/>
    <numFmt numFmtId="177" formatCode="_-* #,##0.00000_-;\-* #,##0.00000_-;_-* &quot;-&quot;??_-;_-@_-"/>
    <numFmt numFmtId="178" formatCode="_(&quot;$&quot;* #,##0.00000000_);_(&quot;$&quot;* \(#,##0.00000000\);_(&quot;$&quot;* &quot;-&quot;??_);_(@_)"/>
    <numFmt numFmtId="179" formatCode="_-&quot;$&quot;* #,##0_-;\-&quot;$&quot;* #,##0_-;_-&quot;$&quot;* &quot;-&quot;??_-;_-@_-"/>
    <numFmt numFmtId="180" formatCode="_-&quot;$&quot;* #,##0.00000_-;\-&quot;$&quot;* #,##0.00000_-;_-&quot;$&quot;* &quot;-&quot;??_-;_-@_-"/>
    <numFmt numFmtId="181" formatCode="0.000000"/>
    <numFmt numFmtId="182" formatCode="_(* #,##0.000_);_(* \(#,##0.000\);_(* &quot;-&quot;??_);_(@_)"/>
    <numFmt numFmtId="183" formatCode="0.00000"/>
    <numFmt numFmtId="184" formatCode="\ mm\/dd\/yyyy"/>
    <numFmt numFmtId="185" formatCode="0.0000"/>
    <numFmt numFmtId="186" formatCode="_(* #,##0.000000_);_(* \(#,##0.000000\);_(* &quot;-&quot;??_);_(@_)"/>
    <numFmt numFmtId="187" formatCode="0.0%"/>
    <numFmt numFmtId="188" formatCode="_(&quot;$&quot;* #,##0.000000_);_(&quot;$&quot;* \(#,##0.000000\);_(&quot;$&quot;* &quot;-&quot;??_);_(@_)"/>
    <numFmt numFmtId="189" formatCode="0.000%"/>
    <numFmt numFmtId="190" formatCode="_(* #,##0.0000000_);_(* \(#,##0.0000000\);_(* &quot;-&quot;??_);_(@_)"/>
    <numFmt numFmtId="191" formatCode="_-* #,##0.000000_-;\-* #,##0.000000_-;_-* &quot;-&quot;??_-;_-@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name val="Arial"/>
      <family val="2"/>
    </font>
    <font>
      <u/>
      <sz val="10"/>
      <name val="Arial"/>
      <family val="2"/>
    </font>
    <font>
      <b/>
      <sz val="11"/>
      <name val="Comic Sans MS"/>
      <family val="4"/>
    </font>
    <font>
      <b/>
      <sz val="11"/>
      <name val="Arial"/>
      <family val="2"/>
    </font>
    <font>
      <sz val="11"/>
      <name val="Comic Sans MS"/>
      <family val="4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 val="singleAccounting"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name val="Calibri"/>
      <family val="2"/>
      <scheme val="minor"/>
    </font>
    <font>
      <b/>
      <sz val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61">
    <border>
      <left/>
      <right/>
      <top/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 style="dashed">
        <color indexed="64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auto="1"/>
      </right>
      <top style="medium">
        <color auto="1"/>
      </top>
      <bottom style="double">
        <color indexed="64"/>
      </bottom>
      <diagonal/>
    </border>
    <border>
      <left style="dashed">
        <color indexed="64"/>
      </left>
      <right style="thin">
        <color auto="1"/>
      </right>
      <top style="medium">
        <color auto="1"/>
      </top>
      <bottom style="double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ashed">
        <color indexed="64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dashed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ashed">
        <color indexed="64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dashed">
        <color indexed="64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indexed="64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dashed">
        <color indexed="64"/>
      </left>
      <right style="dashed">
        <color indexed="64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0" fontId="25" fillId="0" borderId="0" applyNumberFormat="0" applyFill="0" applyBorder="0" applyAlignment="0" applyProtection="0"/>
  </cellStyleXfs>
  <cellXfs count="457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0" xfId="0" applyBorder="1"/>
    <xf numFmtId="0" fontId="0" fillId="0" borderId="0" xfId="0" applyFont="1"/>
    <xf numFmtId="166" fontId="0" fillId="0" borderId="0" xfId="1" applyNumberFormat="1" applyFont="1" applyFill="1"/>
    <xf numFmtId="166" fontId="0" fillId="0" borderId="0" xfId="1" applyNumberFormat="1" applyFont="1"/>
    <xf numFmtId="166" fontId="0" fillId="0" borderId="0" xfId="0" applyNumberFormat="1"/>
    <xf numFmtId="0" fontId="3" fillId="0" borderId="0" xfId="0" applyFont="1" applyBorder="1"/>
    <xf numFmtId="167" fontId="0" fillId="0" borderId="0" xfId="0" applyNumberFormat="1" applyBorder="1"/>
    <xf numFmtId="166" fontId="0" fillId="0" borderId="1" xfId="1" applyNumberFormat="1" applyFont="1" applyFill="1" applyBorder="1"/>
    <xf numFmtId="0" fontId="2" fillId="0" borderId="0" xfId="0" applyFont="1" applyBorder="1" applyAlignment="1">
      <alignment horizontal="center"/>
    </xf>
    <xf numFmtId="166" fontId="2" fillId="0" borderId="0" xfId="1" applyNumberFormat="1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10" fontId="0" fillId="0" borderId="0" xfId="3" applyNumberFormat="1" applyFont="1"/>
    <xf numFmtId="10" fontId="0" fillId="0" borderId="0" xfId="3" applyNumberFormat="1" applyFont="1" applyFill="1"/>
    <xf numFmtId="168" fontId="0" fillId="0" borderId="0" xfId="0" applyNumberFormat="1" applyBorder="1"/>
    <xf numFmtId="169" fontId="0" fillId="0" borderId="0" xfId="0" applyNumberFormat="1" applyBorder="1"/>
    <xf numFmtId="166" fontId="0" fillId="0" borderId="0" xfId="0" applyNumberFormat="1" applyBorder="1"/>
    <xf numFmtId="167" fontId="0" fillId="0" borderId="0" xfId="2" applyNumberFormat="1" applyFont="1" applyBorder="1"/>
    <xf numFmtId="10" fontId="0" fillId="0" borderId="0" xfId="3" applyNumberFormat="1" applyFont="1" applyBorder="1"/>
    <xf numFmtId="0" fontId="0" fillId="0" borderId="0" xfId="0" applyFill="1"/>
    <xf numFmtId="10" fontId="0" fillId="0" borderId="2" xfId="0" applyNumberFormat="1" applyBorder="1"/>
    <xf numFmtId="166" fontId="0" fillId="0" borderId="2" xfId="0" applyNumberFormat="1" applyBorder="1"/>
    <xf numFmtId="0" fontId="4" fillId="0" borderId="0" xfId="0" applyFont="1"/>
    <xf numFmtId="169" fontId="0" fillId="0" borderId="0" xfId="0" applyNumberFormat="1"/>
    <xf numFmtId="167" fontId="0" fillId="0" borderId="0" xfId="2" applyNumberFormat="1" applyFont="1"/>
    <xf numFmtId="171" fontId="0" fillId="0" borderId="0" xfId="2" applyNumberFormat="1" applyFont="1"/>
    <xf numFmtId="166" fontId="5" fillId="0" borderId="0" xfId="1" applyNumberFormat="1" applyFont="1" applyFill="1"/>
    <xf numFmtId="166" fontId="0" fillId="2" borderId="0" xfId="1" applyNumberFormat="1" applyFont="1" applyFill="1"/>
    <xf numFmtId="165" fontId="0" fillId="0" borderId="0" xfId="0" applyNumberFormat="1"/>
    <xf numFmtId="166" fontId="0" fillId="0" borderId="0" xfId="3" applyNumberFormat="1" applyFont="1"/>
    <xf numFmtId="0" fontId="0" fillId="0" borderId="0" xfId="0" applyAlignment="1">
      <alignment horizontal="center"/>
    </xf>
    <xf numFmtId="169" fontId="0" fillId="0" borderId="0" xfId="0" applyNumberFormat="1" applyFill="1"/>
    <xf numFmtId="172" fontId="0" fillId="0" borderId="0" xfId="0" applyNumberFormat="1"/>
    <xf numFmtId="169" fontId="0" fillId="0" borderId="0" xfId="2" applyNumberFormat="1" applyFont="1"/>
    <xf numFmtId="164" fontId="0" fillId="0" borderId="0" xfId="0" applyNumberFormat="1"/>
    <xf numFmtId="167" fontId="2" fillId="0" borderId="0" xfId="2" applyNumberFormat="1" applyFont="1" applyBorder="1" applyAlignment="1">
      <alignment horizontal="center"/>
    </xf>
    <xf numFmtId="167" fontId="0" fillId="0" borderId="0" xfId="2" applyNumberFormat="1" applyFont="1" applyFill="1"/>
    <xf numFmtId="174" fontId="0" fillId="0" borderId="0" xfId="1" applyNumberFormat="1" applyFont="1"/>
    <xf numFmtId="167" fontId="0" fillId="0" borderId="0" xfId="0" applyNumberFormat="1" applyFill="1"/>
    <xf numFmtId="167" fontId="0" fillId="0" borderId="0" xfId="2" applyNumberFormat="1" applyFont="1" applyFill="1" applyAlignment="1">
      <alignment horizontal="left"/>
    </xf>
    <xf numFmtId="175" fontId="0" fillId="0" borderId="0" xfId="0" applyNumberFormat="1" applyFill="1"/>
    <xf numFmtId="167" fontId="0" fillId="0" borderId="2" xfId="2" applyNumberFormat="1" applyFont="1" applyFill="1" applyBorder="1"/>
    <xf numFmtId="164" fontId="0" fillId="0" borderId="0" xfId="2" applyFont="1"/>
    <xf numFmtId="164" fontId="0" fillId="0" borderId="0" xfId="2" applyFont="1" applyFill="1"/>
    <xf numFmtId="167" fontId="0" fillId="0" borderId="0" xfId="0" applyNumberFormat="1"/>
    <xf numFmtId="166" fontId="0" fillId="0" borderId="0" xfId="0" applyNumberFormat="1" applyFill="1"/>
    <xf numFmtId="173" fontId="0" fillId="0" borderId="0" xfId="0" applyNumberFormat="1" applyFill="1"/>
    <xf numFmtId="44" fontId="0" fillId="0" borderId="0" xfId="0" applyNumberFormat="1" applyFill="1"/>
    <xf numFmtId="0" fontId="2" fillId="0" borderId="0" xfId="0" applyFont="1" applyFill="1" applyAlignment="1">
      <alignment horizontal="center" wrapText="1"/>
    </xf>
    <xf numFmtId="44" fontId="0" fillId="0" borderId="0" xfId="0" applyNumberFormat="1"/>
    <xf numFmtId="43" fontId="0" fillId="0" borderId="0" xfId="0" applyNumberFormat="1" applyFill="1"/>
    <xf numFmtId="176" fontId="0" fillId="0" borderId="0" xfId="0" applyNumberFormat="1"/>
    <xf numFmtId="176" fontId="0" fillId="0" borderId="0" xfId="0" applyNumberFormat="1" applyFill="1"/>
    <xf numFmtId="166" fontId="0" fillId="0" borderId="2" xfId="1" applyNumberFormat="1" applyFont="1" applyBorder="1"/>
    <xf numFmtId="167" fontId="0" fillId="0" borderId="0" xfId="2" applyNumberFormat="1" applyFont="1" applyFill="1" applyBorder="1"/>
    <xf numFmtId="166" fontId="0" fillId="0" borderId="0" xfId="1" applyNumberFormat="1" applyFont="1" applyBorder="1"/>
    <xf numFmtId="164" fontId="0" fillId="0" borderId="0" xfId="0" applyNumberFormat="1" applyFill="1"/>
    <xf numFmtId="167" fontId="2" fillId="0" borderId="0" xfId="2" applyNumberFormat="1" applyFont="1" applyFill="1" applyBorder="1" applyAlignment="1">
      <alignment horizontal="center"/>
    </xf>
    <xf numFmtId="169" fontId="0" fillId="0" borderId="0" xfId="0" applyNumberFormat="1" applyFont="1" applyFill="1"/>
    <xf numFmtId="166" fontId="1" fillId="0" borderId="0" xfId="1" applyNumberFormat="1" applyFont="1" applyBorder="1"/>
    <xf numFmtId="167" fontId="1" fillId="0" borderId="0" xfId="2" applyNumberFormat="1" applyFont="1" applyFill="1" applyBorder="1"/>
    <xf numFmtId="167" fontId="0" fillId="0" borderId="2" xfId="2" applyNumberFormat="1" applyFont="1" applyBorder="1"/>
    <xf numFmtId="10" fontId="0" fillId="0" borderId="0" xfId="3" applyNumberFormat="1" applyFont="1" applyFill="1" applyBorder="1"/>
    <xf numFmtId="177" fontId="0" fillId="0" borderId="0" xfId="0" applyNumberFormat="1"/>
    <xf numFmtId="178" fontId="0" fillId="0" borderId="0" xfId="2" applyNumberFormat="1" applyFont="1" applyBorder="1"/>
    <xf numFmtId="43" fontId="0" fillId="0" borderId="0" xfId="0" applyNumberFormat="1"/>
    <xf numFmtId="9" fontId="0" fillId="0" borderId="0" xfId="3" applyFont="1" applyBorder="1"/>
    <xf numFmtId="168" fontId="0" fillId="0" borderId="0" xfId="1" applyNumberFormat="1" applyFont="1" applyBorder="1"/>
    <xf numFmtId="180" fontId="0" fillId="0" borderId="0" xfId="0" applyNumberFormat="1"/>
    <xf numFmtId="169" fontId="0" fillId="0" borderId="1" xfId="0" applyNumberFormat="1" applyBorder="1"/>
    <xf numFmtId="166" fontId="0" fillId="0" borderId="1" xfId="1" applyNumberFormat="1" applyFont="1" applyBorder="1"/>
    <xf numFmtId="167" fontId="0" fillId="0" borderId="2" xfId="0" applyNumberFormat="1" applyBorder="1"/>
    <xf numFmtId="175" fontId="0" fillId="0" borderId="0" xfId="3" applyNumberFormat="1" applyFont="1" applyBorder="1"/>
    <xf numFmtId="43" fontId="0" fillId="0" borderId="0" xfId="1" applyNumberFormat="1" applyFont="1" applyBorder="1"/>
    <xf numFmtId="170" fontId="0" fillId="0" borderId="0" xfId="0" applyNumberFormat="1" applyBorder="1"/>
    <xf numFmtId="175" fontId="0" fillId="0" borderId="0" xfId="2" applyNumberFormat="1" applyFont="1" applyBorder="1"/>
    <xf numFmtId="165" fontId="0" fillId="0" borderId="0" xfId="1" applyFont="1" applyBorder="1"/>
    <xf numFmtId="0" fontId="0" fillId="0" borderId="0" xfId="0" applyFill="1" applyBorder="1"/>
    <xf numFmtId="166" fontId="0" fillId="0" borderId="0" xfId="1" applyNumberFormat="1" applyFont="1" applyFill="1" applyBorder="1"/>
    <xf numFmtId="0" fontId="8" fillId="0" borderId="0" xfId="0" applyFont="1"/>
    <xf numFmtId="0" fontId="2" fillId="0" borderId="0" xfId="0" applyFont="1" applyBorder="1"/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0" fillId="0" borderId="4" xfId="0" applyBorder="1"/>
    <xf numFmtId="169" fontId="0" fillId="0" borderId="5" xfId="2" applyNumberFormat="1" applyFont="1" applyBorder="1"/>
    <xf numFmtId="173" fontId="0" fillId="0" borderId="5" xfId="0" applyNumberFormat="1" applyBorder="1"/>
    <xf numFmtId="171" fontId="0" fillId="0" borderId="0" xfId="0" applyNumberFormat="1" applyBorder="1"/>
    <xf numFmtId="169" fontId="0" fillId="0" borderId="0" xfId="2" applyNumberFormat="1" applyFont="1" applyBorder="1"/>
    <xf numFmtId="173" fontId="0" fillId="0" borderId="0" xfId="0" applyNumberFormat="1" applyBorder="1"/>
    <xf numFmtId="0" fontId="0" fillId="0" borderId="6" xfId="0" applyBorder="1"/>
    <xf numFmtId="0" fontId="0" fillId="0" borderId="7" xfId="0" applyBorder="1"/>
    <xf numFmtId="169" fontId="0" fillId="0" borderId="8" xfId="2" applyNumberFormat="1" applyFont="1" applyBorder="1"/>
    <xf numFmtId="173" fontId="0" fillId="0" borderId="8" xfId="0" applyNumberFormat="1" applyBorder="1"/>
    <xf numFmtId="180" fontId="0" fillId="0" borderId="0" xfId="0" applyNumberFormat="1" applyBorder="1"/>
    <xf numFmtId="0" fontId="0" fillId="0" borderId="0" xfId="0" applyBorder="1" applyAlignment="1">
      <alignment horizontal="center"/>
    </xf>
    <xf numFmtId="44" fontId="0" fillId="0" borderId="0" xfId="0" applyNumberFormat="1" applyBorder="1"/>
    <xf numFmtId="0" fontId="2" fillId="0" borderId="3" xfId="0" applyFont="1" applyBorder="1" applyAlignment="1">
      <alignment wrapText="1"/>
    </xf>
    <xf numFmtId="0" fontId="2" fillId="0" borderId="0" xfId="0" applyFont="1" applyFill="1" applyBorder="1" applyAlignment="1">
      <alignment horizontal="center" wrapText="1"/>
    </xf>
    <xf numFmtId="171" fontId="0" fillId="0" borderId="5" xfId="0" applyNumberFormat="1" applyBorder="1"/>
    <xf numFmtId="171" fontId="0" fillId="0" borderId="8" xfId="0" applyNumberForma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10" xfId="0" applyBorder="1"/>
    <xf numFmtId="0" fontId="0" fillId="0" borderId="0" xfId="0" applyBorder="1" applyAlignment="1">
      <alignment horizontal="left"/>
    </xf>
    <xf numFmtId="0" fontId="9" fillId="0" borderId="0" xfId="0" applyFont="1" applyFill="1"/>
    <xf numFmtId="167" fontId="9" fillId="0" borderId="0" xfId="2" applyNumberFormat="1" applyFont="1" applyFill="1" applyAlignment="1">
      <alignment horizontal="right"/>
    </xf>
    <xf numFmtId="0" fontId="0" fillId="0" borderId="8" xfId="0" applyBorder="1" applyAlignment="1">
      <alignment horizontal="center"/>
    </xf>
    <xf numFmtId="175" fontId="0" fillId="0" borderId="0" xfId="0" applyNumberFormat="1"/>
    <xf numFmtId="169" fontId="0" fillId="0" borderId="5" xfId="2" applyNumberFormat="1" applyFont="1" applyFill="1" applyBorder="1"/>
    <xf numFmtId="169" fontId="0" fillId="0" borderId="0" xfId="2" applyNumberFormat="1" applyFont="1" applyFill="1" applyBorder="1"/>
    <xf numFmtId="169" fontId="0" fillId="0" borderId="8" xfId="2" applyNumberFormat="1" applyFont="1" applyFill="1" applyBorder="1"/>
    <xf numFmtId="168" fontId="0" fillId="0" borderId="0" xfId="0" applyNumberFormat="1"/>
    <xf numFmtId="0" fontId="11" fillId="0" borderId="0" xfId="0" applyFont="1"/>
    <xf numFmtId="17" fontId="0" fillId="0" borderId="8" xfId="0" applyNumberFormat="1" applyBorder="1"/>
    <xf numFmtId="0" fontId="0" fillId="0" borderId="8" xfId="0" applyBorder="1" applyAlignment="1">
      <alignment horizontal="right"/>
    </xf>
    <xf numFmtId="184" fontId="0" fillId="0" borderId="0" xfId="0" applyNumberFormat="1"/>
    <xf numFmtId="0" fontId="14" fillId="0" borderId="0" xfId="4" applyNumberFormat="1" applyFont="1" applyAlignment="1"/>
    <xf numFmtId="0" fontId="15" fillId="0" borderId="0" xfId="4" applyNumberFormat="1" applyFont="1" applyAlignment="1"/>
    <xf numFmtId="0" fontId="16" fillId="0" borderId="0" xfId="4" applyNumberFormat="1" applyFont="1" applyAlignment="1"/>
    <xf numFmtId="0" fontId="16" fillId="0" borderId="0" xfId="4" applyNumberFormat="1" applyFont="1" applyFill="1" applyAlignment="1"/>
    <xf numFmtId="166" fontId="0" fillId="0" borderId="8" xfId="1" applyNumberFormat="1" applyFont="1" applyBorder="1"/>
    <xf numFmtId="166" fontId="0" fillId="0" borderId="9" xfId="1" applyNumberFormat="1" applyFont="1" applyBorder="1"/>
    <xf numFmtId="166" fontId="0" fillId="0" borderId="8" xfId="1" applyNumberFormat="1" applyFont="1" applyBorder="1" applyAlignment="1">
      <alignment horizontal="center"/>
    </xf>
    <xf numFmtId="4" fontId="16" fillId="0" borderId="0" xfId="4" applyNumberFormat="1" applyFont="1" applyAlignment="1"/>
    <xf numFmtId="3" fontId="16" fillId="0" borderId="0" xfId="4" applyNumberFormat="1" applyFont="1" applyAlignment="1"/>
    <xf numFmtId="0" fontId="17" fillId="0" borderId="0" xfId="4" applyNumberFormat="1" applyFont="1" applyAlignment="1"/>
    <xf numFmtId="3" fontId="17" fillId="0" borderId="1" xfId="4" applyNumberFormat="1" applyFont="1" applyBorder="1" applyAlignment="1"/>
    <xf numFmtId="166" fontId="1" fillId="0" borderId="0" xfId="1" applyNumberFormat="1" applyFont="1"/>
    <xf numFmtId="0" fontId="5" fillId="0" borderId="0" xfId="4" applyNumberFormat="1" applyFont="1" applyAlignment="1"/>
    <xf numFmtId="0" fontId="5" fillId="4" borderId="0" xfId="4" applyNumberFormat="1" applyFont="1" applyFill="1" applyAlignment="1"/>
    <xf numFmtId="0" fontId="0" fillId="0" borderId="0" xfId="1" applyNumberFormat="1" applyFont="1"/>
    <xf numFmtId="0" fontId="5" fillId="0" borderId="0" xfId="4" applyNumberFormat="1" applyFont="1" applyFill="1" applyAlignment="1"/>
    <xf numFmtId="9" fontId="0" fillId="0" borderId="0" xfId="3" applyFont="1"/>
    <xf numFmtId="166" fontId="0" fillId="0" borderId="9" xfId="0" applyNumberFormat="1" applyBorder="1"/>
    <xf numFmtId="166" fontId="0" fillId="0" borderId="1" xfId="0" applyNumberFormat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0" xfId="0" quotePrefix="1"/>
    <xf numFmtId="0" fontId="0" fillId="0" borderId="13" xfId="0" applyFont="1" applyBorder="1"/>
    <xf numFmtId="0" fontId="0" fillId="0" borderId="14" xfId="0" applyFont="1" applyBorder="1"/>
    <xf numFmtId="166" fontId="0" fillId="0" borderId="14" xfId="1" applyNumberFormat="1" applyFont="1" applyBorder="1"/>
    <xf numFmtId="166" fontId="0" fillId="0" borderId="15" xfId="1" applyNumberFormat="1" applyFont="1" applyBorder="1"/>
    <xf numFmtId="182" fontId="0" fillId="0" borderId="0" xfId="1" applyNumberFormat="1" applyFont="1"/>
    <xf numFmtId="182" fontId="0" fillId="0" borderId="9" xfId="1" applyNumberFormat="1" applyFont="1" applyBorder="1"/>
    <xf numFmtId="167" fontId="0" fillId="0" borderId="0" xfId="2" quotePrefix="1" applyNumberFormat="1" applyFont="1" applyFill="1" applyBorder="1"/>
    <xf numFmtId="183" fontId="0" fillId="0" borderId="0" xfId="0" applyNumberFormat="1"/>
    <xf numFmtId="185" fontId="0" fillId="0" borderId="0" xfId="0" applyNumberFormat="1"/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166" fontId="0" fillId="0" borderId="9" xfId="0" applyNumberFormat="1" applyFill="1" applyBorder="1"/>
    <xf numFmtId="0" fontId="0" fillId="0" borderId="0" xfId="0" quotePrefix="1" applyFill="1"/>
    <xf numFmtId="0" fontId="0" fillId="0" borderId="0" xfId="0" applyFont="1" applyFill="1" applyBorder="1"/>
    <xf numFmtId="0" fontId="0" fillId="0" borderId="0" xfId="0" quotePrefix="1" applyFont="1" applyFill="1" applyBorder="1"/>
    <xf numFmtId="0" fontId="11" fillId="0" borderId="0" xfId="0" applyFont="1" applyFill="1"/>
    <xf numFmtId="166" fontId="2" fillId="0" borderId="0" xfId="0" applyNumberFormat="1" applyFont="1" applyBorder="1" applyAlignment="1">
      <alignment horizontal="center"/>
    </xf>
    <xf numFmtId="165" fontId="0" fillId="0" borderId="0" xfId="1" applyFont="1"/>
    <xf numFmtId="0" fontId="18" fillId="0" borderId="0" xfId="0" applyFont="1"/>
    <xf numFmtId="165" fontId="0" fillId="0" borderId="0" xfId="1" applyFont="1" applyFill="1"/>
    <xf numFmtId="186" fontId="0" fillId="0" borderId="0" xfId="1" applyNumberFormat="1" applyFont="1"/>
    <xf numFmtId="187" fontId="0" fillId="0" borderId="16" xfId="3" applyNumberFormat="1" applyFont="1" applyBorder="1"/>
    <xf numFmtId="166" fontId="0" fillId="0" borderId="17" xfId="0" applyNumberFormat="1" applyBorder="1"/>
    <xf numFmtId="0" fontId="0" fillId="0" borderId="18" xfId="0" applyBorder="1"/>
    <xf numFmtId="189" fontId="0" fillId="0" borderId="0" xfId="3" applyNumberFormat="1" applyFont="1"/>
    <xf numFmtId="189" fontId="0" fillId="0" borderId="0" xfId="0" applyNumberFormat="1"/>
    <xf numFmtId="0" fontId="0" fillId="0" borderId="2" xfId="0" applyBorder="1"/>
    <xf numFmtId="0" fontId="20" fillId="0" borderId="0" xfId="0" applyFont="1" applyAlignment="1"/>
    <xf numFmtId="0" fontId="0" fillId="0" borderId="0" xfId="0" applyAlignment="1">
      <alignment wrapText="1"/>
    </xf>
    <xf numFmtId="0" fontId="20" fillId="0" borderId="0" xfId="0" applyFont="1" applyAlignment="1">
      <alignment horizontal="center"/>
    </xf>
    <xf numFmtId="0" fontId="2" fillId="0" borderId="23" xfId="0" applyFont="1" applyBorder="1"/>
    <xf numFmtId="0" fontId="2" fillId="0" borderId="24" xfId="0" applyFont="1" applyBorder="1" applyAlignment="1">
      <alignment horizontal="center" wrapText="1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5" xfId="0" applyFont="1" applyBorder="1" applyAlignment="1">
      <alignment horizontal="center" wrapText="1"/>
    </xf>
    <xf numFmtId="166" fontId="0" fillId="0" borderId="0" xfId="0" applyNumberFormat="1" applyAlignment="1">
      <alignment wrapText="1"/>
    </xf>
    <xf numFmtId="166" fontId="0" fillId="0" borderId="0" xfId="1" applyNumberFormat="1" applyFont="1" applyAlignment="1">
      <alignment wrapText="1"/>
    </xf>
    <xf numFmtId="190" fontId="0" fillId="0" borderId="0" xfId="0" applyNumberFormat="1" applyAlignment="1">
      <alignment wrapText="1"/>
    </xf>
    <xf numFmtId="0" fontId="0" fillId="0" borderId="3" xfId="0" applyFont="1" applyBorder="1"/>
    <xf numFmtId="166" fontId="0" fillId="0" borderId="27" xfId="0" applyNumberFormat="1" applyBorder="1"/>
    <xf numFmtId="169" fontId="0" fillId="0" borderId="27" xfId="0" applyNumberFormat="1" applyBorder="1"/>
    <xf numFmtId="0" fontId="0" fillId="0" borderId="27" xfId="0" applyBorder="1"/>
    <xf numFmtId="166" fontId="0" fillId="0" borderId="3" xfId="0" applyNumberFormat="1" applyBorder="1"/>
    <xf numFmtId="169" fontId="0" fillId="0" borderId="3" xfId="0" applyNumberFormat="1" applyBorder="1"/>
    <xf numFmtId="0" fontId="0" fillId="0" borderId="3" xfId="0" applyBorder="1"/>
    <xf numFmtId="166" fontId="0" fillId="0" borderId="28" xfId="0" applyNumberFormat="1" applyBorder="1"/>
    <xf numFmtId="169" fontId="0" fillId="0" borderId="28" xfId="0" applyNumberFormat="1" applyBorder="1"/>
    <xf numFmtId="165" fontId="0" fillId="0" borderId="0" xfId="0" applyNumberFormat="1" applyAlignment="1">
      <alignment wrapText="1"/>
    </xf>
    <xf numFmtId="166" fontId="0" fillId="0" borderId="29" xfId="0" applyNumberFormat="1" applyBorder="1"/>
    <xf numFmtId="0" fontId="0" fillId="0" borderId="19" xfId="0" applyBorder="1"/>
    <xf numFmtId="166" fontId="0" fillId="6" borderId="30" xfId="0" applyNumberFormat="1" applyFill="1" applyBorder="1"/>
    <xf numFmtId="167" fontId="0" fillId="0" borderId="0" xfId="0" applyNumberFormat="1" applyAlignment="1">
      <alignment wrapText="1"/>
    </xf>
    <xf numFmtId="168" fontId="0" fillId="0" borderId="0" xfId="0" applyNumberFormat="1" applyAlignment="1">
      <alignment wrapText="1"/>
    </xf>
    <xf numFmtId="166" fontId="0" fillId="0" borderId="0" xfId="0" applyNumberFormat="1" applyFill="1" applyBorder="1"/>
    <xf numFmtId="0" fontId="0" fillId="5" borderId="4" xfId="0" applyFill="1" applyBorder="1"/>
    <xf numFmtId="0" fontId="0" fillId="5" borderId="5" xfId="0" applyFill="1" applyBorder="1"/>
    <xf numFmtId="0" fontId="0" fillId="5" borderId="20" xfId="0" applyFill="1" applyBorder="1"/>
    <xf numFmtId="0" fontId="2" fillId="0" borderId="32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5" xfId="0" applyFont="1" applyBorder="1" applyAlignment="1">
      <alignment horizontal="center"/>
    </xf>
    <xf numFmtId="0" fontId="0" fillId="0" borderId="12" xfId="0" applyFont="1" applyBorder="1"/>
    <xf numFmtId="166" fontId="0" fillId="0" borderId="33" xfId="0" applyNumberFormat="1" applyBorder="1"/>
    <xf numFmtId="166" fontId="0" fillId="0" borderId="34" xfId="0" applyNumberFormat="1" applyBorder="1"/>
    <xf numFmtId="169" fontId="0" fillId="0" borderId="33" xfId="0" applyNumberFormat="1" applyBorder="1"/>
    <xf numFmtId="166" fontId="0" fillId="0" borderId="35" xfId="1" applyNumberFormat="1" applyFont="1" applyBorder="1"/>
    <xf numFmtId="166" fontId="0" fillId="0" borderId="36" xfId="0" applyNumberFormat="1" applyBorder="1"/>
    <xf numFmtId="166" fontId="0" fillId="0" borderId="4" xfId="0" applyNumberFormat="1" applyBorder="1"/>
    <xf numFmtId="166" fontId="0" fillId="0" borderId="37" xfId="0" applyNumberFormat="1" applyBorder="1"/>
    <xf numFmtId="169" fontId="0" fillId="0" borderId="21" xfId="0" applyNumberFormat="1" applyBorder="1"/>
    <xf numFmtId="0" fontId="0" fillId="0" borderId="38" xfId="0" applyBorder="1"/>
    <xf numFmtId="166" fontId="0" fillId="0" borderId="22" xfId="0" applyNumberFormat="1" applyBorder="1"/>
    <xf numFmtId="172" fontId="0" fillId="0" borderId="0" xfId="0" applyNumberFormat="1" applyAlignment="1">
      <alignment wrapText="1"/>
    </xf>
    <xf numFmtId="166" fontId="0" fillId="0" borderId="39" xfId="0" applyNumberFormat="1" applyBorder="1"/>
    <xf numFmtId="169" fontId="0" fillId="0" borderId="39" xfId="0" applyNumberFormat="1" applyBorder="1"/>
    <xf numFmtId="166" fontId="0" fillId="0" borderId="37" xfId="0" applyNumberFormat="1" applyFill="1" applyBorder="1"/>
    <xf numFmtId="165" fontId="0" fillId="0" borderId="37" xfId="0" applyNumberFormat="1" applyBorder="1"/>
    <xf numFmtId="191" fontId="0" fillId="0" borderId="0" xfId="0" applyNumberFormat="1"/>
    <xf numFmtId="0" fontId="0" fillId="0" borderId="5" xfId="0" applyBorder="1"/>
    <xf numFmtId="0" fontId="0" fillId="0" borderId="6" xfId="0" applyFill="1" applyBorder="1" applyAlignment="1"/>
    <xf numFmtId="0" fontId="0" fillId="0" borderId="0" xfId="0" applyFill="1" applyBorder="1" applyAlignment="1"/>
    <xf numFmtId="0" fontId="2" fillId="0" borderId="41" xfId="0" applyFont="1" applyBorder="1" applyAlignment="1">
      <alignment horizontal="center"/>
    </xf>
    <xf numFmtId="0" fontId="0" fillId="0" borderId="0" xfId="0" applyBorder="1" applyAlignment="1">
      <alignment wrapText="1"/>
    </xf>
    <xf numFmtId="166" fontId="0" fillId="0" borderId="21" xfId="0" applyNumberFormat="1" applyBorder="1"/>
    <xf numFmtId="169" fontId="0" fillId="0" borderId="19" xfId="0" applyNumberFormat="1" applyBorder="1"/>
    <xf numFmtId="166" fontId="0" fillId="6" borderId="42" xfId="0" applyNumberFormat="1" applyFill="1" applyBorder="1"/>
    <xf numFmtId="166" fontId="0" fillId="0" borderId="0" xfId="0" applyNumberFormat="1" applyBorder="1" applyAlignment="1">
      <alignment wrapText="1"/>
    </xf>
    <xf numFmtId="0" fontId="0" fillId="0" borderId="4" xfId="0" applyBorder="1" applyAlignment="1"/>
    <xf numFmtId="0" fontId="0" fillId="5" borderId="40" xfId="0" applyFill="1" applyBorder="1" applyAlignment="1"/>
    <xf numFmtId="0" fontId="2" fillId="0" borderId="4" xfId="0" applyFont="1" applyBorder="1" applyAlignment="1">
      <alignment horizontal="center" wrapText="1"/>
    </xf>
    <xf numFmtId="166" fontId="0" fillId="6" borderId="44" xfId="0" applyNumberFormat="1" applyFill="1" applyBorder="1" applyAlignment="1">
      <alignment wrapText="1"/>
    </xf>
    <xf numFmtId="166" fontId="0" fillId="0" borderId="6" xfId="0" applyNumberFormat="1" applyBorder="1" applyAlignment="1">
      <alignment wrapText="1"/>
    </xf>
    <xf numFmtId="166" fontId="0" fillId="0" borderId="0" xfId="0" applyNumberFormat="1" applyFill="1" applyBorder="1" applyAlignment="1">
      <alignment wrapText="1"/>
    </xf>
    <xf numFmtId="0" fontId="2" fillId="0" borderId="24" xfId="0" applyFont="1" applyBorder="1"/>
    <xf numFmtId="166" fontId="2" fillId="0" borderId="25" xfId="0" applyNumberFormat="1" applyFont="1" applyFill="1" applyBorder="1" applyAlignment="1">
      <alignment horizontal="center" wrapText="1"/>
    </xf>
    <xf numFmtId="0" fontId="2" fillId="0" borderId="47" xfId="0" applyFont="1" applyBorder="1" applyAlignment="1">
      <alignment horizontal="center" wrapText="1"/>
    </xf>
    <xf numFmtId="0" fontId="2" fillId="0" borderId="31" xfId="0" applyFont="1" applyBorder="1" applyAlignment="1">
      <alignment horizontal="center"/>
    </xf>
    <xf numFmtId="0" fontId="22" fillId="0" borderId="3" xfId="0" applyFont="1" applyBorder="1"/>
    <xf numFmtId="0" fontId="22" fillId="0" borderId="21" xfId="0" applyFont="1" applyBorder="1" applyAlignment="1">
      <alignment wrapText="1"/>
    </xf>
    <xf numFmtId="166" fontId="0" fillId="0" borderId="48" xfId="0" applyNumberFormat="1" applyFill="1" applyBorder="1" applyAlignment="1">
      <alignment wrapText="1"/>
    </xf>
    <xf numFmtId="169" fontId="0" fillId="0" borderId="49" xfId="2" applyNumberFormat="1" applyFont="1" applyFill="1" applyBorder="1" applyAlignment="1">
      <alignment wrapText="1"/>
    </xf>
    <xf numFmtId="167" fontId="0" fillId="0" borderId="50" xfId="0" applyNumberFormat="1" applyFill="1" applyBorder="1" applyAlignment="1">
      <alignment wrapText="1"/>
    </xf>
    <xf numFmtId="166" fontId="0" fillId="0" borderId="11" xfId="0" applyNumberFormat="1" applyBorder="1" applyAlignment="1">
      <alignment wrapText="1"/>
    </xf>
    <xf numFmtId="169" fontId="0" fillId="0" borderId="51" xfId="2" applyNumberFormat="1" applyFont="1" applyFill="1" applyBorder="1" applyAlignment="1">
      <alignment wrapText="1"/>
    </xf>
    <xf numFmtId="167" fontId="0" fillId="0" borderId="52" xfId="0" applyNumberFormat="1" applyBorder="1" applyAlignment="1">
      <alignment wrapText="1"/>
    </xf>
    <xf numFmtId="0" fontId="22" fillId="0" borderId="3" xfId="0" applyFont="1" applyBorder="1" applyAlignment="1">
      <alignment wrapText="1"/>
    </xf>
    <xf numFmtId="169" fontId="0" fillId="0" borderId="51" xfId="0" applyNumberFormat="1" applyBorder="1" applyAlignment="1">
      <alignment wrapText="1"/>
    </xf>
    <xf numFmtId="0" fontId="0" fillId="0" borderId="0" xfId="0" applyAlignment="1"/>
    <xf numFmtId="166" fontId="0" fillId="0" borderId="53" xfId="1" applyNumberFormat="1" applyFont="1" applyBorder="1" applyAlignment="1">
      <alignment wrapText="1"/>
    </xf>
    <xf numFmtId="169" fontId="0" fillId="0" borderId="54" xfId="2" applyNumberFormat="1" applyFont="1" applyBorder="1" applyAlignment="1">
      <alignment wrapText="1"/>
    </xf>
    <xf numFmtId="167" fontId="0" fillId="0" borderId="55" xfId="0" applyNumberForma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56" xfId="0" applyBorder="1" applyAlignment="1">
      <alignment horizontal="left"/>
    </xf>
    <xf numFmtId="0" fontId="0" fillId="0" borderId="56" xfId="0" applyBorder="1"/>
    <xf numFmtId="166" fontId="0" fillId="0" borderId="57" xfId="0" applyNumberFormat="1" applyFill="1" applyBorder="1"/>
    <xf numFmtId="0" fontId="0" fillId="0" borderId="5" xfId="0" applyBorder="1" applyAlignment="1"/>
    <xf numFmtId="0" fontId="2" fillId="0" borderId="6" xfId="0" applyFont="1" applyBorder="1" applyAlignment="1">
      <alignment horizontal="center" wrapText="1"/>
    </xf>
    <xf numFmtId="0" fontId="22" fillId="0" borderId="12" xfId="0" applyFont="1" applyBorder="1"/>
    <xf numFmtId="0" fontId="22" fillId="0" borderId="7" xfId="0" applyFont="1" applyBorder="1" applyAlignment="1">
      <alignment wrapText="1"/>
    </xf>
    <xf numFmtId="166" fontId="0" fillId="0" borderId="48" xfId="1" applyNumberFormat="1" applyFont="1" applyBorder="1" applyAlignment="1">
      <alignment wrapText="1"/>
    </xf>
    <xf numFmtId="169" fontId="0" fillId="0" borderId="49" xfId="2" applyNumberFormat="1" applyFont="1" applyBorder="1" applyAlignment="1">
      <alignment wrapText="1"/>
    </xf>
    <xf numFmtId="167" fontId="0" fillId="0" borderId="50" xfId="0" applyNumberFormat="1" applyBorder="1" applyAlignment="1">
      <alignment wrapText="1"/>
    </xf>
    <xf numFmtId="166" fontId="0" fillId="0" borderId="53" xfId="0" applyNumberFormat="1" applyBorder="1" applyAlignment="1">
      <alignment wrapText="1"/>
    </xf>
    <xf numFmtId="169" fontId="0" fillId="0" borderId="54" xfId="2" applyNumberFormat="1" applyFont="1" applyFill="1" applyBorder="1" applyAlignment="1">
      <alignment wrapText="1"/>
    </xf>
    <xf numFmtId="172" fontId="0" fillId="0" borderId="0" xfId="1" applyNumberFormat="1" applyFont="1"/>
    <xf numFmtId="187" fontId="0" fillId="0" borderId="0" xfId="3" applyNumberFormat="1" applyFont="1"/>
    <xf numFmtId="186" fontId="0" fillId="0" borderId="0" xfId="0" applyNumberFormat="1"/>
    <xf numFmtId="182" fontId="0" fillId="0" borderId="0" xfId="1" applyNumberFormat="1" applyFont="1" applyBorder="1"/>
    <xf numFmtId="175" fontId="0" fillId="0" borderId="0" xfId="2" applyNumberFormat="1" applyFont="1" applyFill="1"/>
    <xf numFmtId="173" fontId="0" fillId="0" borderId="5" xfId="0" applyNumberFormat="1" applyFill="1" applyBorder="1"/>
    <xf numFmtId="166" fontId="0" fillId="0" borderId="0" xfId="3" applyNumberFormat="1" applyFont="1" applyFill="1"/>
    <xf numFmtId="173" fontId="0" fillId="0" borderId="0" xfId="0" applyNumberFormat="1" applyFill="1" applyBorder="1"/>
    <xf numFmtId="173" fontId="0" fillId="0" borderId="8" xfId="0" applyNumberFormat="1" applyFill="1" applyBorder="1"/>
    <xf numFmtId="0" fontId="10" fillId="0" borderId="0" xfId="0" applyFont="1" applyFill="1"/>
    <xf numFmtId="0" fontId="2" fillId="0" borderId="0" xfId="0" applyFont="1" applyFill="1"/>
    <xf numFmtId="167" fontId="0" fillId="0" borderId="1" xfId="0" applyNumberFormat="1" applyFill="1" applyBorder="1"/>
    <xf numFmtId="0" fontId="0" fillId="0" borderId="0" xfId="0" applyFont="1" applyFill="1"/>
    <xf numFmtId="0" fontId="0" fillId="0" borderId="0" xfId="0" applyFill="1" applyAlignment="1">
      <alignment horizontal="center"/>
    </xf>
    <xf numFmtId="165" fontId="0" fillId="0" borderId="0" xfId="0" applyNumberFormat="1" applyFill="1"/>
    <xf numFmtId="171" fontId="0" fillId="0" borderId="0" xfId="2" applyNumberFormat="1" applyFont="1" applyFill="1"/>
    <xf numFmtId="167" fontId="0" fillId="0" borderId="0" xfId="0" applyNumberFormat="1" applyFill="1" applyBorder="1"/>
    <xf numFmtId="16" fontId="13" fillId="0" borderId="0" xfId="0" quotePrefix="1" applyNumberFormat="1" applyFont="1" applyBorder="1"/>
    <xf numFmtId="38" fontId="13" fillId="0" borderId="0" xfId="0" applyNumberFormat="1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horizontal="right"/>
    </xf>
    <xf numFmtId="38" fontId="0" fillId="0" borderId="0" xfId="0" applyNumberFormat="1" applyBorder="1"/>
    <xf numFmtId="38" fontId="0" fillId="0" borderId="0" xfId="0" applyNumberFormat="1" applyFill="1" applyBorder="1"/>
    <xf numFmtId="181" fontId="0" fillId="0" borderId="0" xfId="0" applyNumberFormat="1" applyFill="1" applyBorder="1"/>
    <xf numFmtId="181" fontId="0" fillId="0" borderId="0" xfId="0" applyNumberFormat="1" applyBorder="1"/>
    <xf numFmtId="40" fontId="0" fillId="0" borderId="0" xfId="0" applyNumberFormat="1" applyBorder="1"/>
    <xf numFmtId="0" fontId="22" fillId="7" borderId="0" xfId="0" applyFont="1" applyFill="1"/>
    <xf numFmtId="0" fontId="22" fillId="7" borderId="0" xfId="0" applyFont="1" applyFill="1" applyAlignment="1">
      <alignment horizontal="center"/>
    </xf>
    <xf numFmtId="16" fontId="13" fillId="7" borderId="58" xfId="0" quotePrefix="1" applyNumberFormat="1" applyFont="1" applyFill="1" applyBorder="1"/>
    <xf numFmtId="38" fontId="13" fillId="7" borderId="58" xfId="0" applyNumberFormat="1" applyFont="1" applyFill="1" applyBorder="1" applyAlignment="1">
      <alignment horizontal="center"/>
    </xf>
    <xf numFmtId="0" fontId="13" fillId="7" borderId="58" xfId="0" applyFont="1" applyFill="1" applyBorder="1" applyAlignment="1">
      <alignment horizontal="center"/>
    </xf>
    <xf numFmtId="38" fontId="22" fillId="7" borderId="59" xfId="0" applyNumberFormat="1" applyFont="1" applyFill="1" applyBorder="1"/>
    <xf numFmtId="0" fontId="22" fillId="7" borderId="59" xfId="0" applyFont="1" applyFill="1" applyBorder="1"/>
    <xf numFmtId="181" fontId="22" fillId="7" borderId="59" xfId="0" applyNumberFormat="1" applyFont="1" applyFill="1" applyBorder="1"/>
    <xf numFmtId="40" fontId="22" fillId="7" borderId="12" xfId="0" applyNumberFormat="1" applyFont="1" applyFill="1" applyBorder="1"/>
    <xf numFmtId="166" fontId="22" fillId="0" borderId="59" xfId="0" applyNumberFormat="1" applyFont="1" applyFill="1" applyBorder="1"/>
    <xf numFmtId="166" fontId="22" fillId="0" borderId="12" xfId="1" applyNumberFormat="1" applyFont="1" applyFill="1" applyBorder="1"/>
    <xf numFmtId="166" fontId="22" fillId="0" borderId="12" xfId="0" applyNumberFormat="1" applyFont="1" applyFill="1" applyBorder="1"/>
    <xf numFmtId="181" fontId="22" fillId="0" borderId="59" xfId="0" applyNumberFormat="1" applyFont="1" applyFill="1" applyBorder="1"/>
    <xf numFmtId="0" fontId="0" fillId="3" borderId="0" xfId="0" applyFill="1"/>
    <xf numFmtId="38" fontId="0" fillId="2" borderId="0" xfId="1" applyNumberFormat="1" applyFont="1" applyFill="1"/>
    <xf numFmtId="4" fontId="0" fillId="2" borderId="0" xfId="1" applyNumberFormat="1" applyFont="1" applyFill="1"/>
    <xf numFmtId="38" fontId="0" fillId="0" borderId="0" xfId="1" applyNumberFormat="1" applyFont="1" applyFill="1"/>
    <xf numFmtId="40" fontId="0" fillId="0" borderId="0" xfId="1" applyNumberFormat="1" applyFont="1" applyFill="1"/>
    <xf numFmtId="188" fontId="0" fillId="0" borderId="0" xfId="2" applyNumberFormat="1" applyFont="1" applyFill="1"/>
    <xf numFmtId="40" fontId="0" fillId="0" borderId="0" xfId="0" applyNumberFormat="1"/>
    <xf numFmtId="182" fontId="0" fillId="0" borderId="0" xfId="0" applyNumberFormat="1"/>
    <xf numFmtId="0" fontId="25" fillId="0" borderId="0" xfId="5"/>
    <xf numFmtId="166" fontId="24" fillId="0" borderId="0" xfId="1" applyNumberFormat="1" applyFont="1" applyFill="1" applyBorder="1"/>
    <xf numFmtId="0" fontId="0" fillId="2" borderId="0" xfId="0" applyFill="1"/>
    <xf numFmtId="0" fontId="0" fillId="8" borderId="0" xfId="0" applyFill="1"/>
    <xf numFmtId="166" fontId="2" fillId="0" borderId="0" xfId="1" applyNumberFormat="1" applyFont="1" applyFill="1"/>
    <xf numFmtId="166" fontId="0" fillId="0" borderId="0" xfId="1" applyNumberFormat="1" applyFont="1" applyBorder="1" applyAlignment="1">
      <alignment horizontal="center"/>
    </xf>
    <xf numFmtId="166" fontId="0" fillId="0" borderId="0" xfId="1" applyNumberFormat="1" applyFont="1" applyFill="1" applyBorder="1" applyAlignment="1">
      <alignment horizontal="center"/>
    </xf>
    <xf numFmtId="170" fontId="0" fillId="0" borderId="0" xfId="1" applyNumberFormat="1" applyFont="1" applyFill="1"/>
    <xf numFmtId="186" fontId="0" fillId="2" borderId="0" xfId="0" applyNumberFormat="1" applyFill="1"/>
    <xf numFmtId="0" fontId="11" fillId="0" borderId="0" xfId="0" applyFont="1" applyAlignment="1">
      <alignment horizontal="center"/>
    </xf>
    <xf numFmtId="0" fontId="11" fillId="0" borderId="0" xfId="0" applyFont="1" applyFill="1" applyBorder="1" applyAlignment="1">
      <alignment horizontal="center"/>
    </xf>
    <xf numFmtId="184" fontId="0" fillId="0" borderId="0" xfId="0" applyNumberFormat="1" applyAlignment="1">
      <alignment horizontal="center"/>
    </xf>
    <xf numFmtId="166" fontId="0" fillId="0" borderId="5" xfId="1" applyNumberFormat="1" applyFont="1" applyBorder="1"/>
    <xf numFmtId="166" fontId="0" fillId="9" borderId="4" xfId="1" applyNumberFormat="1" applyFont="1" applyFill="1" applyBorder="1"/>
    <xf numFmtId="165" fontId="0" fillId="9" borderId="5" xfId="1" applyFont="1" applyFill="1" applyBorder="1"/>
    <xf numFmtId="165" fontId="0" fillId="9" borderId="5" xfId="1" applyFont="1" applyFill="1" applyBorder="1" applyAlignment="1">
      <alignment horizontal="center"/>
    </xf>
    <xf numFmtId="165" fontId="0" fillId="9" borderId="40" xfId="1" applyFont="1" applyFill="1" applyBorder="1" applyAlignment="1">
      <alignment horizontal="center"/>
    </xf>
    <xf numFmtId="184" fontId="0" fillId="9" borderId="6" xfId="0" applyNumberFormat="1" applyFill="1" applyBorder="1"/>
    <xf numFmtId="165" fontId="0" fillId="9" borderId="0" xfId="1" applyFont="1" applyFill="1" applyBorder="1"/>
    <xf numFmtId="165" fontId="0" fillId="9" borderId="43" xfId="1" applyFont="1" applyFill="1" applyBorder="1"/>
    <xf numFmtId="184" fontId="0" fillId="9" borderId="0" xfId="0" applyNumberFormat="1" applyFill="1" applyBorder="1"/>
    <xf numFmtId="184" fontId="0" fillId="9" borderId="7" xfId="0" applyNumberFormat="1" applyFill="1" applyBorder="1"/>
    <xf numFmtId="184" fontId="0" fillId="9" borderId="8" xfId="0" applyNumberFormat="1" applyFill="1" applyBorder="1"/>
    <xf numFmtId="165" fontId="0" fillId="9" borderId="8" xfId="1" applyFont="1" applyFill="1" applyBorder="1"/>
    <xf numFmtId="165" fontId="0" fillId="9" borderId="56" xfId="1" applyFont="1" applyFill="1" applyBorder="1"/>
    <xf numFmtId="0" fontId="5" fillId="10" borderId="0" xfId="4" applyNumberFormat="1" applyFont="1" applyFill="1" applyAlignment="1"/>
    <xf numFmtId="0" fontId="16" fillId="3" borderId="58" xfId="4" applyNumberFormat="1" applyFont="1" applyFill="1" applyBorder="1" applyAlignment="1"/>
    <xf numFmtId="0" fontId="16" fillId="3" borderId="12" xfId="4" applyNumberFormat="1" applyFont="1" applyFill="1" applyBorder="1" applyAlignment="1"/>
    <xf numFmtId="0" fontId="16" fillId="3" borderId="3" xfId="4" applyNumberFormat="1" applyFont="1" applyFill="1" applyBorder="1" applyAlignment="1"/>
    <xf numFmtId="0" fontId="0" fillId="0" borderId="0" xfId="0" applyAlignment="1">
      <alignment horizontal="center"/>
    </xf>
    <xf numFmtId="0" fontId="0" fillId="11" borderId="0" xfId="0" applyFill="1"/>
    <xf numFmtId="0" fontId="0" fillId="12" borderId="0" xfId="0" applyFill="1"/>
    <xf numFmtId="166" fontId="0" fillId="12" borderId="0" xfId="0" applyNumberFormat="1" applyFill="1"/>
    <xf numFmtId="166" fontId="0" fillId="12" borderId="1" xfId="0" applyNumberFormat="1" applyFill="1" applyBorder="1"/>
    <xf numFmtId="166" fontId="5" fillId="0" borderId="0" xfId="4" applyNumberFormat="1" applyFont="1" applyAlignment="1"/>
    <xf numFmtId="166" fontId="5" fillId="0" borderId="1" xfId="4" applyNumberFormat="1" applyFont="1" applyBorder="1" applyAlignment="1"/>
    <xf numFmtId="166" fontId="5" fillId="0" borderId="0" xfId="4" applyNumberFormat="1" applyFont="1" applyAlignment="1">
      <alignment wrapText="1"/>
    </xf>
    <xf numFmtId="0" fontId="5" fillId="0" borderId="8" xfId="4" applyNumberFormat="1" applyFont="1" applyBorder="1" applyAlignment="1">
      <alignment horizontal="center" wrapText="1"/>
    </xf>
    <xf numFmtId="166" fontId="5" fillId="0" borderId="0" xfId="4" applyNumberFormat="1" applyFont="1" applyBorder="1" applyAlignment="1"/>
    <xf numFmtId="166" fontId="0" fillId="0" borderId="1" xfId="0" applyNumberFormat="1" applyFill="1" applyBorder="1"/>
    <xf numFmtId="0" fontId="0" fillId="0" borderId="8" xfId="0" applyBorder="1" applyAlignment="1">
      <alignment horizontal="center" wrapText="1"/>
    </xf>
    <xf numFmtId="0" fontId="30" fillId="0" borderId="0" xfId="4" applyNumberFormat="1" applyFont="1" applyAlignment="1"/>
    <xf numFmtId="166" fontId="0" fillId="0" borderId="0" xfId="0" applyNumberFormat="1" applyAlignment="1">
      <alignment horizontal="left"/>
    </xf>
    <xf numFmtId="167" fontId="10" fillId="0" borderId="0" xfId="0" applyNumberFormat="1" applyFont="1" applyFill="1"/>
    <xf numFmtId="0" fontId="5" fillId="0" borderId="8" xfId="4" applyNumberFormat="1" applyFont="1" applyBorder="1" applyAlignment="1"/>
    <xf numFmtId="0" fontId="17" fillId="0" borderId="0" xfId="4" applyNumberFormat="1" applyFont="1" applyBorder="1" applyAlignment="1"/>
    <xf numFmtId="0" fontId="14" fillId="0" borderId="0" xfId="4" applyNumberFormat="1" applyFont="1" applyBorder="1" applyAlignment="1"/>
    <xf numFmtId="0" fontId="15" fillId="0" borderId="0" xfId="4" applyNumberFormat="1" applyFont="1" applyBorder="1" applyAlignment="1"/>
    <xf numFmtId="3" fontId="17" fillId="0" borderId="0" xfId="4" applyNumberFormat="1" applyFont="1" applyBorder="1" applyAlignment="1"/>
    <xf numFmtId="166" fontId="11" fillId="0" borderId="0" xfId="0" applyNumberFormat="1" applyFont="1" applyFill="1" applyBorder="1" applyAlignment="1">
      <alignment horizontal="center"/>
    </xf>
    <xf numFmtId="188" fontId="0" fillId="0" borderId="0" xfId="2" applyNumberFormat="1" applyFont="1" applyFill="1" applyBorder="1"/>
    <xf numFmtId="166" fontId="0" fillId="0" borderId="0" xfId="1" applyNumberFormat="1" applyFont="1" applyAlignment="1"/>
    <xf numFmtId="166" fontId="0" fillId="0" borderId="0" xfId="1" applyNumberFormat="1" applyFont="1" applyAlignment="1">
      <alignment horizontal="center"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left"/>
    </xf>
    <xf numFmtId="3" fontId="0" fillId="0" borderId="0" xfId="1" applyNumberFormat="1" applyFont="1" applyFill="1" applyBorder="1"/>
    <xf numFmtId="165" fontId="0" fillId="0" borderId="0" xfId="1" applyFont="1" applyFill="1" applyBorder="1"/>
    <xf numFmtId="166" fontId="2" fillId="0" borderId="0" xfId="0" applyNumberFormat="1" applyFont="1" applyFill="1" applyBorder="1" applyAlignment="1">
      <alignment horizontal="center"/>
    </xf>
    <xf numFmtId="166" fontId="2" fillId="0" borderId="0" xfId="1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6" fontId="0" fillId="0" borderId="0" xfId="3" applyNumberFormat="1" applyFont="1" applyFill="1" applyBorder="1"/>
    <xf numFmtId="0" fontId="29" fillId="0" borderId="0" xfId="0" applyFont="1" applyFill="1" applyBorder="1" applyAlignment="1">
      <alignment horizontal="center" wrapText="1"/>
    </xf>
    <xf numFmtId="0" fontId="25" fillId="0" borderId="0" xfId="5" applyFill="1"/>
    <xf numFmtId="0" fontId="25" fillId="0" borderId="0" xfId="5" applyFill="1" applyBorder="1"/>
    <xf numFmtId="38" fontId="0" fillId="0" borderId="0" xfId="1" applyNumberFormat="1" applyFont="1" applyFill="1" applyBorder="1"/>
    <xf numFmtId="40" fontId="0" fillId="0" borderId="0" xfId="1" applyNumberFormat="1" applyFont="1" applyFill="1" applyBorder="1"/>
    <xf numFmtId="0" fontId="31" fillId="0" borderId="0" xfId="0" applyFont="1"/>
    <xf numFmtId="164" fontId="0" fillId="0" borderId="0" xfId="1" applyNumberFormat="1" applyFont="1" applyFill="1"/>
    <xf numFmtId="4" fontId="0" fillId="0" borderId="0" xfId="1" applyNumberFormat="1" applyFont="1" applyFill="1"/>
    <xf numFmtId="183" fontId="0" fillId="0" borderId="0" xfId="2" applyNumberFormat="1" applyFont="1" applyFill="1"/>
    <xf numFmtId="183" fontId="0" fillId="0" borderId="0" xfId="0" applyNumberFormat="1" applyFill="1"/>
    <xf numFmtId="169" fontId="0" fillId="0" borderId="0" xfId="2" applyNumberFormat="1" applyFont="1" applyFill="1"/>
    <xf numFmtId="0" fontId="2" fillId="0" borderId="0" xfId="0" applyFont="1" applyFill="1" applyAlignment="1">
      <alignment horizontal="center"/>
    </xf>
    <xf numFmtId="179" fontId="0" fillId="0" borderId="0" xfId="2" applyNumberFormat="1" applyFont="1" applyFill="1"/>
    <xf numFmtId="9" fontId="0" fillId="0" borderId="0" xfId="3" applyFont="1" applyFill="1" applyBorder="1"/>
    <xf numFmtId="175" fontId="0" fillId="0" borderId="0" xfId="0" applyNumberFormat="1" applyFont="1" applyFill="1"/>
    <xf numFmtId="43" fontId="28" fillId="0" borderId="0" xfId="0" applyNumberFormat="1" applyFont="1" applyFill="1" applyAlignment="1">
      <alignment horizontal="center"/>
    </xf>
    <xf numFmtId="0" fontId="28" fillId="0" borderId="0" xfId="0" applyFont="1" applyFill="1" applyAlignment="1">
      <alignment horizontal="center"/>
    </xf>
    <xf numFmtId="179" fontId="0" fillId="0" borderId="0" xfId="1" applyNumberFormat="1" applyFont="1" applyFill="1"/>
    <xf numFmtId="179" fontId="0" fillId="0" borderId="0" xfId="0" applyNumberFormat="1" applyFill="1"/>
    <xf numFmtId="186" fontId="0" fillId="0" borderId="0" xfId="1" applyNumberFormat="1" applyFont="1" applyFill="1"/>
    <xf numFmtId="169" fontId="0" fillId="0" borderId="60" xfId="2" applyNumberFormat="1" applyFont="1" applyBorder="1"/>
    <xf numFmtId="0" fontId="0" fillId="0" borderId="8" xfId="0" applyBorder="1"/>
    <xf numFmtId="17" fontId="0" fillId="0" borderId="0" xfId="0" applyNumberFormat="1" applyFill="1" applyBorder="1"/>
    <xf numFmtId="0" fontId="0" fillId="0" borderId="0" xfId="0" applyFill="1" applyBorder="1" applyAlignment="1">
      <alignment horizontal="right"/>
    </xf>
    <xf numFmtId="184" fontId="0" fillId="0" borderId="0" xfId="0" applyNumberFormat="1" applyFill="1" applyBorder="1"/>
    <xf numFmtId="0" fontId="11" fillId="0" borderId="0" xfId="0" applyFont="1" applyFill="1" applyBorder="1"/>
    <xf numFmtId="17" fontId="0" fillId="0" borderId="0" xfId="0" applyNumberFormat="1" applyFill="1" applyBorder="1" applyAlignment="1">
      <alignment horizontal="center"/>
    </xf>
    <xf numFmtId="4" fontId="0" fillId="0" borderId="0" xfId="1" applyNumberFormat="1" applyFont="1" applyFill="1" applyBorder="1"/>
    <xf numFmtId="165" fontId="0" fillId="0" borderId="0" xfId="0" applyNumberFormat="1" applyFill="1" applyBorder="1"/>
    <xf numFmtId="184" fontId="0" fillId="0" borderId="0" xfId="0" applyNumberFormat="1" applyFill="1" applyBorder="1" applyAlignment="1">
      <alignment horizontal="center"/>
    </xf>
    <xf numFmtId="165" fontId="0" fillId="0" borderId="0" xfId="1" applyFont="1" applyFill="1" applyBorder="1" applyAlignment="1">
      <alignment horizontal="center"/>
    </xf>
    <xf numFmtId="166" fontId="0" fillId="0" borderId="2" xfId="0" applyNumberFormat="1" applyFill="1" applyBorder="1"/>
    <xf numFmtId="166" fontId="0" fillId="0" borderId="9" xfId="1" applyNumberFormat="1" applyFont="1" applyFill="1" applyBorder="1"/>
    <xf numFmtId="0" fontId="0" fillId="0" borderId="0" xfId="0" applyAlignment="1">
      <alignment horizontal="left" vertical="top" wrapText="1"/>
    </xf>
    <xf numFmtId="0" fontId="23" fillId="7" borderId="0" xfId="0" applyFont="1" applyFill="1" applyAlignment="1">
      <alignment horizontal="center" wrapText="1"/>
    </xf>
    <xf numFmtId="0" fontId="0" fillId="7" borderId="0" xfId="0" applyFill="1" applyAlignment="1">
      <alignment horizontal="center" wrapText="1"/>
    </xf>
    <xf numFmtId="0" fontId="21" fillId="3" borderId="25" xfId="0" applyFont="1" applyFill="1" applyBorder="1" applyAlignment="1">
      <alignment horizontal="center"/>
    </xf>
    <xf numFmtId="0" fontId="21" fillId="3" borderId="14" xfId="0" applyFont="1" applyFill="1" applyBorder="1" applyAlignment="1">
      <alignment horizontal="center"/>
    </xf>
    <xf numFmtId="0" fontId="21" fillId="3" borderId="15" xfId="0" applyFont="1" applyFill="1" applyBorder="1" applyAlignment="1">
      <alignment horizontal="center"/>
    </xf>
    <xf numFmtId="164" fontId="0" fillId="0" borderId="8" xfId="0" applyNumberFormat="1" applyBorder="1" applyAlignment="1">
      <alignment horizontal="left"/>
    </xf>
    <xf numFmtId="164" fontId="0" fillId="0" borderId="56" xfId="0" applyNumberFormat="1" applyBorder="1" applyAlignment="1">
      <alignment horizontal="left"/>
    </xf>
    <xf numFmtId="164" fontId="0" fillId="0" borderId="1" xfId="0" applyNumberFormat="1" applyBorder="1" applyAlignment="1">
      <alignment horizontal="left"/>
    </xf>
    <xf numFmtId="164" fontId="0" fillId="0" borderId="22" xfId="0" applyNumberFormat="1" applyBorder="1" applyAlignment="1">
      <alignment horizontal="left"/>
    </xf>
    <xf numFmtId="0" fontId="0" fillId="0" borderId="2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2" xfId="0" applyBorder="1" applyAlignment="1">
      <alignment horizontal="center"/>
    </xf>
    <xf numFmtId="0" fontId="21" fillId="5" borderId="13" xfId="0" applyFont="1" applyFill="1" applyBorder="1" applyAlignment="1">
      <alignment horizontal="center"/>
    </xf>
    <xf numFmtId="0" fontId="21" fillId="5" borderId="14" xfId="0" applyFont="1" applyFill="1" applyBorder="1" applyAlignment="1">
      <alignment horizontal="center"/>
    </xf>
    <xf numFmtId="0" fontId="21" fillId="5" borderId="15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167" fontId="0" fillId="0" borderId="6" xfId="0" applyNumberFormat="1" applyBorder="1" applyAlignment="1">
      <alignment horizontal="center" wrapText="1"/>
    </xf>
    <xf numFmtId="167" fontId="0" fillId="0" borderId="0" xfId="0" applyNumberFormat="1" applyBorder="1" applyAlignment="1">
      <alignment horizontal="center" wrapText="1"/>
    </xf>
    <xf numFmtId="167" fontId="0" fillId="0" borderId="43" xfId="0" applyNumberForma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21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2" xfId="0" applyBorder="1" applyAlignment="1">
      <alignment horizontal="left"/>
    </xf>
    <xf numFmtId="0" fontId="2" fillId="5" borderId="19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5" borderId="20" xfId="0" applyFont="1" applyFill="1" applyBorder="1" applyAlignment="1">
      <alignment horizontal="center"/>
    </xf>
    <xf numFmtId="0" fontId="21" fillId="5" borderId="4" xfId="0" applyFont="1" applyFill="1" applyBorder="1" applyAlignment="1">
      <alignment horizontal="center"/>
    </xf>
    <xf numFmtId="0" fontId="21" fillId="5" borderId="40" xfId="0" applyFont="1" applyFill="1" applyBorder="1" applyAlignment="1">
      <alignment horizontal="center"/>
    </xf>
    <xf numFmtId="164" fontId="0" fillId="0" borderId="4" xfId="0" applyNumberFormat="1" applyBorder="1" applyAlignment="1">
      <alignment horizontal="center" wrapText="1"/>
    </xf>
    <xf numFmtId="164" fontId="0" fillId="0" borderId="5" xfId="0" applyNumberFormat="1" applyBorder="1" applyAlignment="1">
      <alignment horizontal="center" wrapText="1"/>
    </xf>
    <xf numFmtId="164" fontId="0" fillId="0" borderId="40" xfId="0" applyNumberFormat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25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31" xfId="0" applyFont="1" applyBorder="1" applyAlignment="1">
      <alignment horizontal="center" wrapText="1"/>
    </xf>
    <xf numFmtId="0" fontId="19" fillId="0" borderId="0" xfId="0" applyFont="1" applyAlignment="1">
      <alignment horizontal="center"/>
    </xf>
    <xf numFmtId="0" fontId="21" fillId="5" borderId="21" xfId="0" applyFont="1" applyFill="1" applyBorder="1" applyAlignment="1">
      <alignment horizontal="center" wrapText="1"/>
    </xf>
    <xf numFmtId="0" fontId="21" fillId="5" borderId="22" xfId="0" applyFont="1" applyFill="1" applyBorder="1" applyAlignment="1">
      <alignment horizontal="center" wrapText="1"/>
    </xf>
    <xf numFmtId="0" fontId="21" fillId="5" borderId="21" xfId="0" applyFont="1" applyFill="1" applyBorder="1" applyAlignment="1">
      <alignment horizontal="center"/>
    </xf>
    <xf numFmtId="0" fontId="21" fillId="5" borderId="22" xfId="0" applyFont="1" applyFill="1" applyBorder="1" applyAlignment="1">
      <alignment horizontal="center"/>
    </xf>
    <xf numFmtId="0" fontId="21" fillId="5" borderId="25" xfId="0" applyFont="1" applyFill="1" applyBorder="1" applyAlignment="1">
      <alignment horizontal="center"/>
    </xf>
  </cellXfs>
  <cellStyles count="6">
    <cellStyle name="Comma" xfId="1" builtinId="3"/>
    <cellStyle name="Currency" xfId="2" builtinId="4"/>
    <cellStyle name="Hyperlink" xfId="5" builtinId="8"/>
    <cellStyle name="Normal" xfId="0" builtinId="0"/>
    <cellStyle name="Normal 21" xfId="4" xr:uid="{00000000-0005-0000-0000-000004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</xdr:colOff>
      <xdr:row>72</xdr:row>
      <xdr:rowOff>0</xdr:rowOff>
    </xdr:from>
    <xdr:to>
      <xdr:col>18</xdr:col>
      <xdr:colOff>342900</xdr:colOff>
      <xdr:row>87</xdr:row>
      <xdr:rowOff>189069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87201" y="13373100"/>
          <a:ext cx="5153024" cy="3103719"/>
        </a:xfrm>
        <a:prstGeom prst="rect">
          <a:avLst/>
        </a:prstGeom>
      </xdr:spPr>
    </xdr:pic>
    <xdr:clientData/>
  </xdr:twoCellAnchor>
  <xdr:twoCellAnchor>
    <xdr:from>
      <xdr:col>4</xdr:col>
      <xdr:colOff>895350</xdr:colOff>
      <xdr:row>14</xdr:row>
      <xdr:rowOff>0</xdr:rowOff>
    </xdr:from>
    <xdr:to>
      <xdr:col>12</xdr:col>
      <xdr:colOff>533400</xdr:colOff>
      <xdr:row>30</xdr:row>
      <xdr:rowOff>190500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5524500" y="2876550"/>
          <a:ext cx="5895975" cy="33623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8"/>
  <sheetViews>
    <sheetView showGridLines="0" topLeftCell="A64" zoomScaleNormal="100" workbookViewId="0">
      <selection activeCell="E79" sqref="E79"/>
    </sheetView>
  </sheetViews>
  <sheetFormatPr defaultRowHeight="15" x14ac:dyDescent="0.25"/>
  <cols>
    <col min="1" max="1" width="8.42578125" customWidth="1"/>
    <col min="2" max="2" width="69.28515625" customWidth="1"/>
    <col min="3" max="3" width="17.42578125" bestFit="1" customWidth="1"/>
    <col min="4" max="4" width="15" bestFit="1" customWidth="1"/>
    <col min="5" max="5" width="14.85546875" customWidth="1"/>
    <col min="6" max="6" width="6.140625" customWidth="1"/>
    <col min="7" max="7" width="13.7109375" customWidth="1"/>
    <col min="8" max="8" width="13.28515625" customWidth="1"/>
    <col min="9" max="9" width="14.85546875" customWidth="1"/>
    <col min="10" max="10" width="14.28515625" bestFit="1" customWidth="1"/>
    <col min="11" max="12" width="15.28515625" bestFit="1" customWidth="1"/>
    <col min="13" max="13" width="15.85546875" bestFit="1" customWidth="1"/>
    <col min="14" max="17" width="14.85546875" customWidth="1"/>
    <col min="18" max="18" width="13.140625" customWidth="1"/>
    <col min="19" max="19" width="13.42578125" customWidth="1"/>
    <col min="20" max="20" width="12.42578125" customWidth="1"/>
    <col min="21" max="21" width="13.28515625" customWidth="1"/>
    <col min="22" max="22" width="12.7109375" customWidth="1"/>
    <col min="23" max="23" width="9.140625" customWidth="1"/>
    <col min="31" max="31" width="35.42578125" bestFit="1" customWidth="1"/>
  </cols>
  <sheetData>
    <row r="1" spans="1:18" ht="18.75" x14ac:dyDescent="0.3">
      <c r="B1" s="1" t="s">
        <v>278</v>
      </c>
      <c r="G1" s="1" t="s">
        <v>168</v>
      </c>
      <c r="K1" s="318"/>
      <c r="L1" s="318"/>
      <c r="M1" s="318"/>
      <c r="N1" s="319"/>
      <c r="O1" s="319"/>
    </row>
    <row r="2" spans="1:18" ht="15.75" x14ac:dyDescent="0.25">
      <c r="J2" t="s">
        <v>168</v>
      </c>
      <c r="K2" s="5"/>
      <c r="L2" s="80"/>
      <c r="M2" s="314"/>
      <c r="N2" s="314"/>
      <c r="O2" s="314"/>
      <c r="P2" s="314"/>
      <c r="R2" s="313"/>
    </row>
    <row r="3" spans="1:18" x14ac:dyDescent="0.25">
      <c r="B3" s="2" t="s">
        <v>0</v>
      </c>
      <c r="G3" s="3"/>
      <c r="H3" s="3"/>
      <c r="I3" s="3"/>
      <c r="J3" s="3" t="s">
        <v>168</v>
      </c>
      <c r="K3" s="80"/>
      <c r="L3" s="80"/>
      <c r="M3" s="80"/>
      <c r="N3" s="80"/>
      <c r="O3" s="80"/>
      <c r="P3" s="80"/>
    </row>
    <row r="4" spans="1:18" ht="30" x14ac:dyDescent="0.25">
      <c r="B4" s="2"/>
      <c r="C4" s="104" t="s">
        <v>1</v>
      </c>
      <c r="D4" s="103" t="s">
        <v>2</v>
      </c>
      <c r="E4" s="103" t="s">
        <v>3</v>
      </c>
      <c r="G4" s="3"/>
      <c r="H4" s="3"/>
      <c r="I4" s="3"/>
      <c r="J4" s="152"/>
      <c r="K4" s="319"/>
      <c r="L4" s="319"/>
      <c r="M4" s="319"/>
      <c r="N4" s="319"/>
      <c r="O4" s="319"/>
      <c r="P4" s="139"/>
    </row>
    <row r="5" spans="1:18" x14ac:dyDescent="0.25">
      <c r="A5" s="21"/>
      <c r="B5" s="278" t="s">
        <v>4</v>
      </c>
      <c r="D5" s="5">
        <f>E5</f>
        <v>892928579</v>
      </c>
      <c r="E5" s="47">
        <v>892928579</v>
      </c>
      <c r="F5" s="21"/>
      <c r="G5" s="278"/>
      <c r="H5" s="79"/>
      <c r="I5" s="79"/>
      <c r="J5" s="3"/>
      <c r="K5" s="80"/>
      <c r="L5" s="80"/>
      <c r="M5" s="80"/>
      <c r="N5" s="80"/>
      <c r="O5" s="80"/>
      <c r="P5" s="80"/>
      <c r="Q5" s="57"/>
    </row>
    <row r="6" spans="1:18" x14ac:dyDescent="0.25">
      <c r="A6" s="21"/>
      <c r="B6" s="278" t="s">
        <v>5</v>
      </c>
      <c r="D6" s="5">
        <f>E6</f>
        <v>6910109.29</v>
      </c>
      <c r="E6" s="47">
        <v>6910109.29</v>
      </c>
      <c r="F6" s="21"/>
      <c r="G6" s="278"/>
      <c r="H6" s="79"/>
      <c r="I6" s="79"/>
      <c r="J6" s="3"/>
      <c r="K6" s="80" t="s">
        <v>168</v>
      </c>
      <c r="L6" s="80"/>
      <c r="M6" s="80"/>
      <c r="N6" s="80"/>
      <c r="O6" s="80"/>
      <c r="P6" s="368"/>
      <c r="Q6" s="57"/>
    </row>
    <row r="7" spans="1:18" x14ac:dyDescent="0.25">
      <c r="A7" s="21"/>
      <c r="B7" s="278" t="s">
        <v>6</v>
      </c>
      <c r="D7" s="5">
        <v>-154769348</v>
      </c>
      <c r="E7" s="21"/>
      <c r="F7" s="21"/>
      <c r="G7" s="278"/>
      <c r="H7" s="79"/>
      <c r="I7" s="79"/>
      <c r="J7" s="3"/>
      <c r="K7" s="80"/>
      <c r="L7" s="80"/>
      <c r="M7" s="80"/>
      <c r="N7" s="80"/>
      <c r="O7" s="80"/>
      <c r="P7" s="369"/>
      <c r="Q7" s="57"/>
      <c r="R7" s="313"/>
    </row>
    <row r="8" spans="1:18" x14ac:dyDescent="0.25">
      <c r="B8" s="4"/>
      <c r="D8" s="10">
        <f>SUM(D5:D7)</f>
        <v>745069340.28999996</v>
      </c>
      <c r="E8" s="10">
        <f>SUM(E5:E7)</f>
        <v>899838688.28999996</v>
      </c>
      <c r="F8" s="21"/>
      <c r="G8" s="4"/>
      <c r="H8" s="3"/>
      <c r="I8" s="151"/>
      <c r="J8" s="151"/>
      <c r="K8" s="370"/>
      <c r="L8" s="370"/>
      <c r="M8" s="370"/>
      <c r="N8" s="370"/>
      <c r="O8" s="370"/>
      <c r="P8" s="370"/>
      <c r="Q8" s="159"/>
    </row>
    <row r="9" spans="1:18" x14ac:dyDescent="0.25">
      <c r="B9" s="4"/>
      <c r="D9" s="6"/>
      <c r="F9" s="21"/>
      <c r="G9" s="4"/>
      <c r="H9" s="11"/>
      <c r="I9" s="12"/>
      <c r="J9" s="11"/>
      <c r="K9" s="100"/>
      <c r="L9" s="371"/>
      <c r="M9" s="372"/>
      <c r="N9" s="100"/>
      <c r="O9" s="100"/>
      <c r="P9" s="100"/>
      <c r="Q9" s="13"/>
    </row>
    <row r="10" spans="1:18" x14ac:dyDescent="0.25">
      <c r="B10" t="s">
        <v>7</v>
      </c>
      <c r="C10" s="15">
        <f>D10/D12</f>
        <v>0.69941861250122039</v>
      </c>
      <c r="D10" s="5">
        <v>521115364</v>
      </c>
      <c r="E10" s="7">
        <f>+D10</f>
        <v>521115364</v>
      </c>
      <c r="F10" s="21"/>
      <c r="G10" s="16"/>
      <c r="H10" s="17"/>
      <c r="I10" s="18"/>
      <c r="J10" s="19"/>
      <c r="K10" s="373"/>
      <c r="L10" s="373"/>
      <c r="M10" s="373"/>
      <c r="N10" s="373"/>
      <c r="O10" s="373"/>
      <c r="P10" s="373"/>
      <c r="Q10" s="57"/>
    </row>
    <row r="11" spans="1:18" x14ac:dyDescent="0.25">
      <c r="B11" t="s">
        <v>8</v>
      </c>
      <c r="C11" s="15">
        <f>D11/D12</f>
        <v>0.30058138749877966</v>
      </c>
      <c r="D11" s="5">
        <v>223953976</v>
      </c>
      <c r="E11" s="7">
        <f>+D11-D7</f>
        <v>378723324</v>
      </c>
      <c r="F11" s="21"/>
      <c r="G11" s="16"/>
      <c r="H11" s="17"/>
      <c r="I11" s="18"/>
      <c r="J11" s="19"/>
      <c r="K11" s="64"/>
      <c r="L11" s="196"/>
      <c r="M11" s="64"/>
      <c r="N11" s="56"/>
      <c r="O11" s="56"/>
      <c r="P11" s="79"/>
    </row>
    <row r="12" spans="1:18" ht="15.75" thickBot="1" x14ac:dyDescent="0.3">
      <c r="B12" t="s">
        <v>9</v>
      </c>
      <c r="C12" s="22">
        <f>+C10+C11</f>
        <v>1</v>
      </c>
      <c r="D12" s="23">
        <f>+D10+D11</f>
        <v>745069340</v>
      </c>
      <c r="E12" s="23">
        <f>+E10+E11</f>
        <v>899838688</v>
      </c>
      <c r="F12" s="21"/>
      <c r="G12" s="3"/>
      <c r="H12" s="11"/>
      <c r="I12" s="18"/>
      <c r="J12" s="19"/>
      <c r="K12" s="64"/>
      <c r="L12" s="196"/>
      <c r="M12" s="64"/>
      <c r="N12" s="56"/>
      <c r="O12" s="56"/>
      <c r="P12" s="79"/>
    </row>
    <row r="13" spans="1:18" ht="15.75" thickTop="1" x14ac:dyDescent="0.25">
      <c r="F13" s="21"/>
      <c r="G13" s="3"/>
      <c r="H13" s="3"/>
      <c r="I13" s="3"/>
      <c r="J13" s="3"/>
      <c r="K13" s="79"/>
      <c r="L13" s="79"/>
      <c r="M13" s="79"/>
      <c r="N13" s="79"/>
      <c r="O13" s="79"/>
      <c r="P13" s="79"/>
    </row>
    <row r="14" spans="1:18" x14ac:dyDescent="0.25">
      <c r="B14" s="24" t="s">
        <v>10</v>
      </c>
      <c r="F14" s="21"/>
      <c r="G14" s="3"/>
      <c r="H14" s="17"/>
      <c r="I14" s="18"/>
      <c r="J14" s="19"/>
      <c r="K14" s="64"/>
      <c r="L14" s="196"/>
      <c r="M14" s="64"/>
      <c r="N14" s="56"/>
      <c r="O14" s="56"/>
      <c r="P14" s="79"/>
    </row>
    <row r="15" spans="1:18" x14ac:dyDescent="0.25">
      <c r="B15" s="24"/>
      <c r="C15" s="103" t="s">
        <v>12</v>
      </c>
      <c r="D15" s="103" t="s">
        <v>11</v>
      </c>
      <c r="E15" s="104"/>
      <c r="F15" s="21"/>
      <c r="H15" s="25"/>
      <c r="I15" s="7"/>
      <c r="J15" s="26"/>
      <c r="K15" s="15"/>
      <c r="L15" s="47"/>
      <c r="M15" s="15"/>
      <c r="N15" s="38"/>
      <c r="O15" s="38"/>
      <c r="P15" s="21"/>
    </row>
    <row r="16" spans="1:18" x14ac:dyDescent="0.25">
      <c r="B16" t="s">
        <v>13</v>
      </c>
      <c r="C16" s="15">
        <f>C33</f>
        <v>7.0481595799041091E-2</v>
      </c>
      <c r="D16" s="5">
        <v>36707845.845137648</v>
      </c>
      <c r="E16" s="281"/>
      <c r="F16" s="21"/>
      <c r="H16" s="25"/>
      <c r="I16" s="7"/>
      <c r="J16" s="26"/>
      <c r="K16" s="15"/>
      <c r="L16" s="47"/>
      <c r="M16" s="15"/>
      <c r="N16" s="38"/>
      <c r="O16" s="38"/>
      <c r="P16" s="21"/>
    </row>
    <row r="17" spans="1:27" x14ac:dyDescent="0.25">
      <c r="B17" t="s">
        <v>14</v>
      </c>
      <c r="C17" s="15">
        <f t="shared" ref="C17:C20" si="0">C34</f>
        <v>2.2643208819309001E-2</v>
      </c>
      <c r="D17" s="5">
        <v>11787556.342719726</v>
      </c>
      <c r="E17" s="281"/>
      <c r="F17" s="21"/>
      <c r="H17" s="25"/>
      <c r="I17" s="7"/>
      <c r="J17" s="26"/>
      <c r="K17" s="15"/>
      <c r="L17" s="47"/>
      <c r="M17" s="15"/>
      <c r="N17" s="38"/>
      <c r="O17" s="38"/>
      <c r="P17" s="21"/>
    </row>
    <row r="18" spans="1:27" x14ac:dyDescent="0.25">
      <c r="B18" t="s">
        <v>15</v>
      </c>
      <c r="C18" s="15">
        <f t="shared" si="0"/>
        <v>0.56930558236971396</v>
      </c>
      <c r="D18" s="5">
        <v>296674266.08246899</v>
      </c>
      <c r="E18" s="281"/>
      <c r="F18" s="21"/>
      <c r="H18" s="25"/>
      <c r="I18" s="7"/>
      <c r="J18" s="26"/>
      <c r="K18" s="15"/>
      <c r="L18" s="47"/>
      <c r="M18" s="15"/>
      <c r="N18" s="38"/>
      <c r="O18" s="38"/>
      <c r="P18" s="21"/>
    </row>
    <row r="19" spans="1:27" x14ac:dyDescent="0.25">
      <c r="B19" t="s">
        <v>16</v>
      </c>
      <c r="C19" s="15">
        <f t="shared" si="0"/>
        <v>0.17448911031976658</v>
      </c>
      <c r="D19" s="5">
        <v>90959449.037395433</v>
      </c>
      <c r="E19" s="281"/>
      <c r="F19" s="21"/>
      <c r="H19" s="25"/>
      <c r="I19" s="7"/>
      <c r="J19" s="26"/>
      <c r="K19" s="15"/>
      <c r="L19" s="47"/>
      <c r="M19" s="15"/>
      <c r="N19" s="38"/>
      <c r="O19" s="38"/>
      <c r="P19" s="21"/>
    </row>
    <row r="20" spans="1:27" x14ac:dyDescent="0.25">
      <c r="B20" t="s">
        <v>17</v>
      </c>
      <c r="C20" s="15">
        <f t="shared" si="0"/>
        <v>0.16308050269216934</v>
      </c>
      <c r="D20" s="5">
        <v>84986246.667663336</v>
      </c>
      <c r="E20" s="281"/>
      <c r="F20" s="21"/>
      <c r="H20" s="25"/>
      <c r="I20" s="7"/>
      <c r="J20" s="26"/>
      <c r="K20" s="15"/>
      <c r="L20" s="47"/>
      <c r="M20" s="15"/>
      <c r="N20" s="38"/>
      <c r="O20" s="38"/>
      <c r="P20" s="21"/>
    </row>
    <row r="21" spans="1:27" ht="15.75" thickBot="1" x14ac:dyDescent="0.3">
      <c r="C21" s="22">
        <f>SUM(C16:C20)</f>
        <v>1</v>
      </c>
      <c r="D21" s="23">
        <f>SUM(D16:D20)</f>
        <v>521115363.97538513</v>
      </c>
      <c r="E21" s="21"/>
      <c r="F21" s="21"/>
      <c r="H21" s="25"/>
      <c r="I21" s="7"/>
      <c r="J21" s="26"/>
      <c r="K21" s="15"/>
      <c r="L21" s="47"/>
      <c r="M21" s="15"/>
      <c r="N21" s="38"/>
      <c r="O21" s="38"/>
      <c r="P21" s="21"/>
    </row>
    <row r="22" spans="1:27" ht="15.75" thickTop="1" x14ac:dyDescent="0.25">
      <c r="F22" s="21"/>
      <c r="H22" s="25"/>
      <c r="I22" s="7"/>
      <c r="J22" s="26"/>
      <c r="K22" s="15"/>
      <c r="L22" s="47"/>
      <c r="M22" s="15"/>
      <c r="N22" s="38"/>
      <c r="O22" s="38"/>
      <c r="P22" s="21"/>
    </row>
    <row r="23" spans="1:27" x14ac:dyDescent="0.25">
      <c r="B23" s="379" t="s">
        <v>280</v>
      </c>
      <c r="F23" s="21"/>
      <c r="K23" s="21"/>
      <c r="L23" s="21"/>
      <c r="M23" s="21"/>
      <c r="N23" s="21"/>
      <c r="O23" s="21"/>
      <c r="P23" s="21"/>
    </row>
    <row r="24" spans="1:27" ht="30.75" customHeight="1" x14ac:dyDescent="0.25">
      <c r="B24" s="24"/>
      <c r="C24" s="104" t="s">
        <v>1</v>
      </c>
      <c r="D24" s="103" t="s">
        <v>2</v>
      </c>
      <c r="E24" s="103" t="s">
        <v>3</v>
      </c>
      <c r="F24" s="21"/>
      <c r="H24" s="32"/>
      <c r="I24" s="32"/>
      <c r="K24" s="21"/>
      <c r="L24" s="21"/>
      <c r="M24" s="21"/>
      <c r="N24" s="21"/>
      <c r="O24" s="21"/>
      <c r="P24" s="21"/>
    </row>
    <row r="25" spans="1:27" x14ac:dyDescent="0.25">
      <c r="B25" s="278" t="s">
        <v>18</v>
      </c>
      <c r="D25" s="28">
        <f>+D29</f>
        <v>748091968.13</v>
      </c>
      <c r="E25" s="7">
        <f>+E29</f>
        <v>902861316.13</v>
      </c>
      <c r="F25" s="21"/>
      <c r="H25" s="7"/>
      <c r="K25" s="21"/>
      <c r="L25" s="21"/>
      <c r="M25" s="21"/>
      <c r="N25" s="21"/>
      <c r="O25" s="21"/>
      <c r="P25" s="21"/>
    </row>
    <row r="26" spans="1:27" x14ac:dyDescent="0.25">
      <c r="B26" s="278"/>
      <c r="F26" s="21"/>
      <c r="G26" s="21"/>
      <c r="H26" s="21"/>
      <c r="K26" s="319"/>
      <c r="L26" s="319"/>
      <c r="M26" s="319"/>
      <c r="N26" s="319"/>
      <c r="O26" s="319"/>
      <c r="P26" s="139"/>
    </row>
    <row r="27" spans="1:27" x14ac:dyDescent="0.25">
      <c r="B27" s="21" t="s">
        <v>19</v>
      </c>
      <c r="C27" s="15">
        <f>+D27/D29</f>
        <v>0.69933855651165877</v>
      </c>
      <c r="D27" s="5">
        <f>D38</f>
        <v>523169557.13</v>
      </c>
      <c r="E27" s="7">
        <f>+D27</f>
        <v>523169557.13</v>
      </c>
      <c r="F27" s="21"/>
      <c r="G27" s="21"/>
      <c r="H27" s="21"/>
      <c r="K27" s="5"/>
      <c r="L27" s="5"/>
      <c r="M27" s="5"/>
      <c r="N27" s="5"/>
      <c r="O27" s="21"/>
      <c r="P27" s="21"/>
      <c r="S27" s="313"/>
    </row>
    <row r="28" spans="1:27" x14ac:dyDescent="0.25">
      <c r="A28" s="21" t="s">
        <v>168</v>
      </c>
      <c r="B28" s="21" t="s">
        <v>20</v>
      </c>
      <c r="C28" s="15">
        <f>+D28/D29</f>
        <v>0.30066144348834128</v>
      </c>
      <c r="D28" s="5">
        <v>224922411</v>
      </c>
      <c r="E28" s="7">
        <f>+D28-D7</f>
        <v>379691759</v>
      </c>
      <c r="F28" s="47"/>
      <c r="G28" s="21"/>
      <c r="H28" s="21"/>
      <c r="I28" s="7"/>
      <c r="K28" s="5"/>
      <c r="L28" s="5"/>
      <c r="M28" s="5"/>
      <c r="N28" s="5"/>
      <c r="O28" s="5"/>
      <c r="P28" s="5"/>
      <c r="Q28" s="7"/>
      <c r="S28" s="313"/>
    </row>
    <row r="29" spans="1:27" ht="15.75" thickBot="1" x14ac:dyDescent="0.3">
      <c r="B29" t="s">
        <v>21</v>
      </c>
      <c r="C29" s="22">
        <f>+C27+C28</f>
        <v>1</v>
      </c>
      <c r="D29" s="23">
        <f>+D27+D28</f>
        <v>748091968.13</v>
      </c>
      <c r="E29" s="23">
        <f>+E27+E28</f>
        <v>902861316.13</v>
      </c>
      <c r="F29" s="6"/>
      <c r="G29" s="272"/>
      <c r="H29" s="21"/>
      <c r="K29" s="21"/>
      <c r="L29" s="21"/>
      <c r="M29" s="21"/>
      <c r="N29" s="21"/>
      <c r="O29" s="21"/>
      <c r="P29" s="21"/>
    </row>
    <row r="30" spans="1:27" ht="15.75" thickTop="1" x14ac:dyDescent="0.25">
      <c r="G30" s="14"/>
    </row>
    <row r="31" spans="1:27" ht="15.75" x14ac:dyDescent="0.25">
      <c r="B31" s="24" t="s">
        <v>22</v>
      </c>
      <c r="E31" s="7">
        <f>E8-E29</f>
        <v>-3022627.8400000334</v>
      </c>
      <c r="G31" s="14"/>
    </row>
    <row r="32" spans="1:27" ht="31.15" customHeight="1" x14ac:dyDescent="0.25">
      <c r="B32" s="24"/>
      <c r="C32" s="103" t="s">
        <v>12</v>
      </c>
      <c r="D32" s="103" t="s">
        <v>11</v>
      </c>
      <c r="E32" s="104" t="s">
        <v>23</v>
      </c>
      <c r="F32" s="32"/>
      <c r="G32" s="32"/>
      <c r="H32" s="32"/>
      <c r="I32" s="32"/>
      <c r="J32" s="322" t="s">
        <v>269</v>
      </c>
      <c r="K32" s="362"/>
      <c r="L32" s="362"/>
      <c r="M32" s="362"/>
      <c r="N32" s="374"/>
      <c r="O32" s="79"/>
      <c r="P32" s="362"/>
      <c r="Q32" s="362"/>
      <c r="R32" s="362"/>
      <c r="S32" s="323"/>
      <c r="T32" s="79"/>
      <c r="U32" s="79"/>
      <c r="V32" s="79"/>
      <c r="W32" s="79"/>
      <c r="X32" s="79"/>
      <c r="Y32" s="79"/>
      <c r="Z32" s="79"/>
      <c r="AA32" s="79"/>
    </row>
    <row r="33" spans="1:27" x14ac:dyDescent="0.25">
      <c r="A33" s="21"/>
      <c r="B33" s="21" t="s">
        <v>13</v>
      </c>
      <c r="C33" s="15">
        <f>D33/D$38</f>
        <v>7.0481595799041091E-2</v>
      </c>
      <c r="D33" s="320">
        <v>36873825.259999998</v>
      </c>
      <c r="E33" s="27">
        <f>J33/D33</f>
        <v>0.12041500790037643</v>
      </c>
      <c r="F33" s="281"/>
      <c r="G33" s="5"/>
      <c r="H33" s="281"/>
      <c r="I33" s="281"/>
      <c r="J33" s="5">
        <v>4440161.96</v>
      </c>
      <c r="K33" s="369"/>
      <c r="L33" s="80"/>
      <c r="M33" s="196"/>
      <c r="N33" s="289"/>
      <c r="O33" s="79"/>
      <c r="P33" s="80"/>
      <c r="Q33" s="80"/>
      <c r="R33" s="196"/>
      <c r="S33" s="80"/>
      <c r="T33" s="376"/>
      <c r="U33" s="79"/>
      <c r="V33" s="79"/>
      <c r="W33" s="79"/>
      <c r="X33" s="79"/>
      <c r="Y33" s="79"/>
      <c r="Z33" s="79"/>
      <c r="AA33" s="79"/>
    </row>
    <row r="34" spans="1:27" x14ac:dyDescent="0.25">
      <c r="A34" s="21"/>
      <c r="B34" s="21" t="s">
        <v>14</v>
      </c>
      <c r="C34" s="15">
        <f>D34/D$38</f>
        <v>2.2643208819309001E-2</v>
      </c>
      <c r="D34" s="320">
        <v>11846237.529999999</v>
      </c>
      <c r="E34" s="27">
        <f>J34/D34</f>
        <v>0.14036367038809494</v>
      </c>
      <c r="F34" s="281"/>
      <c r="G34" s="5"/>
      <c r="H34" s="281"/>
      <c r="I34" s="281"/>
      <c r="J34" s="5">
        <v>1662781.38</v>
      </c>
      <c r="K34" s="369"/>
      <c r="L34" s="80"/>
      <c r="M34" s="196"/>
      <c r="N34" s="289"/>
      <c r="O34" s="79"/>
      <c r="P34" s="80"/>
      <c r="Q34" s="80"/>
      <c r="R34" s="196"/>
      <c r="S34" s="80"/>
      <c r="T34" s="376"/>
      <c r="U34" s="79"/>
      <c r="V34" s="79"/>
      <c r="W34" s="79"/>
      <c r="X34" s="79"/>
      <c r="Y34" s="79"/>
      <c r="Z34" s="79"/>
      <c r="AA34" s="79"/>
    </row>
    <row r="35" spans="1:27" x14ac:dyDescent="0.25">
      <c r="A35" s="21"/>
      <c r="B35" s="21" t="s">
        <v>15</v>
      </c>
      <c r="C35" s="15">
        <f>D35/D$38</f>
        <v>0.56930558236971396</v>
      </c>
      <c r="D35" s="320">
        <v>297843349.39999998</v>
      </c>
      <c r="E35" s="27">
        <f>J35/D35</f>
        <v>0.11429887915435859</v>
      </c>
      <c r="F35" s="281"/>
      <c r="G35" s="5"/>
      <c r="H35" s="281"/>
      <c r="I35" s="281"/>
      <c r="J35" s="5">
        <v>34043161</v>
      </c>
      <c r="K35" s="369"/>
      <c r="L35" s="80"/>
      <c r="M35" s="196"/>
      <c r="N35" s="289"/>
      <c r="O35" s="79"/>
      <c r="P35" s="80"/>
      <c r="Q35" s="80"/>
      <c r="R35" s="196"/>
      <c r="S35" s="80"/>
      <c r="T35" s="79"/>
      <c r="U35" s="79"/>
      <c r="V35" s="79"/>
      <c r="W35" s="79"/>
      <c r="X35" s="79"/>
      <c r="Y35" s="79"/>
      <c r="Z35" s="79"/>
      <c r="AA35" s="79"/>
    </row>
    <row r="36" spans="1:27" x14ac:dyDescent="0.25">
      <c r="A36" s="21"/>
      <c r="B36" s="21" t="s">
        <v>16</v>
      </c>
      <c r="C36" s="15">
        <f>D36/D$38</f>
        <v>0.17448911031976658</v>
      </c>
      <c r="D36" s="320">
        <v>91287390.569999993</v>
      </c>
      <c r="E36" s="27">
        <f>J36/D36</f>
        <v>0.1297381125262676</v>
      </c>
      <c r="F36" s="281"/>
      <c r="G36" s="5"/>
      <c r="H36" s="281"/>
      <c r="I36" s="281"/>
      <c r="J36" s="5">
        <v>11843453.75</v>
      </c>
      <c r="K36" s="369"/>
      <c r="L36" s="80"/>
      <c r="M36" s="196"/>
      <c r="N36" s="289"/>
      <c r="O36" s="79"/>
      <c r="P36" s="80"/>
      <c r="Q36" s="80"/>
      <c r="R36" s="196"/>
      <c r="S36" s="80"/>
      <c r="T36" s="79"/>
      <c r="U36" s="79"/>
      <c r="V36" s="79"/>
      <c r="W36" s="79"/>
      <c r="X36" s="79"/>
      <c r="Y36" s="79"/>
      <c r="Z36" s="79"/>
      <c r="AA36" s="79"/>
    </row>
    <row r="37" spans="1:27" x14ac:dyDescent="0.25">
      <c r="A37" s="21"/>
      <c r="B37" s="21" t="s">
        <v>77</v>
      </c>
      <c r="C37" s="15">
        <f>D37/D$38</f>
        <v>0.16308050269216934</v>
      </c>
      <c r="D37" s="320">
        <v>85318754.370000005</v>
      </c>
      <c r="E37" s="27">
        <f>J37/D37</f>
        <v>0.15406267258657821</v>
      </c>
      <c r="F37" s="281"/>
      <c r="G37" s="5"/>
      <c r="H37" s="281"/>
      <c r="I37" s="281"/>
      <c r="J37" s="5">
        <v>13144435.32</v>
      </c>
      <c r="K37" s="369"/>
      <c r="L37" s="80"/>
      <c r="M37" s="196"/>
      <c r="N37" s="289"/>
      <c r="O37" s="79"/>
      <c r="P37" s="80"/>
      <c r="Q37" s="80"/>
      <c r="R37" s="196"/>
      <c r="S37" s="80"/>
      <c r="T37" s="79"/>
      <c r="U37" s="79"/>
      <c r="V37" s="79"/>
      <c r="W37" s="79"/>
      <c r="X37" s="79"/>
      <c r="Y37" s="79"/>
      <c r="Z37" s="79"/>
      <c r="AA37" s="79"/>
    </row>
    <row r="38" spans="1:27" ht="15.75" thickBot="1" x14ac:dyDescent="0.3">
      <c r="B38" s="21" t="s">
        <v>78</v>
      </c>
      <c r="C38" s="22">
        <f>SUM(C33:C37)</f>
        <v>1</v>
      </c>
      <c r="D38" s="23">
        <f>SUM(D33:D37)</f>
        <v>523169557.13</v>
      </c>
      <c r="G38" s="47"/>
      <c r="H38" s="21"/>
      <c r="I38" s="21"/>
      <c r="J38" s="72">
        <f>SUM(J33:J37)</f>
        <v>65133993.410000004</v>
      </c>
      <c r="K38" s="80"/>
      <c r="L38" s="80"/>
      <c r="M38" s="80"/>
      <c r="N38" s="80"/>
      <c r="O38" s="79"/>
      <c r="P38" s="80"/>
      <c r="Q38" s="80"/>
      <c r="R38" s="80"/>
      <c r="S38" s="80"/>
      <c r="T38" s="79"/>
      <c r="U38" s="79"/>
      <c r="V38" s="79"/>
      <c r="W38" s="79"/>
      <c r="X38" s="79"/>
      <c r="Y38" s="79"/>
      <c r="Z38" s="79"/>
      <c r="AA38" s="79"/>
    </row>
    <row r="39" spans="1:27" ht="15.75" thickTop="1" x14ac:dyDescent="0.25">
      <c r="J39" s="21"/>
      <c r="K39" s="79"/>
      <c r="L39" s="79"/>
      <c r="M39" s="79"/>
      <c r="N39" s="79"/>
      <c r="O39" s="79"/>
      <c r="P39" s="79"/>
      <c r="Q39" s="80"/>
      <c r="R39" s="79"/>
      <c r="S39" s="79"/>
      <c r="T39" s="79"/>
      <c r="U39" s="79"/>
      <c r="V39" s="79"/>
      <c r="W39" s="79"/>
      <c r="X39" s="79"/>
      <c r="Y39" s="79"/>
      <c r="Z39" s="79"/>
      <c r="AA39" s="79"/>
    </row>
    <row r="40" spans="1:27" x14ac:dyDescent="0.25">
      <c r="B40" s="24" t="s">
        <v>24</v>
      </c>
      <c r="O40" s="21"/>
      <c r="P40" s="5"/>
      <c r="Q40" s="276"/>
      <c r="R40" s="276"/>
      <c r="S40" s="276"/>
      <c r="T40" s="276"/>
    </row>
    <row r="41" spans="1:27" x14ac:dyDescent="0.25">
      <c r="B41" s="2"/>
      <c r="C41" s="103" t="s">
        <v>25</v>
      </c>
      <c r="M41" s="79"/>
      <c r="N41" s="79"/>
      <c r="O41" s="79"/>
      <c r="P41" s="79"/>
      <c r="Q41" s="79"/>
      <c r="R41" s="79"/>
      <c r="S41" s="79"/>
      <c r="T41" s="79"/>
      <c r="U41" s="79"/>
      <c r="V41" s="79"/>
    </row>
    <row r="42" spans="1:27" x14ac:dyDescent="0.25">
      <c r="B42" s="2" t="s">
        <v>26</v>
      </c>
      <c r="C42" s="103" t="s">
        <v>27</v>
      </c>
      <c r="M42" s="79"/>
      <c r="N42" s="139"/>
      <c r="O42" s="139"/>
      <c r="P42" s="139"/>
      <c r="Q42" s="139"/>
      <c r="R42" s="139"/>
      <c r="S42" s="139"/>
      <c r="T42" s="79"/>
      <c r="U42" s="79"/>
      <c r="V42" s="79"/>
    </row>
    <row r="43" spans="1:27" x14ac:dyDescent="0.25">
      <c r="B43" t="s">
        <v>28</v>
      </c>
      <c r="C43" s="25">
        <f>+C84</f>
        <v>1.4680326050020051E-2</v>
      </c>
      <c r="D43" s="280" t="s">
        <v>81</v>
      </c>
      <c r="G43" s="30"/>
      <c r="H43" s="34"/>
      <c r="M43" s="79"/>
      <c r="N43" s="80"/>
      <c r="O43" s="80"/>
      <c r="P43" s="80"/>
      <c r="Q43" s="377"/>
      <c r="R43" s="377"/>
      <c r="S43" s="378"/>
      <c r="T43" s="80"/>
      <c r="U43" s="79"/>
      <c r="V43" s="79"/>
    </row>
    <row r="44" spans="1:27" x14ac:dyDescent="0.25">
      <c r="B44" t="s">
        <v>29</v>
      </c>
      <c r="C44" s="25">
        <f>+C85</f>
        <v>1.337539521418047E-2</v>
      </c>
      <c r="D44" s="280" t="s">
        <v>81</v>
      </c>
      <c r="E44" s="30"/>
      <c r="G44" s="30"/>
      <c r="H44" s="34"/>
      <c r="M44" s="79"/>
      <c r="N44" s="80"/>
      <c r="O44" s="80"/>
      <c r="P44" s="80"/>
      <c r="Q44" s="377"/>
      <c r="R44" s="377"/>
      <c r="S44" s="377"/>
      <c r="T44" s="80"/>
      <c r="U44" s="79"/>
      <c r="V44" s="79"/>
    </row>
    <row r="45" spans="1:27" x14ac:dyDescent="0.25">
      <c r="B45" s="21" t="s">
        <v>30</v>
      </c>
      <c r="C45" s="270">
        <v>0.11217207012162043</v>
      </c>
      <c r="D45" s="21"/>
      <c r="E45" s="36" t="s">
        <v>137</v>
      </c>
      <c r="M45" s="79"/>
      <c r="N45" s="289"/>
      <c r="O45" s="289"/>
      <c r="P45" s="289"/>
      <c r="Q45" s="289"/>
      <c r="R45" s="289"/>
      <c r="S45" s="289"/>
      <c r="T45" s="289"/>
      <c r="U45" s="79"/>
      <c r="V45" s="79"/>
    </row>
    <row r="46" spans="1:27" x14ac:dyDescent="0.25">
      <c r="B46" s="21" t="s">
        <v>31</v>
      </c>
      <c r="C46" s="270" t="s">
        <v>134</v>
      </c>
      <c r="D46" s="21"/>
      <c r="E46" s="30"/>
      <c r="M46" s="79"/>
      <c r="N46" s="79"/>
      <c r="O46" s="79"/>
      <c r="P46" s="79"/>
      <c r="Q46" s="79"/>
      <c r="R46" s="79"/>
      <c r="S46" s="79"/>
      <c r="T46" s="79"/>
      <c r="U46" s="79"/>
      <c r="V46" s="79"/>
    </row>
    <row r="47" spans="1:27" x14ac:dyDescent="0.25">
      <c r="B47" s="21" t="s">
        <v>32</v>
      </c>
      <c r="C47" s="270" t="s">
        <v>134</v>
      </c>
      <c r="D47" s="21"/>
      <c r="E47" t="s">
        <v>79</v>
      </c>
      <c r="L47" s="21"/>
      <c r="M47" s="79"/>
      <c r="N47" s="80"/>
      <c r="O47" s="80"/>
      <c r="P47" s="80"/>
      <c r="Q47" s="378"/>
      <c r="R47" s="378"/>
      <c r="S47" s="378"/>
      <c r="T47" s="80"/>
      <c r="U47" s="79"/>
      <c r="V47" s="79"/>
    </row>
    <row r="48" spans="1:27" x14ac:dyDescent="0.25">
      <c r="B48" s="21" t="s">
        <v>33</v>
      </c>
      <c r="C48" s="270"/>
      <c r="D48" s="21"/>
      <c r="E48" t="s">
        <v>135</v>
      </c>
      <c r="M48" s="79"/>
      <c r="N48" s="80"/>
      <c r="O48" s="80"/>
      <c r="P48" s="80"/>
      <c r="Q48" s="80"/>
      <c r="R48" s="80"/>
      <c r="S48" s="80"/>
      <c r="T48" s="80"/>
      <c r="U48" s="79"/>
      <c r="V48" s="79"/>
    </row>
    <row r="49" spans="2:32" x14ac:dyDescent="0.25">
      <c r="C49" s="382">
        <v>0.11772775221898885</v>
      </c>
      <c r="D49" s="21" t="s">
        <v>191</v>
      </c>
      <c r="E49" s="21"/>
      <c r="M49" s="79"/>
      <c r="N49" s="289"/>
      <c r="O49" s="289"/>
      <c r="P49" s="289"/>
      <c r="Q49" s="289"/>
      <c r="R49" s="289"/>
      <c r="S49" s="289"/>
      <c r="T49" s="289"/>
      <c r="U49" s="79"/>
      <c r="V49" s="79"/>
    </row>
    <row r="50" spans="2:32" ht="18.75" x14ac:dyDescent="0.3">
      <c r="B50" s="1" t="s">
        <v>34</v>
      </c>
      <c r="C50" s="383">
        <v>0.11274962978940133</v>
      </c>
      <c r="D50" s="21" t="s">
        <v>192</v>
      </c>
      <c r="E50" s="21"/>
    </row>
    <row r="51" spans="2:32" x14ac:dyDescent="0.25">
      <c r="B51" s="6"/>
      <c r="C51" s="384"/>
      <c r="D51" s="48"/>
      <c r="E51" s="21"/>
      <c r="N51" s="152"/>
      <c r="O51" s="153"/>
      <c r="P51" s="153"/>
      <c r="Q51" s="153"/>
      <c r="R51" s="153"/>
      <c r="S51" s="153"/>
    </row>
    <row r="52" spans="2:32" x14ac:dyDescent="0.25">
      <c r="B52" s="24" t="s">
        <v>35</v>
      </c>
      <c r="C52" s="21"/>
      <c r="D52" s="21"/>
      <c r="E52" s="21"/>
      <c r="M52" s="21"/>
      <c r="N52" s="5"/>
      <c r="O52" s="5"/>
      <c r="P52" s="5"/>
      <c r="Q52" s="309"/>
      <c r="R52" s="380"/>
      <c r="S52" s="309"/>
      <c r="T52" s="5"/>
      <c r="U52" s="21"/>
      <c r="V52" s="21"/>
      <c r="W52" s="21"/>
      <c r="X52" s="21"/>
      <c r="Y52" s="21"/>
      <c r="Z52" s="21"/>
      <c r="AA52" s="375"/>
      <c r="AB52" s="21"/>
      <c r="AC52" s="21"/>
      <c r="AD52" s="21"/>
      <c r="AE52" s="21"/>
      <c r="AF52" s="21"/>
    </row>
    <row r="53" spans="2:32" x14ac:dyDescent="0.25">
      <c r="B53" s="24"/>
      <c r="C53" s="385" t="s">
        <v>36</v>
      </c>
      <c r="D53" s="371" t="s">
        <v>11</v>
      </c>
      <c r="E53" s="59" t="s">
        <v>37</v>
      </c>
      <c r="F53" s="2"/>
      <c r="G53" s="46"/>
      <c r="H53" s="275" t="s">
        <v>168</v>
      </c>
      <c r="I53" s="276"/>
      <c r="J53" s="109" t="s">
        <v>75</v>
      </c>
      <c r="K53" s="109" t="s">
        <v>76</v>
      </c>
      <c r="M53" s="21"/>
      <c r="N53" s="5"/>
      <c r="O53" s="5"/>
      <c r="P53" s="5"/>
      <c r="Q53" s="5"/>
      <c r="R53" s="5"/>
      <c r="S53" s="5"/>
      <c r="T53" s="5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375"/>
      <c r="AF53" s="21"/>
    </row>
    <row r="54" spans="2:32" x14ac:dyDescent="0.25">
      <c r="B54" s="21" t="s">
        <v>38</v>
      </c>
      <c r="C54" s="384">
        <f>E54/D54</f>
        <v>0.60537988517443542</v>
      </c>
      <c r="D54" s="47">
        <f>+E6</f>
        <v>6910109.29</v>
      </c>
      <c r="E54" s="38">
        <v>4183241.1685229996</v>
      </c>
      <c r="F54" s="4"/>
      <c r="G54" s="5" t="s">
        <v>168</v>
      </c>
      <c r="H54" s="356"/>
      <c r="I54" s="276"/>
      <c r="J54" s="46">
        <f>E54</f>
        <v>4183241.1685229996</v>
      </c>
      <c r="M54" s="21"/>
      <c r="N54" s="5"/>
      <c r="O54" s="5"/>
      <c r="P54" s="5"/>
      <c r="Q54" s="5"/>
      <c r="R54" s="5"/>
      <c r="S54" s="5"/>
      <c r="T54" s="5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</row>
    <row r="55" spans="2:32" x14ac:dyDescent="0.25">
      <c r="B55" s="21" t="s">
        <v>39</v>
      </c>
      <c r="C55" s="384">
        <f>E55/D55</f>
        <v>1.4129097709168516E-2</v>
      </c>
      <c r="D55" s="47">
        <f>+E5</f>
        <v>892928579</v>
      </c>
      <c r="E55" s="38">
        <v>12616275.139999999</v>
      </c>
      <c r="F55" s="26" t="s">
        <v>80</v>
      </c>
      <c r="G55" s="6"/>
      <c r="H55" s="26"/>
      <c r="J55" s="46">
        <f>+E55</f>
        <v>12616275.139999999</v>
      </c>
      <c r="M55" s="21"/>
      <c r="N55" s="5"/>
      <c r="O55" s="5"/>
      <c r="P55" s="5"/>
      <c r="Q55" s="381"/>
      <c r="R55" s="381"/>
      <c r="S55" s="381"/>
      <c r="T55" s="5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</row>
    <row r="56" spans="2:32" x14ac:dyDescent="0.25">
      <c r="B56" s="21" t="s">
        <v>40</v>
      </c>
      <c r="C56" s="384"/>
      <c r="D56" s="47"/>
      <c r="E56" s="38">
        <v>11006424.969999999</v>
      </c>
      <c r="F56" s="26" t="s">
        <v>80</v>
      </c>
      <c r="G56" s="6"/>
      <c r="H56" s="38"/>
      <c r="I56" s="21"/>
      <c r="K56" s="40">
        <f>E56</f>
        <v>11006424.969999999</v>
      </c>
      <c r="M56" s="21"/>
      <c r="N56" s="5"/>
      <c r="O56" s="5"/>
      <c r="P56" s="5"/>
      <c r="Q56" s="381"/>
      <c r="R56" s="381"/>
      <c r="S56" s="381"/>
      <c r="T56" s="5"/>
      <c r="U56" s="21"/>
      <c r="V56" s="21"/>
      <c r="W56" s="21"/>
      <c r="X56" s="21"/>
      <c r="Y56" s="21"/>
      <c r="Z56" s="21"/>
      <c r="AA56" s="375"/>
      <c r="AB56" s="21"/>
      <c r="AC56" s="21"/>
      <c r="AD56" s="21"/>
      <c r="AE56" s="21"/>
      <c r="AF56" s="21"/>
    </row>
    <row r="57" spans="2:32" ht="17.25" x14ac:dyDescent="0.25">
      <c r="B57" s="21" t="s">
        <v>41</v>
      </c>
      <c r="C57" s="42">
        <f>C49</f>
        <v>0.11772775221898885</v>
      </c>
      <c r="D57" s="47">
        <f>+D10</f>
        <v>521115364</v>
      </c>
      <c r="E57" s="38">
        <f>+D57*C57</f>
        <v>61349740.450500183</v>
      </c>
      <c r="F57" s="38"/>
      <c r="G57" s="39"/>
      <c r="H57" s="40"/>
      <c r="I57" s="21"/>
      <c r="J57" s="40">
        <f>+E57</f>
        <v>61349740.450500183</v>
      </c>
      <c r="K57" s="21"/>
      <c r="M57" s="21"/>
      <c r="N57" s="5"/>
      <c r="O57" s="5"/>
      <c r="P57" s="5"/>
      <c r="Q57" s="5"/>
      <c r="R57" s="5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</row>
    <row r="58" spans="2:32" ht="17.25" x14ac:dyDescent="0.25">
      <c r="B58" s="21" t="s">
        <v>42</v>
      </c>
      <c r="C58" s="42">
        <f>C50</f>
        <v>0.11274962978940133</v>
      </c>
      <c r="D58" s="47">
        <f>+D11</f>
        <v>223953976</v>
      </c>
      <c r="E58" s="38">
        <f>+D58*C58</f>
        <v>25250727.88386447</v>
      </c>
      <c r="F58" s="38"/>
      <c r="G58" s="6"/>
      <c r="H58" s="38"/>
      <c r="I58" s="21"/>
      <c r="J58" s="21"/>
      <c r="K58" s="40">
        <f>E58</f>
        <v>25250727.88386447</v>
      </c>
      <c r="M58" s="21"/>
      <c r="N58" s="5"/>
      <c r="O58" s="5"/>
      <c r="P58" s="5"/>
      <c r="Q58" s="5"/>
      <c r="R58" s="5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</row>
    <row r="59" spans="2:32" ht="17.25" x14ac:dyDescent="0.25">
      <c r="B59" s="21" t="s">
        <v>210</v>
      </c>
      <c r="C59" s="33"/>
      <c r="D59" s="47"/>
      <c r="E59" s="38">
        <f>+'WRZ Jan-Dec20 RPP 2nd TU'!K16</f>
        <v>-4121731.4864423899</v>
      </c>
      <c r="F59" s="41"/>
      <c r="J59" s="40">
        <v>-4121731.4864423899</v>
      </c>
      <c r="K59" s="108" t="s">
        <v>168</v>
      </c>
      <c r="L59" s="40" t="s">
        <v>168</v>
      </c>
      <c r="M59" s="107"/>
      <c r="N59" s="5"/>
      <c r="O59" s="5"/>
      <c r="P59" s="5"/>
      <c r="Q59" s="5"/>
      <c r="R59" s="5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</row>
    <row r="60" spans="2:32" x14ac:dyDescent="0.25">
      <c r="B60" s="21" t="s">
        <v>43</v>
      </c>
      <c r="C60" s="33">
        <f>E60/D60</f>
        <v>-0.59098902037770806</v>
      </c>
      <c r="D60" s="47">
        <f>+E6</f>
        <v>6910109.29</v>
      </c>
      <c r="E60" s="38">
        <v>-4083798.7199999997</v>
      </c>
      <c r="F60" s="38" t="s">
        <v>136</v>
      </c>
      <c r="G60" s="26"/>
      <c r="H60" s="42"/>
      <c r="I60" s="21"/>
      <c r="J60" s="40">
        <f>+E60</f>
        <v>-4083798.7199999997</v>
      </c>
      <c r="K60" s="21"/>
      <c r="M60" s="21"/>
      <c r="N60" s="5"/>
      <c r="O60" s="5"/>
      <c r="P60" s="5"/>
      <c r="Q60" s="5"/>
      <c r="R60" s="5"/>
      <c r="S60" s="5"/>
      <c r="T60" s="5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</row>
    <row r="61" spans="2:32" ht="15.75" thickBot="1" x14ac:dyDescent="0.3">
      <c r="B61" t="s">
        <v>44</v>
      </c>
      <c r="C61" s="33"/>
      <c r="D61" s="47"/>
      <c r="E61" s="43">
        <f>SUM(E54:E60)</f>
        <v>106200879.40644526</v>
      </c>
      <c r="F61" s="44"/>
      <c r="G61" s="44"/>
      <c r="H61" s="45"/>
      <c r="I61" s="45"/>
      <c r="J61" s="277">
        <f>SUM(J54:J60)</f>
        <v>69943726.552580804</v>
      </c>
      <c r="K61" s="277">
        <f>SUM(K54:K60)</f>
        <v>36257152.853864469</v>
      </c>
      <c r="L61" s="277">
        <f>SUM(J61:K61)</f>
        <v>106200879.40644526</v>
      </c>
      <c r="N61" s="6"/>
      <c r="O61" s="6"/>
      <c r="P61" s="6"/>
      <c r="Q61" s="6"/>
      <c r="T61" s="6"/>
    </row>
    <row r="62" spans="2:32" ht="15.75" thickTop="1" x14ac:dyDescent="0.25">
      <c r="H62" s="21"/>
      <c r="I62" s="21"/>
      <c r="J62" s="21"/>
      <c r="K62" s="21"/>
      <c r="N62" s="6"/>
      <c r="O62" s="6"/>
      <c r="P62" s="317"/>
      <c r="Q62" s="317"/>
      <c r="R62" s="276"/>
      <c r="S62" s="276"/>
      <c r="T62" s="5"/>
      <c r="U62" s="21"/>
      <c r="V62" s="21"/>
      <c r="W62" s="21"/>
    </row>
    <row r="63" spans="2:32" ht="18.75" x14ac:dyDescent="0.3">
      <c r="B63" s="1" t="s">
        <v>45</v>
      </c>
      <c r="E63" s="46"/>
      <c r="G63" s="46"/>
      <c r="H63" s="21"/>
      <c r="I63" s="21"/>
      <c r="J63" s="21"/>
      <c r="K63" s="21"/>
      <c r="M63" s="21"/>
      <c r="N63" s="5"/>
      <c r="O63" s="5"/>
      <c r="P63" s="5"/>
      <c r="Q63" s="5"/>
      <c r="R63" s="5"/>
      <c r="S63" s="5"/>
      <c r="T63" s="5"/>
      <c r="U63" s="21"/>
      <c r="V63" s="47"/>
      <c r="W63" s="21"/>
    </row>
    <row r="64" spans="2:32" ht="18.75" x14ac:dyDescent="0.3">
      <c r="B64" s="1"/>
      <c r="G64" s="79"/>
      <c r="H64" s="79"/>
      <c r="I64" s="21"/>
      <c r="J64" s="21"/>
      <c r="K64" s="21"/>
      <c r="M64" s="21"/>
      <c r="N64" s="5"/>
      <c r="O64" s="5"/>
      <c r="P64" s="5"/>
      <c r="Q64" s="5"/>
      <c r="R64" s="5"/>
      <c r="S64" s="5"/>
      <c r="T64" s="5"/>
      <c r="U64" s="21"/>
      <c r="V64" s="48"/>
      <c r="W64" s="21"/>
    </row>
    <row r="65" spans="2:23" x14ac:dyDescent="0.25">
      <c r="B65" s="24" t="s">
        <v>46</v>
      </c>
      <c r="C65" s="279" t="s">
        <v>81</v>
      </c>
      <c r="D65" s="279" t="s">
        <v>81</v>
      </c>
      <c r="E65" s="279" t="s">
        <v>81</v>
      </c>
      <c r="G65" s="139"/>
      <c r="H65" s="139"/>
      <c r="I65" s="21"/>
      <c r="J65" s="21"/>
      <c r="K65" s="21"/>
      <c r="M65" s="21"/>
      <c r="N65" s="5"/>
      <c r="O65" s="5"/>
      <c r="P65" s="5"/>
      <c r="Q65" s="5"/>
      <c r="R65" s="5"/>
      <c r="S65" s="5"/>
      <c r="T65" s="5"/>
      <c r="U65" s="21"/>
      <c r="V65" s="49"/>
      <c r="W65" s="21"/>
    </row>
    <row r="66" spans="2:23" x14ac:dyDescent="0.25">
      <c r="B66" s="24"/>
      <c r="C66" s="104" t="s">
        <v>23</v>
      </c>
      <c r="D66" s="103" t="s">
        <v>11</v>
      </c>
      <c r="E66" s="103" t="s">
        <v>37</v>
      </c>
      <c r="G66" s="13"/>
      <c r="H66" s="100"/>
      <c r="I66" s="21"/>
      <c r="J66" s="21"/>
      <c r="K66" s="21"/>
      <c r="M66" s="21"/>
      <c r="N66" s="21"/>
      <c r="O66" s="21"/>
      <c r="P66" s="21"/>
      <c r="Q66" s="49"/>
      <c r="R66" s="52"/>
      <c r="S66" s="21"/>
      <c r="T66" s="49"/>
      <c r="U66" s="21"/>
      <c r="V66" s="21"/>
      <c r="W66" s="21"/>
    </row>
    <row r="67" spans="2:23" x14ac:dyDescent="0.25">
      <c r="B67" s="21" t="s">
        <v>13</v>
      </c>
      <c r="C67" s="35">
        <f>E33</f>
        <v>0.12041500790037643</v>
      </c>
      <c r="D67" s="6">
        <f>+D33</f>
        <v>36873825.259999998</v>
      </c>
      <c r="E67" s="53">
        <f>+D67*C67</f>
        <v>4440161.96</v>
      </c>
      <c r="F67" s="21"/>
      <c r="G67" s="90"/>
      <c r="H67" s="363"/>
      <c r="I67" s="21"/>
      <c r="J67" s="21"/>
      <c r="K67" s="21"/>
      <c r="M67" s="21"/>
      <c r="N67" s="47"/>
      <c r="O67" s="47"/>
      <c r="P67" s="47"/>
      <c r="Q67" s="47"/>
      <c r="R67" s="47"/>
      <c r="S67" s="47"/>
      <c r="T67" s="54"/>
      <c r="U67" s="21"/>
      <c r="V67" s="21"/>
      <c r="W67" s="21"/>
    </row>
    <row r="68" spans="2:23" x14ac:dyDescent="0.25">
      <c r="B68" s="21" t="s">
        <v>14</v>
      </c>
      <c r="C68" s="35">
        <f>E34</f>
        <v>0.14036367038809494</v>
      </c>
      <c r="D68" s="6">
        <f>+D34</f>
        <v>11846237.529999999</v>
      </c>
      <c r="E68" s="53">
        <f t="shared" ref="E68:E71" si="1">+D68*C68</f>
        <v>1662781.38</v>
      </c>
      <c r="F68" s="21"/>
      <c r="G68" s="90"/>
      <c r="H68" s="363"/>
      <c r="I68" s="21"/>
      <c r="J68" s="21"/>
      <c r="K68" s="21"/>
      <c r="M68" s="21"/>
      <c r="N68" s="47"/>
      <c r="O68" s="47"/>
      <c r="P68" s="47"/>
      <c r="Q68" s="47"/>
      <c r="R68" s="47"/>
      <c r="S68" s="47"/>
      <c r="T68" s="54"/>
      <c r="U68" s="21"/>
      <c r="V68" s="21"/>
      <c r="W68" s="21"/>
    </row>
    <row r="69" spans="2:23" x14ac:dyDescent="0.25">
      <c r="B69" s="21" t="s">
        <v>15</v>
      </c>
      <c r="C69" s="35">
        <f>E35</f>
        <v>0.11429887915435859</v>
      </c>
      <c r="D69" s="6">
        <f>+D35</f>
        <v>297843349.39999998</v>
      </c>
      <c r="E69" s="53">
        <f t="shared" si="1"/>
        <v>34043161</v>
      </c>
      <c r="F69" s="21"/>
      <c r="G69" s="90"/>
      <c r="H69" s="363"/>
      <c r="I69" s="21"/>
      <c r="J69" s="21"/>
      <c r="K69" s="21"/>
      <c r="M69" s="21"/>
      <c r="N69" s="47"/>
      <c r="O69" s="47"/>
      <c r="P69" s="47"/>
      <c r="Q69" s="47"/>
      <c r="R69" s="47"/>
      <c r="S69" s="54"/>
      <c r="T69" s="54"/>
      <c r="U69" s="21"/>
      <c r="V69" s="21"/>
      <c r="W69" s="21"/>
    </row>
    <row r="70" spans="2:23" x14ac:dyDescent="0.25">
      <c r="B70" s="21" t="s">
        <v>16</v>
      </c>
      <c r="C70" s="35">
        <f>E36</f>
        <v>0.1297381125262676</v>
      </c>
      <c r="D70" s="6">
        <f>+D36</f>
        <v>91287390.569999993</v>
      </c>
      <c r="E70" s="53">
        <f t="shared" si="1"/>
        <v>11843453.749999998</v>
      </c>
      <c r="F70" s="21"/>
      <c r="G70" s="90"/>
      <c r="H70" s="363"/>
      <c r="I70" s="21"/>
      <c r="J70" s="21"/>
      <c r="K70" s="21"/>
      <c r="M70" s="21"/>
      <c r="N70" s="47"/>
      <c r="O70" s="47"/>
      <c r="P70" s="47"/>
      <c r="Q70" s="47"/>
      <c r="R70" s="47"/>
      <c r="S70" s="54"/>
      <c r="T70" s="54"/>
      <c r="U70" s="21"/>
      <c r="V70" s="21"/>
      <c r="W70" s="21"/>
    </row>
    <row r="71" spans="2:23" x14ac:dyDescent="0.25">
      <c r="B71" s="21" t="s">
        <v>17</v>
      </c>
      <c r="C71" s="35">
        <f>E37</f>
        <v>0.15406267258657821</v>
      </c>
      <c r="D71" s="6">
        <f>+D37</f>
        <v>85318754.370000005</v>
      </c>
      <c r="E71" s="53">
        <f t="shared" si="1"/>
        <v>13144435.32</v>
      </c>
      <c r="F71" s="21"/>
      <c r="G71" s="90"/>
      <c r="H71" s="363"/>
      <c r="I71" s="21"/>
      <c r="J71" s="21"/>
      <c r="K71" s="21"/>
      <c r="Q71" s="53"/>
      <c r="R71" s="54"/>
      <c r="S71" s="54"/>
      <c r="T71" s="54"/>
      <c r="U71" s="21"/>
      <c r="V71" s="21"/>
      <c r="W71" s="21"/>
    </row>
    <row r="72" spans="2:23" ht="15.75" thickBot="1" x14ac:dyDescent="0.3">
      <c r="B72" s="21" t="s">
        <v>47</v>
      </c>
      <c r="D72" s="55">
        <f>SUM(D67:D71)</f>
        <v>523169557.13</v>
      </c>
      <c r="E72" s="43">
        <f>SUM(E67:E71)</f>
        <v>65133993.410000004</v>
      </c>
      <c r="F72" s="21"/>
      <c r="G72" s="57"/>
      <c r="H72" s="56"/>
      <c r="I72" s="21"/>
      <c r="J72" s="40"/>
      <c r="K72" s="21"/>
      <c r="Q72" s="19"/>
      <c r="R72" s="56"/>
      <c r="S72" s="56"/>
      <c r="T72" s="56"/>
      <c r="U72" s="21"/>
      <c r="V72" s="21"/>
      <c r="W72" s="21"/>
    </row>
    <row r="73" spans="2:23" ht="15.75" thickTop="1" x14ac:dyDescent="0.25">
      <c r="E73" s="21"/>
      <c r="F73" s="21"/>
      <c r="G73" s="30"/>
      <c r="H73" s="21"/>
      <c r="I73" s="21"/>
      <c r="J73" s="282"/>
      <c r="K73" s="21"/>
      <c r="Q73" s="46"/>
      <c r="R73" s="40"/>
      <c r="S73" s="40"/>
      <c r="T73" s="58"/>
      <c r="U73" s="21"/>
      <c r="V73" s="21"/>
      <c r="W73" s="21"/>
    </row>
    <row r="74" spans="2:23" x14ac:dyDescent="0.25">
      <c r="B74" s="24" t="s">
        <v>48</v>
      </c>
      <c r="E74" s="21"/>
      <c r="F74" s="21"/>
      <c r="G74" s="36"/>
      <c r="H74" s="33"/>
      <c r="I74" s="21"/>
      <c r="J74" s="282"/>
      <c r="K74" s="21"/>
      <c r="Q74" s="19"/>
      <c r="R74" s="56"/>
      <c r="S74" s="56"/>
      <c r="T74" s="56"/>
      <c r="U74" s="21"/>
      <c r="V74" s="21"/>
      <c r="W74" s="21"/>
    </row>
    <row r="75" spans="2:23" x14ac:dyDescent="0.25">
      <c r="B75" s="24"/>
      <c r="C75" s="103" t="s">
        <v>36</v>
      </c>
      <c r="D75" s="12" t="s">
        <v>11</v>
      </c>
      <c r="E75" s="59" t="s">
        <v>37</v>
      </c>
      <c r="F75" s="21"/>
      <c r="G75" s="104"/>
      <c r="H75" s="50"/>
      <c r="I75" s="21"/>
      <c r="J75" s="79"/>
      <c r="K75" s="21"/>
      <c r="Q75" s="19"/>
      <c r="R75" s="56"/>
      <c r="S75" s="56"/>
      <c r="T75" s="56"/>
      <c r="U75" s="21"/>
      <c r="V75" s="21"/>
      <c r="W75" s="21"/>
    </row>
    <row r="76" spans="2:23" x14ac:dyDescent="0.25">
      <c r="B76" s="21" t="s">
        <v>49</v>
      </c>
      <c r="C76" s="388">
        <f>+C44</f>
        <v>1.337539521418047E-2</v>
      </c>
      <c r="D76" s="61">
        <f>+E28</f>
        <v>379691759</v>
      </c>
      <c r="E76" s="62">
        <f>E85</f>
        <v>5078527.3361923648</v>
      </c>
      <c r="F76" s="21"/>
      <c r="G76" s="46"/>
      <c r="H76" s="40"/>
      <c r="I76" s="40"/>
      <c r="J76" s="79"/>
      <c r="K76" s="21"/>
      <c r="L76" s="21"/>
      <c r="M76" s="21"/>
      <c r="N76" s="21"/>
      <c r="Q76" s="19"/>
      <c r="R76" s="56"/>
      <c r="S76" s="56"/>
      <c r="T76" s="56"/>
      <c r="U76" s="21"/>
      <c r="V76" s="21"/>
      <c r="W76" s="21"/>
    </row>
    <row r="77" spans="2:23" x14ac:dyDescent="0.25">
      <c r="B77" s="21" t="s">
        <v>50</v>
      </c>
      <c r="C77" s="60"/>
      <c r="D77" s="61"/>
      <c r="E77" s="62">
        <f>+E56</f>
        <v>11006424.969999999</v>
      </c>
      <c r="F77" s="21"/>
      <c r="G77" s="19"/>
      <c r="H77" s="282"/>
      <c r="I77" s="40"/>
      <c r="J77" s="21"/>
      <c r="K77" s="52"/>
      <c r="Q77" s="19"/>
      <c r="R77" s="56"/>
      <c r="S77" s="56"/>
      <c r="T77" s="56"/>
      <c r="U77" s="21"/>
      <c r="V77" s="21"/>
      <c r="W77" s="21"/>
    </row>
    <row r="78" spans="2:23" x14ac:dyDescent="0.25">
      <c r="B78" s="21" t="s">
        <v>51</v>
      </c>
      <c r="C78" s="110">
        <f>+C45</f>
        <v>0.11217207012162043</v>
      </c>
      <c r="D78" s="57">
        <f>+D28</f>
        <v>224922411</v>
      </c>
      <c r="E78" s="56">
        <f>+C78*D78</f>
        <v>25230012.458615933</v>
      </c>
      <c r="F78" s="21"/>
      <c r="G78" s="9"/>
      <c r="H78" s="282"/>
      <c r="I78" s="40"/>
      <c r="J78" s="40"/>
      <c r="K78" s="49"/>
      <c r="Q78" s="19"/>
      <c r="R78" s="56"/>
      <c r="S78" s="56"/>
      <c r="T78" s="56"/>
      <c r="U78" s="21"/>
      <c r="V78" s="21"/>
      <c r="W78" s="21"/>
    </row>
    <row r="79" spans="2:23" ht="15.75" thickBot="1" x14ac:dyDescent="0.3">
      <c r="D79" s="57"/>
      <c r="E79" s="63">
        <f>SUM(E76:E78)</f>
        <v>41314964.764808297</v>
      </c>
      <c r="F79" s="19"/>
      <c r="G79" s="19"/>
      <c r="H79" s="19"/>
      <c r="I79" s="64"/>
      <c r="J79" s="21"/>
      <c r="K79" s="21"/>
      <c r="R79" s="21"/>
      <c r="S79" s="21"/>
      <c r="T79" s="21"/>
      <c r="U79" s="21"/>
      <c r="V79" s="21"/>
      <c r="W79" s="21"/>
    </row>
    <row r="80" spans="2:23" ht="15.75" thickTop="1" x14ac:dyDescent="0.25">
      <c r="D80" s="57"/>
      <c r="E80" s="19"/>
      <c r="F80" s="19"/>
      <c r="G80" s="19"/>
      <c r="H80" s="56"/>
      <c r="I80" s="64"/>
      <c r="J80" s="21"/>
      <c r="K80" s="21"/>
      <c r="R80" s="21"/>
      <c r="S80" s="21"/>
      <c r="T80" s="21"/>
      <c r="U80" s="21"/>
      <c r="V80" s="21"/>
      <c r="W80" s="21"/>
    </row>
    <row r="81" spans="1:15" x14ac:dyDescent="0.25">
      <c r="B81" s="24" t="s">
        <v>82</v>
      </c>
      <c r="C81" s="21" t="s">
        <v>83</v>
      </c>
      <c r="D81" s="21"/>
      <c r="E81" s="40"/>
      <c r="F81" s="56"/>
      <c r="G81" s="19"/>
      <c r="H81" s="56"/>
      <c r="I81" s="64"/>
      <c r="J81" s="21"/>
      <c r="K81" s="21"/>
    </row>
    <row r="82" spans="1:15" x14ac:dyDescent="0.25">
      <c r="E82" s="46"/>
      <c r="F82" s="19"/>
      <c r="G82" s="19"/>
      <c r="H82" s="19"/>
      <c r="I82" s="57"/>
      <c r="J82" s="65"/>
      <c r="K82" s="21"/>
      <c r="L82" s="21"/>
      <c r="M82" s="21"/>
      <c r="N82" s="21"/>
      <c r="O82" s="21"/>
    </row>
    <row r="83" spans="1:15" x14ac:dyDescent="0.25">
      <c r="B83" s="24"/>
      <c r="C83" s="103" t="s">
        <v>36</v>
      </c>
      <c r="D83" s="12" t="s">
        <v>11</v>
      </c>
      <c r="E83" s="37" t="s">
        <v>37</v>
      </c>
      <c r="F83" s="19"/>
      <c r="G83" s="66"/>
      <c r="H83" s="19"/>
      <c r="I83" s="20"/>
      <c r="K83" s="279"/>
      <c r="L83" s="52"/>
      <c r="M83" s="21"/>
      <c r="N83" s="21"/>
      <c r="O83" s="21"/>
    </row>
    <row r="84" spans="1:15" ht="17.25" x14ac:dyDescent="0.4">
      <c r="A84" s="21"/>
      <c r="B84" s="21" t="s">
        <v>52</v>
      </c>
      <c r="C84" s="33">
        <f>((+E54+E55+E60)-(E85/(E28/E11)))/E10</f>
        <v>1.4680326050020051E-2</v>
      </c>
      <c r="D84" s="5">
        <f>+E27</f>
        <v>523169557.13</v>
      </c>
      <c r="E84" s="386">
        <v>7675636.7799999993</v>
      </c>
      <c r="F84" s="387"/>
      <c r="G84" s="21" t="s">
        <v>168</v>
      </c>
      <c r="H84" s="21"/>
      <c r="I84" s="69"/>
      <c r="J84" s="67"/>
      <c r="K84" s="389"/>
      <c r="L84" s="389"/>
      <c r="M84" s="389"/>
      <c r="N84" s="390"/>
      <c r="O84" s="21"/>
    </row>
    <row r="85" spans="1:15" x14ac:dyDescent="0.25">
      <c r="B85" t="s">
        <v>53</v>
      </c>
      <c r="C85" s="33">
        <f>E85/D85</f>
        <v>1.337539521418047E-2</v>
      </c>
      <c r="D85" s="5">
        <f>+E28</f>
        <v>379691759</v>
      </c>
      <c r="E85" s="38">
        <v>5078527.3361923648</v>
      </c>
      <c r="F85" s="387"/>
      <c r="G85" s="196"/>
      <c r="H85" s="56"/>
      <c r="I85" s="69"/>
      <c r="J85" s="67"/>
      <c r="K85" s="391"/>
      <c r="L85" s="391"/>
      <c r="M85" s="392"/>
      <c r="N85" s="162"/>
      <c r="O85" s="21"/>
    </row>
    <row r="86" spans="1:15" ht="15.75" thickBot="1" x14ac:dyDescent="0.3">
      <c r="C86" s="71">
        <f>+E86/D86</f>
        <v>1.412638230072971E-2</v>
      </c>
      <c r="D86" s="72">
        <f>SUM(D84:D85)</f>
        <v>902861316.13</v>
      </c>
      <c r="E86" s="73">
        <f>+E84+E85</f>
        <v>12754164.116192363</v>
      </c>
      <c r="F86" s="68"/>
      <c r="G86" s="80"/>
      <c r="H86" s="282"/>
      <c r="I86" s="74"/>
      <c r="J86" s="19"/>
      <c r="K86" s="162"/>
      <c r="L86" s="162"/>
      <c r="M86" s="21"/>
      <c r="N86" s="162"/>
      <c r="O86" s="21"/>
    </row>
    <row r="87" spans="1:15" ht="15.75" thickTop="1" x14ac:dyDescent="0.25">
      <c r="C87" s="36"/>
      <c r="D87" s="75"/>
      <c r="E87" s="57"/>
      <c r="F87" s="19"/>
      <c r="G87" s="19"/>
      <c r="H87" s="76"/>
      <c r="J87" s="57"/>
      <c r="K87" s="393"/>
      <c r="L87" s="393"/>
      <c r="M87" s="393"/>
      <c r="N87" s="393"/>
      <c r="O87" s="21"/>
    </row>
    <row r="88" spans="1:15" ht="21.75" customHeight="1" x14ac:dyDescent="0.25">
      <c r="B88" s="407"/>
      <c r="C88" s="407"/>
      <c r="D88" s="407"/>
      <c r="E88" s="407"/>
      <c r="F88" s="19"/>
      <c r="G88" s="77"/>
      <c r="H88" s="66"/>
      <c r="I88" s="78"/>
    </row>
  </sheetData>
  <mergeCells count="1">
    <mergeCell ref="B88:E88"/>
  </mergeCells>
  <pageMargins left="0.2" right="0.2" top="0.75" bottom="0.75" header="0.3" footer="0.3"/>
  <pageSetup paperSize="17" scale="75" orientation="portrait" r:id="rId1"/>
  <headerFooter>
    <oddFooter>&amp;L&amp;Z&amp;F&amp;R&amp;D</oddFooter>
  </headerFooter>
  <rowBreaks count="1" manualBreakCount="1">
    <brk id="3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34"/>
  <sheetViews>
    <sheetView showGridLines="0" zoomScaleNormal="100" workbookViewId="0">
      <selection activeCell="B33" sqref="B33"/>
    </sheetView>
  </sheetViews>
  <sheetFormatPr defaultRowHeight="15" x14ac:dyDescent="0.25"/>
  <cols>
    <col min="1" max="1" width="43.5703125" customWidth="1"/>
    <col min="2" max="2" width="11.28515625" customWidth="1"/>
    <col min="3" max="3" width="15.7109375" customWidth="1"/>
    <col min="4" max="4" width="14.85546875" customWidth="1"/>
    <col min="5" max="5" width="15" customWidth="1"/>
    <col min="6" max="6" width="12.7109375" customWidth="1"/>
    <col min="7" max="7" width="15.7109375" bestFit="1" customWidth="1"/>
    <col min="8" max="8" width="13.7109375" bestFit="1" customWidth="1"/>
    <col min="9" max="11" width="13.28515625" customWidth="1"/>
    <col min="12" max="12" width="6.28515625" customWidth="1"/>
    <col min="13" max="13" width="43.5703125" customWidth="1"/>
    <col min="14" max="14" width="11.28515625" customWidth="1"/>
    <col min="15" max="15" width="15.7109375" customWidth="1"/>
    <col min="16" max="20" width="14.85546875" customWidth="1"/>
    <col min="22" max="22" width="43.5703125" customWidth="1"/>
    <col min="23" max="23" width="11.28515625" customWidth="1"/>
    <col min="24" max="24" width="15.7109375" customWidth="1"/>
    <col min="25" max="29" width="14.85546875" customWidth="1"/>
    <col min="30" max="30" width="12.28515625" bestFit="1" customWidth="1"/>
  </cols>
  <sheetData>
    <row r="1" spans="1:32" ht="26.25" x14ac:dyDescent="0.4">
      <c r="A1" s="81" t="s">
        <v>54</v>
      </c>
    </row>
    <row r="3" spans="1:32" ht="18.75" hidden="1" x14ac:dyDescent="0.3">
      <c r="A3" s="1" t="s">
        <v>55</v>
      </c>
      <c r="M3" s="8"/>
      <c r="N3" s="3"/>
      <c r="O3" s="3"/>
      <c r="P3" s="3"/>
      <c r="Q3" s="3"/>
      <c r="R3" s="3"/>
      <c r="S3" s="3"/>
      <c r="T3" s="3"/>
      <c r="U3" s="3"/>
      <c r="V3" s="8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x14ac:dyDescent="0.25">
      <c r="A4" s="2"/>
      <c r="M4" s="82"/>
      <c r="N4" s="3"/>
      <c r="O4" s="3"/>
      <c r="P4" s="3"/>
      <c r="Q4" s="3"/>
      <c r="R4" s="3"/>
      <c r="S4" s="3"/>
      <c r="T4" s="3"/>
      <c r="U4" s="3"/>
      <c r="V4" s="82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25">
      <c r="I5" s="46"/>
      <c r="J5" s="46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18.75" x14ac:dyDescent="0.3">
      <c r="A6" s="1" t="s">
        <v>111</v>
      </c>
      <c r="M6" s="82"/>
      <c r="N6" s="3"/>
      <c r="O6" s="3"/>
      <c r="P6" s="3"/>
      <c r="Q6" s="3"/>
      <c r="R6" s="3"/>
      <c r="S6" s="3"/>
      <c r="T6" s="3"/>
      <c r="U6" s="3"/>
      <c r="V6" s="82"/>
      <c r="W6" s="3"/>
      <c r="X6" s="3"/>
      <c r="Y6" s="3"/>
      <c r="Z6" s="3"/>
      <c r="AA6" s="96"/>
      <c r="AB6" s="3"/>
      <c r="AC6" s="3"/>
      <c r="AD6" s="3"/>
      <c r="AE6" s="3"/>
      <c r="AF6" s="3"/>
    </row>
    <row r="7" spans="1:32" x14ac:dyDescent="0.25">
      <c r="A7" s="2"/>
      <c r="C7" s="279" t="s">
        <v>168</v>
      </c>
      <c r="D7" s="21"/>
      <c r="E7" s="21"/>
      <c r="F7" s="21"/>
      <c r="G7" s="21"/>
      <c r="H7" s="21"/>
      <c r="I7" s="21"/>
      <c r="J7" s="21"/>
      <c r="K7" s="21"/>
      <c r="M7" s="82"/>
      <c r="N7" s="97"/>
      <c r="O7" s="97"/>
      <c r="P7" s="97"/>
      <c r="Q7" s="97"/>
      <c r="R7" s="97"/>
      <c r="S7" s="32"/>
      <c r="T7" s="32"/>
      <c r="V7" s="82"/>
      <c r="W7" s="97"/>
      <c r="X7" s="97"/>
      <c r="Y7" s="97"/>
      <c r="AA7" s="70"/>
    </row>
    <row r="8" spans="1:32" x14ac:dyDescent="0.25">
      <c r="A8" s="2" t="s">
        <v>62</v>
      </c>
      <c r="C8" s="21"/>
      <c r="D8" s="21"/>
      <c r="E8" s="279" t="s">
        <v>168</v>
      </c>
      <c r="F8" s="21"/>
      <c r="G8" s="21"/>
      <c r="H8" s="279" t="s">
        <v>168</v>
      </c>
      <c r="I8" s="279" t="s">
        <v>168</v>
      </c>
      <c r="J8" s="279" t="s">
        <v>168</v>
      </c>
      <c r="K8" s="279" t="s">
        <v>168</v>
      </c>
      <c r="M8" s="3"/>
      <c r="N8" s="17"/>
      <c r="O8" s="18"/>
      <c r="P8" s="19"/>
      <c r="Q8" s="19"/>
      <c r="R8" s="19"/>
      <c r="S8" s="26"/>
      <c r="T8" s="26"/>
      <c r="V8" s="3"/>
      <c r="W8" s="17"/>
      <c r="X8" s="18"/>
      <c r="Y8" s="19"/>
      <c r="AA8" s="70"/>
    </row>
    <row r="9" spans="1:32" ht="30" x14ac:dyDescent="0.25">
      <c r="A9" s="83" t="s">
        <v>56</v>
      </c>
      <c r="B9" s="84" t="s">
        <v>57</v>
      </c>
      <c r="C9" s="85" t="s">
        <v>63</v>
      </c>
      <c r="D9" s="84" t="s">
        <v>58</v>
      </c>
      <c r="E9" s="85" t="s">
        <v>59</v>
      </c>
      <c r="F9" s="84" t="s">
        <v>60</v>
      </c>
      <c r="G9" s="84" t="s">
        <v>11</v>
      </c>
      <c r="H9" s="85" t="s">
        <v>64</v>
      </c>
      <c r="I9" s="85" t="s">
        <v>65</v>
      </c>
      <c r="J9" s="85" t="s">
        <v>61</v>
      </c>
      <c r="K9" s="85" t="s">
        <v>84</v>
      </c>
      <c r="M9" s="3"/>
      <c r="N9" s="17"/>
      <c r="O9" s="18"/>
      <c r="P9" s="19"/>
      <c r="Q9" s="19"/>
      <c r="R9" s="19"/>
      <c r="S9" s="26"/>
      <c r="T9" s="26"/>
      <c r="V9" s="3"/>
      <c r="W9" s="17"/>
      <c r="X9" s="18"/>
      <c r="Y9" s="19"/>
      <c r="AA9" s="70"/>
    </row>
    <row r="10" spans="1:32" x14ac:dyDescent="0.25">
      <c r="A10" s="86" t="s">
        <v>13</v>
      </c>
      <c r="B10" s="111">
        <f>'WRZ - Jan-Dec 2020'!C67</f>
        <v>0.12041500790037643</v>
      </c>
      <c r="C10" s="111">
        <f>'WRZ - Jan-Dec 2020'!C43</f>
        <v>1.4680326050020051E-2</v>
      </c>
      <c r="D10" s="111">
        <f>'WRZ - Jan-Dec 2020'!C49</f>
        <v>0.11772775221898885</v>
      </c>
      <c r="E10" s="111">
        <f>+C10+D10</f>
        <v>0.13240807826900891</v>
      </c>
      <c r="F10" s="271">
        <f>+B10-E10</f>
        <v>-1.199307036863248E-2</v>
      </c>
      <c r="G10" s="272">
        <f>'WRZ - Jan-Dec 2020'!D16</f>
        <v>36707845.845137648</v>
      </c>
      <c r="H10" s="26">
        <f>+G10*B10</f>
        <v>4420175.5474480502</v>
      </c>
      <c r="I10" s="26">
        <f>+G10*C10</f>
        <v>538883.14560049446</v>
      </c>
      <c r="J10" s="26">
        <f>+G10*D10</f>
        <v>4321532.1801492041</v>
      </c>
      <c r="K10" s="26">
        <f>+H10-I10-J10</f>
        <v>-440239.77830164833</v>
      </c>
      <c r="M10" s="3"/>
      <c r="N10" s="9"/>
      <c r="O10" s="9"/>
      <c r="P10" s="19"/>
      <c r="Q10" s="19"/>
      <c r="R10" s="19"/>
      <c r="S10" s="19"/>
      <c r="T10" s="19"/>
      <c r="V10" s="3"/>
      <c r="W10" s="3"/>
      <c r="X10" s="3"/>
      <c r="Y10" s="19"/>
      <c r="AA10" s="70"/>
    </row>
    <row r="11" spans="1:32" x14ac:dyDescent="0.25">
      <c r="A11" s="92" t="s">
        <v>14</v>
      </c>
      <c r="B11" s="112">
        <f>'WRZ - Jan-Dec 2020'!C68</f>
        <v>0.14036367038809494</v>
      </c>
      <c r="C11" s="112">
        <f t="shared" ref="C11:D13" si="0">C10</f>
        <v>1.4680326050020051E-2</v>
      </c>
      <c r="D11" s="112">
        <f t="shared" si="0"/>
        <v>0.11772775221898885</v>
      </c>
      <c r="E11" s="112">
        <f t="shared" ref="E11:E14" si="1">+C11+D11</f>
        <v>0.13240807826900891</v>
      </c>
      <c r="F11" s="273">
        <f t="shared" ref="F11:F14" si="2">+B11-E11</f>
        <v>7.9555921190860301E-3</v>
      </c>
      <c r="G11" s="272">
        <f>'WRZ - Jan-Dec 2020'!D17</f>
        <v>11787556.342719726</v>
      </c>
      <c r="H11" s="26">
        <f t="shared" ref="H11:H14" si="3">+G11*B11</f>
        <v>1654544.6731706096</v>
      </c>
      <c r="I11" s="26">
        <f t="shared" ref="I11:I14" si="4">+G11*C11</f>
        <v>173045.17044410747</v>
      </c>
      <c r="J11" s="26">
        <f t="shared" ref="J11:J14" si="5">+G11*D11</f>
        <v>1387722.5123830782</v>
      </c>
      <c r="K11" s="26">
        <f t="shared" ref="K11:K14" si="6">+H11-I11-J11</f>
        <v>93776.990343424026</v>
      </c>
      <c r="M11" s="3"/>
      <c r="N11" s="3"/>
      <c r="O11" s="3"/>
      <c r="P11" s="3"/>
      <c r="Q11" s="3"/>
      <c r="R11" s="3"/>
      <c r="V11" s="3"/>
      <c r="W11" s="3"/>
      <c r="X11" s="3"/>
      <c r="Y11" s="3"/>
      <c r="AA11" s="70"/>
    </row>
    <row r="12" spans="1:32" x14ac:dyDescent="0.25">
      <c r="A12" s="92" t="s">
        <v>15</v>
      </c>
      <c r="B12" s="112">
        <f>'WRZ - Jan-Dec 2020'!C69</f>
        <v>0.11429887915435859</v>
      </c>
      <c r="C12" s="112">
        <f t="shared" si="0"/>
        <v>1.4680326050020051E-2</v>
      </c>
      <c r="D12" s="112">
        <f t="shared" si="0"/>
        <v>0.11772775221898885</v>
      </c>
      <c r="E12" s="112">
        <f t="shared" si="1"/>
        <v>0.13240807826900891</v>
      </c>
      <c r="F12" s="273">
        <f t="shared" si="2"/>
        <v>-1.8109199114650323E-2</v>
      </c>
      <c r="G12" s="272">
        <f>'WRZ - Jan-Dec 2020'!D18</f>
        <v>296674266.08246899</v>
      </c>
      <c r="H12" s="26">
        <f t="shared" si="3"/>
        <v>33909536.08716815</v>
      </c>
      <c r="I12" s="26">
        <f t="shared" si="4"/>
        <v>4355274.9567410499</v>
      </c>
      <c r="J12" s="26">
        <f t="shared" si="5"/>
        <v>34926794.487107277</v>
      </c>
      <c r="K12" s="26">
        <f t="shared" si="6"/>
        <v>-5372533.3566801772</v>
      </c>
      <c r="M12" s="82"/>
      <c r="N12" s="3"/>
      <c r="O12" s="3"/>
      <c r="P12" s="3"/>
      <c r="Q12" s="3"/>
      <c r="R12" s="3"/>
      <c r="V12" s="82"/>
      <c r="W12" s="3"/>
      <c r="X12" s="3"/>
      <c r="Y12" s="3"/>
    </row>
    <row r="13" spans="1:32" x14ac:dyDescent="0.25">
      <c r="A13" s="92" t="s">
        <v>16</v>
      </c>
      <c r="B13" s="112">
        <f>'WRZ - Jan-Dec 2020'!C70</f>
        <v>0.1297381125262676</v>
      </c>
      <c r="C13" s="112">
        <f t="shared" si="0"/>
        <v>1.4680326050020051E-2</v>
      </c>
      <c r="D13" s="112">
        <f t="shared" si="0"/>
        <v>0.11772775221898885</v>
      </c>
      <c r="E13" s="112">
        <f t="shared" si="1"/>
        <v>0.13240807826900891</v>
      </c>
      <c r="F13" s="273">
        <f t="shared" si="2"/>
        <v>-2.6699657427413093E-3</v>
      </c>
      <c r="G13" s="272">
        <f>'WRZ - Jan-Dec 2020'!D19</f>
        <v>90959449.037395433</v>
      </c>
      <c r="H13" s="26">
        <f t="shared" si="3"/>
        <v>11800907.234540911</v>
      </c>
      <c r="I13" s="26">
        <f t="shared" si="4"/>
        <v>1335314.3691991474</v>
      </c>
      <c r="J13" s="26">
        <f t="shared" si="5"/>
        <v>10708451.478250233</v>
      </c>
      <c r="K13" s="26">
        <f t="shared" si="6"/>
        <v>-242858.61290846951</v>
      </c>
      <c r="M13" s="3"/>
      <c r="N13" s="3"/>
      <c r="O13" s="3"/>
      <c r="P13" s="9"/>
      <c r="Q13" s="9"/>
      <c r="R13" s="9"/>
      <c r="S13" s="46"/>
      <c r="T13" s="46"/>
      <c r="V13" s="3"/>
      <c r="W13" s="3"/>
      <c r="X13" s="3"/>
      <c r="Y13" s="9"/>
    </row>
    <row r="14" spans="1:32" x14ac:dyDescent="0.25">
      <c r="A14" s="92" t="s">
        <v>17</v>
      </c>
      <c r="B14" s="112">
        <f>'WRZ - Jan-Dec 2020'!C71</f>
        <v>0.15406267258657821</v>
      </c>
      <c r="C14" s="112">
        <f>C13</f>
        <v>1.4680326050020051E-2</v>
      </c>
      <c r="D14" s="112">
        <f>D10</f>
        <v>0.11772775221898885</v>
      </c>
      <c r="E14" s="112">
        <f t="shared" si="1"/>
        <v>0.13240807826900891</v>
      </c>
      <c r="F14" s="273">
        <f t="shared" si="2"/>
        <v>2.1654594317569303E-2</v>
      </c>
      <c r="G14" s="272">
        <f>'WRZ - Jan-Dec 2020'!D20</f>
        <v>84986246.667663336</v>
      </c>
      <c r="H14" s="26">
        <f t="shared" si="3"/>
        <v>13093208.294722389</v>
      </c>
      <c r="I14" s="26">
        <f t="shared" si="4"/>
        <v>1247625.8108487278</v>
      </c>
      <c r="J14" s="26">
        <f t="shared" si="5"/>
        <v>10005239.789712535</v>
      </c>
      <c r="K14" s="26">
        <f t="shared" si="6"/>
        <v>1840342.6941611264</v>
      </c>
      <c r="M14" s="3"/>
      <c r="N14" s="3"/>
      <c r="O14" s="3"/>
      <c r="P14" s="9"/>
      <c r="Q14" s="9"/>
      <c r="R14" s="9"/>
      <c r="S14" s="46"/>
      <c r="T14" s="46"/>
      <c r="V14" s="3"/>
      <c r="W14" s="3"/>
      <c r="X14" s="3"/>
      <c r="Y14" s="9"/>
    </row>
    <row r="15" spans="1:32" x14ac:dyDescent="0.25">
      <c r="A15" s="395"/>
      <c r="B15" s="113"/>
      <c r="C15" s="113"/>
      <c r="D15" s="113"/>
      <c r="E15" s="113"/>
      <c r="F15" s="274"/>
      <c r="G15" s="272"/>
      <c r="H15" s="26">
        <v>-1369.8998317867517</v>
      </c>
      <c r="I15" s="26">
        <v>-1150.9243774581701</v>
      </c>
      <c r="J15" s="26">
        <v>0.44760231673717499</v>
      </c>
      <c r="K15" s="26">
        <v>-219.42305664531887</v>
      </c>
      <c r="M15" s="3"/>
      <c r="N15" s="3"/>
      <c r="O15" s="3"/>
      <c r="P15" s="9"/>
      <c r="Q15" s="9"/>
      <c r="R15" s="9"/>
      <c r="S15" s="46"/>
      <c r="T15" s="46"/>
      <c r="V15" s="3"/>
      <c r="W15" s="3"/>
      <c r="X15" s="3"/>
      <c r="Y15" s="9"/>
    </row>
    <row r="16" spans="1:32" ht="15.75" thickBot="1" x14ac:dyDescent="0.3">
      <c r="B16" s="394">
        <f>+H16/G16</f>
        <v>0.12449642904844922</v>
      </c>
      <c r="G16" s="23">
        <f>SUM(G10:G14)</f>
        <v>521115363.97538513</v>
      </c>
      <c r="H16" s="43">
        <f>SUM(H10:H15)</f>
        <v>64877001.937218323</v>
      </c>
      <c r="I16" s="43">
        <f>SUM(I10:I15)</f>
        <v>7648992.5284560686</v>
      </c>
      <c r="J16" s="43">
        <f>SUM(J10:J15)</f>
        <v>61349740.895204648</v>
      </c>
      <c r="K16" s="43">
        <f>SUM(K10:K15)</f>
        <v>-4121731.4864423899</v>
      </c>
      <c r="M16" s="3"/>
      <c r="N16" s="3"/>
      <c r="O16" s="3"/>
      <c r="P16" s="19"/>
      <c r="Q16" s="19"/>
      <c r="R16" s="19"/>
      <c r="S16" s="19"/>
      <c r="T16" s="19"/>
      <c r="V16" s="3"/>
      <c r="W16" s="3"/>
      <c r="X16" s="3"/>
      <c r="Y16" s="19"/>
    </row>
    <row r="17" spans="1:25" x14ac:dyDescent="0.25">
      <c r="A17" s="3"/>
      <c r="B17" s="3"/>
      <c r="C17" s="3"/>
      <c r="D17" s="3"/>
      <c r="E17" s="3"/>
      <c r="M17" s="18"/>
      <c r="N17" s="3"/>
      <c r="O17" s="3"/>
      <c r="P17" s="3"/>
      <c r="Q17" s="3"/>
      <c r="R17" s="3"/>
      <c r="V17" s="3"/>
      <c r="W17" s="3"/>
      <c r="X17" s="3"/>
      <c r="Y17" s="3"/>
    </row>
    <row r="18" spans="1:25" ht="18.75" hidden="1" x14ac:dyDescent="0.3">
      <c r="A18" s="1" t="s">
        <v>66</v>
      </c>
      <c r="M18" s="98"/>
      <c r="N18" s="3"/>
      <c r="O18" s="3"/>
      <c r="P18" s="3"/>
      <c r="Q18" s="3"/>
      <c r="R18" s="3"/>
      <c r="V18" s="3"/>
      <c r="W18" s="3"/>
      <c r="X18" s="3"/>
      <c r="Y18" s="3"/>
    </row>
    <row r="19" spans="1:25" ht="18.75" hidden="1" x14ac:dyDescent="0.3">
      <c r="A19" s="1"/>
      <c r="M19" s="98"/>
      <c r="N19" s="3"/>
      <c r="O19" s="3"/>
      <c r="P19" s="3"/>
      <c r="Q19" s="3"/>
      <c r="R19" s="3"/>
      <c r="V19" s="3"/>
      <c r="W19" s="3"/>
      <c r="X19" s="3"/>
      <c r="Y19" s="3"/>
    </row>
    <row r="20" spans="1:25" hidden="1" x14ac:dyDescent="0.25">
      <c r="A20" s="2" t="s">
        <v>67</v>
      </c>
      <c r="M20" s="98"/>
      <c r="N20" s="3"/>
      <c r="O20" s="3"/>
      <c r="P20" s="3"/>
      <c r="Q20" s="3"/>
      <c r="R20" s="3"/>
      <c r="V20" s="3"/>
      <c r="W20" s="3"/>
      <c r="X20" s="3"/>
      <c r="Y20" s="3"/>
    </row>
    <row r="21" spans="1:25" ht="45" hidden="1" x14ac:dyDescent="0.25">
      <c r="A21" s="99" t="s">
        <v>68</v>
      </c>
      <c r="B21" s="84" t="s">
        <v>57</v>
      </c>
      <c r="C21" s="85" t="s">
        <v>69</v>
      </c>
      <c r="D21" s="85" t="s">
        <v>70</v>
      </c>
      <c r="E21" s="85" t="s">
        <v>59</v>
      </c>
      <c r="F21" s="84" t="s">
        <v>60</v>
      </c>
      <c r="G21" s="84" t="s">
        <v>11</v>
      </c>
      <c r="H21" s="85" t="s">
        <v>71</v>
      </c>
      <c r="I21" s="85" t="s">
        <v>72</v>
      </c>
      <c r="J21" s="85" t="s">
        <v>73</v>
      </c>
      <c r="K21" s="85" t="s">
        <v>74</v>
      </c>
      <c r="M21" s="51"/>
      <c r="N21" s="100"/>
    </row>
    <row r="22" spans="1:25" hidden="1" x14ac:dyDescent="0.25">
      <c r="A22" s="86" t="s">
        <v>13</v>
      </c>
      <c r="B22" s="101" t="e">
        <f>+#REF!-B10</f>
        <v>#REF!</v>
      </c>
      <c r="C22" s="87" t="e">
        <f>+#REF!-C10</f>
        <v>#REF!</v>
      </c>
      <c r="D22" s="87" t="e">
        <f>+#REF!-D10</f>
        <v>#REF!</v>
      </c>
      <c r="E22" s="87" t="e">
        <f>+#REF!-E10</f>
        <v>#REF!</v>
      </c>
      <c r="F22" s="88" t="e">
        <f>+#REF!-F10</f>
        <v>#REF!</v>
      </c>
      <c r="G22" s="31" t="e">
        <f>+#REF!-G10</f>
        <v>#REF!</v>
      </c>
      <c r="H22" s="26" t="e">
        <f>+H10-#REF!</f>
        <v>#REF!</v>
      </c>
      <c r="I22" s="26" t="e">
        <f>+I10-#REF!</f>
        <v>#REF!</v>
      </c>
      <c r="J22" s="26" t="e">
        <f>+J10-#REF!</f>
        <v>#REF!</v>
      </c>
      <c r="K22" s="26" t="e">
        <f>+H22-I22-J22</f>
        <v>#REF!</v>
      </c>
      <c r="M22" s="46"/>
      <c r="N22" s="67"/>
    </row>
    <row r="23" spans="1:25" hidden="1" x14ac:dyDescent="0.25">
      <c r="A23" s="92" t="s">
        <v>14</v>
      </c>
      <c r="B23" s="89" t="e">
        <f>+#REF!-B11</f>
        <v>#REF!</v>
      </c>
      <c r="C23" s="90" t="e">
        <f>+#REF!-C11</f>
        <v>#REF!</v>
      </c>
      <c r="D23" s="90" t="e">
        <f>+#REF!-D11</f>
        <v>#REF!</v>
      </c>
      <c r="E23" s="90" t="e">
        <f>+#REF!-E11</f>
        <v>#REF!</v>
      </c>
      <c r="F23" s="91" t="e">
        <f>+#REF!-F11</f>
        <v>#REF!</v>
      </c>
      <c r="G23" s="31" t="e">
        <f>+#REF!-G11</f>
        <v>#REF!</v>
      </c>
      <c r="H23" s="26" t="e">
        <f>+H11-#REF!</f>
        <v>#REF!</v>
      </c>
      <c r="I23" s="26" t="e">
        <f>+I11-#REF!</f>
        <v>#REF!</v>
      </c>
      <c r="J23" s="26" t="e">
        <f>+J11-#REF!</f>
        <v>#REF!</v>
      </c>
      <c r="K23" s="26" t="e">
        <f t="shared" ref="K23:K26" si="7">+H23-I23-J23</f>
        <v>#REF!</v>
      </c>
      <c r="M23" s="46"/>
      <c r="N23" s="67"/>
    </row>
    <row r="24" spans="1:25" hidden="1" x14ac:dyDescent="0.25">
      <c r="A24" s="92" t="s">
        <v>15</v>
      </c>
      <c r="B24" s="89" t="e">
        <f>+#REF!-B12</f>
        <v>#REF!</v>
      </c>
      <c r="C24" s="90" t="e">
        <f>+#REF!-C12</f>
        <v>#REF!</v>
      </c>
      <c r="D24" s="90" t="e">
        <f>+#REF!-D12</f>
        <v>#REF!</v>
      </c>
      <c r="E24" s="90" t="e">
        <f>+#REF!-E12</f>
        <v>#REF!</v>
      </c>
      <c r="F24" s="91" t="e">
        <f>+#REF!-F12</f>
        <v>#REF!</v>
      </c>
      <c r="G24" s="31" t="e">
        <f>+#REF!-G12</f>
        <v>#REF!</v>
      </c>
      <c r="H24" s="26" t="e">
        <f>+H12-#REF!</f>
        <v>#REF!</v>
      </c>
      <c r="I24" s="26" t="e">
        <f>+I12-#REF!</f>
        <v>#REF!</v>
      </c>
      <c r="J24" s="26" t="e">
        <f>+J12-#REF!</f>
        <v>#REF!</v>
      </c>
      <c r="K24" s="26" t="e">
        <f t="shared" si="7"/>
        <v>#REF!</v>
      </c>
      <c r="M24" s="46"/>
      <c r="N24" s="67"/>
    </row>
    <row r="25" spans="1:25" hidden="1" x14ac:dyDescent="0.25">
      <c r="A25" s="92" t="s">
        <v>16</v>
      </c>
      <c r="B25" s="89" t="e">
        <f>+#REF!-B13</f>
        <v>#REF!</v>
      </c>
      <c r="C25" s="90" t="e">
        <f>+#REF!-C13</f>
        <v>#REF!</v>
      </c>
      <c r="D25" s="90" t="e">
        <f>+#REF!-D13</f>
        <v>#REF!</v>
      </c>
      <c r="E25" s="90" t="e">
        <f>+#REF!-E13</f>
        <v>#REF!</v>
      </c>
      <c r="F25" s="91" t="e">
        <f>+#REF!-F13</f>
        <v>#REF!</v>
      </c>
      <c r="G25" s="31" t="e">
        <f>+#REF!-G13</f>
        <v>#REF!</v>
      </c>
      <c r="H25" s="26" t="e">
        <f>+H13-#REF!</f>
        <v>#REF!</v>
      </c>
      <c r="I25" s="26" t="e">
        <f>+I13-#REF!</f>
        <v>#REF!</v>
      </c>
      <c r="J25" s="26" t="e">
        <f>+J13-#REF!</f>
        <v>#REF!</v>
      </c>
      <c r="K25" s="26" t="e">
        <f t="shared" si="7"/>
        <v>#REF!</v>
      </c>
      <c r="M25" s="46"/>
      <c r="N25" s="67"/>
    </row>
    <row r="26" spans="1:25" hidden="1" x14ac:dyDescent="0.25">
      <c r="A26" s="93" t="s">
        <v>17</v>
      </c>
      <c r="B26" s="102" t="e">
        <f>+#REF!-B14</f>
        <v>#REF!</v>
      </c>
      <c r="C26" s="94" t="e">
        <f>+#REF!-C14</f>
        <v>#REF!</v>
      </c>
      <c r="D26" s="94" t="e">
        <f>+#REF!-D14</f>
        <v>#REF!</v>
      </c>
      <c r="E26" s="94" t="e">
        <f>+#REF!-E14</f>
        <v>#REF!</v>
      </c>
      <c r="F26" s="95" t="e">
        <f>+#REF!-F14</f>
        <v>#REF!</v>
      </c>
      <c r="G26" s="31" t="e">
        <f>+#REF!-G14</f>
        <v>#REF!</v>
      </c>
      <c r="H26" s="26" t="e">
        <f>+H14-#REF!</f>
        <v>#REF!</v>
      </c>
      <c r="I26" s="26" t="e">
        <f>+I14-#REF!</f>
        <v>#REF!</v>
      </c>
      <c r="J26" s="26" t="e">
        <f>+J14-#REF!</f>
        <v>#REF!</v>
      </c>
      <c r="K26" s="26" t="e">
        <f t="shared" si="7"/>
        <v>#REF!</v>
      </c>
      <c r="M26" s="46"/>
      <c r="N26" s="67"/>
    </row>
    <row r="27" spans="1:25" ht="15.75" hidden="1" thickBot="1" x14ac:dyDescent="0.3">
      <c r="G27" s="23" t="e">
        <f>SUM(G22:G26)</f>
        <v>#REF!</v>
      </c>
      <c r="H27" s="63" t="e">
        <f t="shared" ref="H27:J27" si="8">SUM(H22:H26)</f>
        <v>#REF!</v>
      </c>
      <c r="I27" s="63" t="e">
        <f t="shared" si="8"/>
        <v>#REF!</v>
      </c>
      <c r="J27" s="63" t="e">
        <f t="shared" si="8"/>
        <v>#REF!</v>
      </c>
      <c r="K27" s="63" t="e">
        <f>SUM(K22:K26)</f>
        <v>#REF!</v>
      </c>
    </row>
    <row r="28" spans="1:25" x14ac:dyDescent="0.25">
      <c r="K28" s="46"/>
    </row>
    <row r="29" spans="1:25" x14ac:dyDescent="0.25">
      <c r="G29" s="6"/>
      <c r="H29" s="6"/>
      <c r="I29" s="6"/>
      <c r="J29" s="6"/>
      <c r="K29" s="6"/>
    </row>
    <row r="30" spans="1:25" x14ac:dyDescent="0.25">
      <c r="F30" s="3"/>
      <c r="G30" s="57"/>
      <c r="H30" s="57"/>
      <c r="I30" s="57"/>
      <c r="J30" s="57"/>
      <c r="K30" s="57"/>
      <c r="L30" s="3"/>
      <c r="M30" s="3"/>
    </row>
    <row r="31" spans="1:25" x14ac:dyDescent="0.25">
      <c r="F31" s="3"/>
      <c r="G31" s="57"/>
      <c r="H31" s="57"/>
      <c r="I31" s="57"/>
      <c r="J31" s="57"/>
      <c r="K31" s="57"/>
      <c r="L31" s="3"/>
      <c r="M31" s="3"/>
    </row>
    <row r="32" spans="1:25" x14ac:dyDescent="0.25">
      <c r="F32" s="3"/>
      <c r="G32" s="57"/>
      <c r="H32" s="57"/>
      <c r="I32" s="57"/>
      <c r="J32" s="57"/>
      <c r="K32" s="57"/>
      <c r="L32" s="3"/>
      <c r="M32" s="3"/>
    </row>
    <row r="33" spans="6:13" x14ac:dyDescent="0.25">
      <c r="F33" s="3"/>
      <c r="G33" s="3"/>
      <c r="H33" s="3"/>
      <c r="I33" s="3"/>
      <c r="J33" s="3"/>
      <c r="K33" s="3"/>
      <c r="L33" s="3"/>
      <c r="M33" s="3"/>
    </row>
    <row r="34" spans="6:13" x14ac:dyDescent="0.25">
      <c r="F34" s="3"/>
      <c r="G34" s="18"/>
      <c r="H34" s="18"/>
      <c r="I34" s="18"/>
      <c r="J34" s="18"/>
      <c r="K34" s="18"/>
      <c r="L34" s="3"/>
      <c r="M34" s="3"/>
    </row>
  </sheetData>
  <pageMargins left="0.2" right="0.2" top="0.75" bottom="0.75" header="0.3" footer="0.3"/>
  <pageSetup scale="74" orientation="landscape" r:id="rId1"/>
  <headerFooter>
    <oddFooter>&amp;L&amp;Z&amp;F&amp;R&amp;D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G91"/>
  <sheetViews>
    <sheetView topLeftCell="B14" workbookViewId="0">
      <selection activeCell="C54" sqref="C54"/>
    </sheetView>
  </sheetViews>
  <sheetFormatPr defaultRowHeight="15" x14ac:dyDescent="0.25"/>
  <cols>
    <col min="2" max="2" width="3.7109375" customWidth="1"/>
    <col min="3" max="3" width="49.5703125" bestFit="1" customWidth="1"/>
    <col min="4" max="4" width="7" bestFit="1" customWidth="1"/>
    <col min="5" max="5" width="13.5703125" bestFit="1" customWidth="1"/>
    <col min="6" max="6" width="14" customWidth="1"/>
    <col min="7" max="7" width="12.28515625" bestFit="1" customWidth="1"/>
    <col min="8" max="8" width="12.7109375" bestFit="1" customWidth="1"/>
    <col min="9" max="9" width="11.5703125" bestFit="1" customWidth="1"/>
    <col min="10" max="10" width="10.85546875" bestFit="1" customWidth="1"/>
    <col min="11" max="11" width="9.7109375" bestFit="1" customWidth="1"/>
    <col min="13" max="13" width="15" bestFit="1" customWidth="1"/>
    <col min="14" max="14" width="15.140625" bestFit="1" customWidth="1"/>
    <col min="15" max="16" width="14.140625" bestFit="1" customWidth="1"/>
    <col min="17" max="17" width="14.42578125" bestFit="1" customWidth="1"/>
    <col min="18" max="20" width="14.28515625" bestFit="1" customWidth="1"/>
    <col min="21" max="21" width="15.28515625" bestFit="1" customWidth="1"/>
    <col min="22" max="22" width="14.28515625" bestFit="1" customWidth="1"/>
    <col min="23" max="23" width="15" bestFit="1" customWidth="1"/>
    <col min="24" max="24" width="12.42578125" bestFit="1" customWidth="1"/>
    <col min="25" max="25" width="34.7109375" bestFit="1" customWidth="1"/>
    <col min="26" max="29" width="14.28515625" bestFit="1" customWidth="1"/>
    <col min="30" max="30" width="15.28515625" bestFit="1" customWidth="1"/>
    <col min="31" max="31" width="11.5703125" bestFit="1" customWidth="1"/>
    <col min="32" max="32" width="15.28515625" bestFit="1" customWidth="1"/>
  </cols>
  <sheetData>
    <row r="2" spans="2:33" x14ac:dyDescent="0.25">
      <c r="B2" s="161" t="s">
        <v>227</v>
      </c>
      <c r="C2" s="4"/>
      <c r="D2" s="4"/>
      <c r="E2" s="4"/>
      <c r="F2" s="4"/>
      <c r="G2" s="4"/>
      <c r="H2" s="4"/>
      <c r="L2" s="115" t="s">
        <v>228</v>
      </c>
      <c r="Y2" s="316" t="s">
        <v>222</v>
      </c>
      <c r="Z2" s="316"/>
      <c r="AA2" s="316"/>
      <c r="AB2" s="316"/>
      <c r="AC2" s="316"/>
    </row>
    <row r="3" spans="2:33" x14ac:dyDescent="0.25">
      <c r="B3" s="4"/>
      <c r="C3" s="4"/>
      <c r="D3" s="4"/>
      <c r="E3" s="4"/>
      <c r="F3" s="4"/>
      <c r="G3" s="4"/>
      <c r="H3" s="4"/>
    </row>
    <row r="4" spans="2:33" ht="18" x14ac:dyDescent="0.35">
      <c r="B4" s="128" t="s">
        <v>248</v>
      </c>
      <c r="C4" s="119"/>
      <c r="D4" s="120"/>
      <c r="E4" s="129">
        <v>0</v>
      </c>
      <c r="F4" s="120"/>
      <c r="M4" s="116" t="s">
        <v>229</v>
      </c>
      <c r="N4" s="116"/>
      <c r="O4" s="116"/>
      <c r="P4" s="116"/>
      <c r="Q4" s="116"/>
      <c r="R4" s="116"/>
      <c r="S4" s="116"/>
      <c r="T4" s="117" t="s">
        <v>85</v>
      </c>
      <c r="Z4" s="342" t="s">
        <v>224</v>
      </c>
      <c r="AA4" s="342" t="s">
        <v>225</v>
      </c>
      <c r="AB4" s="342" t="s">
        <v>226</v>
      </c>
      <c r="AC4" s="342" t="s">
        <v>168</v>
      </c>
      <c r="AD4" s="342" t="s">
        <v>168</v>
      </c>
      <c r="AE4" s="342" t="s">
        <v>168</v>
      </c>
      <c r="AF4" s="342" t="s">
        <v>230</v>
      </c>
    </row>
    <row r="5" spans="2:33" ht="16.5" x14ac:dyDescent="0.3">
      <c r="B5" s="121"/>
      <c r="C5" s="121"/>
      <c r="D5" s="121"/>
      <c r="E5" s="127"/>
      <c r="F5" s="126"/>
      <c r="G5" s="344"/>
      <c r="H5" s="344"/>
      <c r="I5" s="344"/>
      <c r="Y5" t="s">
        <v>187</v>
      </c>
      <c r="Z5" s="7"/>
      <c r="AA5" s="7"/>
      <c r="AB5" s="7"/>
      <c r="AC5" s="7"/>
      <c r="AF5" s="47">
        <f>+E34</f>
        <v>523169557.13</v>
      </c>
      <c r="AG5" s="21"/>
    </row>
    <row r="6" spans="2:33" ht="16.5" x14ac:dyDescent="0.3">
      <c r="B6" s="121"/>
      <c r="C6" s="121"/>
      <c r="D6" s="6"/>
      <c r="E6" s="6"/>
      <c r="F6" s="6"/>
      <c r="G6" s="344"/>
      <c r="H6" s="344"/>
      <c r="I6" s="344"/>
      <c r="K6" s="305" t="s">
        <v>211</v>
      </c>
      <c r="L6" t="s">
        <v>86</v>
      </c>
      <c r="M6" s="47">
        <f>-'WRZ - Jan-Dec 2020'!J38</f>
        <v>-65133993.410000004</v>
      </c>
      <c r="N6" s="47"/>
      <c r="O6" s="47"/>
      <c r="P6" s="47"/>
      <c r="Q6" s="47"/>
      <c r="R6" s="47"/>
      <c r="S6" s="47"/>
      <c r="T6" s="7">
        <f>SUM(M6:S6)</f>
        <v>-65133993.410000004</v>
      </c>
      <c r="Y6" t="s">
        <v>188</v>
      </c>
      <c r="Z6" s="7">
        <f>'WRZ - Jan-Dec 2020'!N44</f>
        <v>0</v>
      </c>
      <c r="AA6" s="7">
        <f>'WRZ - Jan-Dec 2020'!O44</f>
        <v>0</v>
      </c>
      <c r="AB6" s="7">
        <f>'WRZ - Jan-Dec 2020'!P44</f>
        <v>0</v>
      </c>
      <c r="AC6" s="7">
        <f>'WRZ - Jan-Dec 2020'!Q44</f>
        <v>0</v>
      </c>
      <c r="AD6" s="7">
        <f>'WRZ - Jan-Dec 2020'!R44</f>
        <v>0</v>
      </c>
      <c r="AE6" s="7">
        <f>'WRZ - Jan-Dec 2020'!S44</f>
        <v>0</v>
      </c>
      <c r="AF6" s="7">
        <f>SUM(Z6:AE6)</f>
        <v>0</v>
      </c>
    </row>
    <row r="7" spans="2:33" ht="16.5" x14ac:dyDescent="0.3">
      <c r="B7" s="121"/>
      <c r="C7" s="131" t="s">
        <v>87</v>
      </c>
      <c r="D7" s="6"/>
      <c r="E7" s="6">
        <f>T8</f>
        <v>-57458356.630000003</v>
      </c>
      <c r="F7" s="130"/>
      <c r="G7" s="345">
        <f>-T6</f>
        <v>65133993.410000004</v>
      </c>
      <c r="H7" s="345">
        <f>I35</f>
        <v>-255621.57294988798</v>
      </c>
      <c r="I7" s="345">
        <f>SUM(G7:H7)</f>
        <v>64878371.837050118</v>
      </c>
      <c r="K7" s="305" t="s">
        <v>211</v>
      </c>
      <c r="L7" t="s">
        <v>88</v>
      </c>
      <c r="M7" s="47">
        <f>'WRZ - Jan-Dec 2020'!E84</f>
        <v>7675636.7799999993</v>
      </c>
      <c r="N7" s="47"/>
      <c r="O7" s="47"/>
      <c r="P7" s="47"/>
      <c r="Q7" s="47"/>
      <c r="R7" s="47"/>
      <c r="S7" s="47"/>
      <c r="T7" s="7">
        <f>SUM(M7:S7)</f>
        <v>7675636.7799999993</v>
      </c>
      <c r="AF7" s="7">
        <f>SUM(AF5:AF6)</f>
        <v>523169557.13</v>
      </c>
    </row>
    <row r="8" spans="2:33" ht="16.5" x14ac:dyDescent="0.3">
      <c r="B8" s="122"/>
      <c r="C8" s="134" t="s">
        <v>168</v>
      </c>
      <c r="D8" s="6"/>
      <c r="E8" s="6"/>
      <c r="F8" s="130"/>
      <c r="G8" s="345">
        <f>T7</f>
        <v>7675636.7799999993</v>
      </c>
      <c r="H8" s="345">
        <f>I39</f>
        <v>-30156.225279465481</v>
      </c>
      <c r="I8" s="345">
        <f>SUM(G8:H8)</f>
        <v>7645480.554720534</v>
      </c>
      <c r="M8" s="7">
        <f>SUM(M6:M7)</f>
        <v>-57458356.630000003</v>
      </c>
      <c r="N8" s="7">
        <f t="shared" ref="N8:S8" si="0">SUM(N6:N7)</f>
        <v>0</v>
      </c>
      <c r="O8" s="7">
        <f t="shared" si="0"/>
        <v>0</v>
      </c>
      <c r="P8" s="7">
        <f t="shared" si="0"/>
        <v>0</v>
      </c>
      <c r="Q8" s="7">
        <f t="shared" si="0"/>
        <v>0</v>
      </c>
      <c r="R8" s="7">
        <f t="shared" si="0"/>
        <v>0</v>
      </c>
      <c r="S8" s="7">
        <f t="shared" si="0"/>
        <v>0</v>
      </c>
      <c r="T8" s="7">
        <f>SUM(T6:T7)</f>
        <v>-57458356.630000003</v>
      </c>
    </row>
    <row r="9" spans="2:33" ht="16.5" x14ac:dyDescent="0.3">
      <c r="B9" s="122"/>
      <c r="C9" s="134" t="s">
        <v>168</v>
      </c>
      <c r="D9" s="6"/>
      <c r="E9" s="6"/>
      <c r="F9" s="130"/>
      <c r="G9" s="346">
        <f>G7-G8</f>
        <v>57458356.630000003</v>
      </c>
      <c r="H9" s="346">
        <f>H7-H8</f>
        <v>-225465.34767042249</v>
      </c>
      <c r="I9" s="346">
        <f>I7-I8</f>
        <v>57232891.282329582</v>
      </c>
      <c r="AF9" s="267">
        <f>AF5/AF7</f>
        <v>1</v>
      </c>
    </row>
    <row r="10" spans="2:33" ht="16.5" x14ac:dyDescent="0.3">
      <c r="B10" s="121"/>
      <c r="C10" s="132" t="s">
        <v>89</v>
      </c>
      <c r="D10" s="6"/>
      <c r="E10" s="6"/>
      <c r="F10" s="130"/>
      <c r="G10" s="345">
        <f>E12</f>
        <v>13479154.73</v>
      </c>
      <c r="H10" s="345">
        <f>E13</f>
        <v>277441.48</v>
      </c>
      <c r="I10" s="345">
        <f>SUM(G10:H10)</f>
        <v>13756596.210000001</v>
      </c>
      <c r="M10" s="342" t="s">
        <v>224</v>
      </c>
      <c r="N10" s="342" t="s">
        <v>225</v>
      </c>
      <c r="O10" s="342" t="s">
        <v>226</v>
      </c>
      <c r="P10" s="342" t="s">
        <v>168</v>
      </c>
      <c r="Q10" s="342" t="s">
        <v>168</v>
      </c>
      <c r="R10" s="342"/>
      <c r="AF10" s="267">
        <f>AF6/AF7</f>
        <v>0</v>
      </c>
    </row>
    <row r="11" spans="2:33" ht="16.5" x14ac:dyDescent="0.3">
      <c r="B11" s="341"/>
      <c r="C11" s="132" t="s">
        <v>90</v>
      </c>
      <c r="D11" s="133">
        <v>1142</v>
      </c>
      <c r="E11" s="6">
        <f>T11</f>
        <v>579679.62000000104</v>
      </c>
      <c r="F11" s="130"/>
      <c r="G11" s="345">
        <f>G9-G10</f>
        <v>43979201.900000006</v>
      </c>
      <c r="H11" s="345">
        <f>H9-H10</f>
        <v>-502906.8276704225</v>
      </c>
      <c r="I11" s="345">
        <f>SUM(G11:H11)</f>
        <v>43476295.072329581</v>
      </c>
      <c r="K11" s="305" t="s">
        <v>211</v>
      </c>
      <c r="L11" t="s">
        <v>240</v>
      </c>
      <c r="M11" s="307">
        <v>4099728.31</v>
      </c>
      <c r="N11" s="307">
        <v>4570440.45</v>
      </c>
      <c r="O11" s="307">
        <v>5565886.9800000004</v>
      </c>
      <c r="P11" s="307"/>
      <c r="Q11" s="307"/>
      <c r="R11" s="307"/>
      <c r="S11" s="307"/>
      <c r="T11" s="7">
        <f>SUM(M11:O12)</f>
        <v>579679.62000000104</v>
      </c>
      <c r="U11" t="s">
        <v>138</v>
      </c>
    </row>
    <row r="12" spans="2:33" ht="16.5" x14ac:dyDescent="0.3">
      <c r="B12" s="339"/>
      <c r="C12" s="338" t="s">
        <v>91</v>
      </c>
      <c r="D12" s="133">
        <v>148</v>
      </c>
      <c r="E12" s="6">
        <f>T13</f>
        <v>13479154.73</v>
      </c>
      <c r="F12" s="130"/>
      <c r="G12" s="345"/>
      <c r="H12" s="345"/>
      <c r="I12" s="345">
        <f>E11</f>
        <v>579679.62000000104</v>
      </c>
      <c r="K12" s="305"/>
      <c r="L12" s="343" t="s">
        <v>241</v>
      </c>
      <c r="M12" s="307">
        <v>-4680222.6900000004</v>
      </c>
      <c r="N12" s="307">
        <v>-4242070.0599999996</v>
      </c>
      <c r="O12" s="307">
        <v>-4734083.37</v>
      </c>
      <c r="P12" s="307"/>
      <c r="Q12" s="307"/>
      <c r="R12" s="307"/>
      <c r="S12" s="307"/>
      <c r="T12" s="7"/>
      <c r="Y12" s="6" t="s">
        <v>189</v>
      </c>
      <c r="Z12" s="6">
        <f>'WRZ - Jan-Dec 2020'!N48</f>
        <v>0</v>
      </c>
      <c r="AA12" s="6">
        <f>'WRZ - Jan-Dec 2020'!O48</f>
        <v>0</v>
      </c>
      <c r="AB12" s="6">
        <f>'WRZ - Jan-Dec 2020'!P48</f>
        <v>0</v>
      </c>
      <c r="AC12" s="6">
        <f>'WRZ - Jan-Dec 2020'!Q48</f>
        <v>0</v>
      </c>
      <c r="AD12" s="6">
        <f>'WRZ - Jan-Dec 2020'!R48</f>
        <v>0</v>
      </c>
      <c r="AE12" s="6">
        <f>'WRZ - Jan-Dec 2020'!S48</f>
        <v>0</v>
      </c>
      <c r="AF12" s="6">
        <f>SUM(Z12:AE12)</f>
        <v>0</v>
      </c>
    </row>
    <row r="13" spans="2:33" ht="16.5" x14ac:dyDescent="0.3">
      <c r="B13" s="340"/>
      <c r="C13" s="338" t="s">
        <v>234</v>
      </c>
      <c r="D13" s="6">
        <v>148</v>
      </c>
      <c r="E13" s="29">
        <v>277441.48</v>
      </c>
      <c r="F13" s="305" t="s">
        <v>235</v>
      </c>
      <c r="G13" s="345"/>
      <c r="H13" s="344"/>
      <c r="I13" s="345">
        <f>I11-I12</f>
        <v>42896615.452329576</v>
      </c>
      <c r="K13" s="305" t="s">
        <v>211</v>
      </c>
      <c r="L13" t="s">
        <v>139</v>
      </c>
      <c r="M13" s="307">
        <v>4397279.57</v>
      </c>
      <c r="N13" s="307">
        <v>4280990.87</v>
      </c>
      <c r="O13" s="29">
        <v>4800884.29</v>
      </c>
      <c r="P13" s="29"/>
      <c r="Q13" s="29"/>
      <c r="R13" s="29"/>
      <c r="S13" s="315"/>
      <c r="T13" s="7">
        <f>SUM(M13:S13)</f>
        <v>13479154.73</v>
      </c>
      <c r="U13" t="s">
        <v>140</v>
      </c>
    </row>
    <row r="14" spans="2:33" x14ac:dyDescent="0.25">
      <c r="B14" s="4"/>
      <c r="C14" s="132" t="s">
        <v>121</v>
      </c>
      <c r="D14" s="133">
        <v>1142</v>
      </c>
      <c r="E14" s="29">
        <v>-276782</v>
      </c>
      <c r="F14" s="305" t="s">
        <v>203</v>
      </c>
      <c r="AF14">
        <f>AF12/AF7</f>
        <v>0</v>
      </c>
    </row>
    <row r="15" spans="2:33" ht="16.5" x14ac:dyDescent="0.3">
      <c r="B15" s="121"/>
      <c r="C15" s="132" t="s">
        <v>193</v>
      </c>
      <c r="D15" s="6"/>
      <c r="E15" s="6">
        <f>-I35+I39</f>
        <v>225465.34767042249</v>
      </c>
      <c r="F15" s="6"/>
      <c r="AF15">
        <f>AF14-1</f>
        <v>-1</v>
      </c>
      <c r="AG15" t="s">
        <v>190</v>
      </c>
    </row>
    <row r="16" spans="2:33" ht="18.75" thickBot="1" x14ac:dyDescent="0.4">
      <c r="B16" s="128" t="s">
        <v>92</v>
      </c>
      <c r="C16" s="119"/>
      <c r="D16" s="6"/>
      <c r="E16" s="124">
        <f>SUM(E4:E15)</f>
        <v>-43173397.452329583</v>
      </c>
      <c r="F16" s="6"/>
      <c r="M16" s="342" t="s">
        <v>232</v>
      </c>
      <c r="N16" s="342"/>
      <c r="V16" s="30"/>
      <c r="W16" s="30"/>
    </row>
    <row r="17" spans="2:33" ht="15.75" thickBot="1" x14ac:dyDescent="0.3">
      <c r="B17" s="4"/>
      <c r="C17" s="4"/>
      <c r="D17" s="6"/>
      <c r="E17" s="6"/>
      <c r="F17" s="6"/>
      <c r="M17" s="6">
        <f>+E7</f>
        <v>-57458356.630000003</v>
      </c>
      <c r="N17" s="6" t="s">
        <v>252</v>
      </c>
      <c r="O17" s="160"/>
      <c r="P17" s="160"/>
      <c r="Q17" s="160"/>
      <c r="R17" s="160"/>
      <c r="S17" s="160"/>
      <c r="T17" s="160"/>
      <c r="U17" s="160"/>
      <c r="V17" s="30"/>
      <c r="W17" s="30"/>
      <c r="Y17" t="s">
        <v>214</v>
      </c>
      <c r="Z17" s="7">
        <f>Z12-Z18</f>
        <v>0</v>
      </c>
      <c r="AA17" s="7">
        <f t="shared" ref="AA17:AE17" si="1">AA12-AA18</f>
        <v>0</v>
      </c>
      <c r="AB17" s="7">
        <f t="shared" si="1"/>
        <v>0</v>
      </c>
      <c r="AC17" s="7">
        <f t="shared" si="1"/>
        <v>0</v>
      </c>
      <c r="AD17" s="7">
        <f t="shared" si="1"/>
        <v>0</v>
      </c>
      <c r="AE17" s="7">
        <f t="shared" si="1"/>
        <v>0</v>
      </c>
      <c r="AF17" s="7">
        <f>SUM(Z17:AE17)</f>
        <v>0</v>
      </c>
      <c r="AG17" s="267" t="e">
        <f>AF17/AF19</f>
        <v>#DIV/0!</v>
      </c>
    </row>
    <row r="18" spans="2:33" ht="15.75" thickBot="1" x14ac:dyDescent="0.3">
      <c r="B18" s="142" t="s">
        <v>93</v>
      </c>
      <c r="C18" s="143"/>
      <c r="D18" s="144"/>
      <c r="E18" s="145">
        <f>E11+E14</f>
        <v>302897.62000000104</v>
      </c>
      <c r="F18" s="6"/>
      <c r="M18" s="6">
        <f>+E15</f>
        <v>225465.34767042249</v>
      </c>
      <c r="N18" s="6" t="s">
        <v>253</v>
      </c>
      <c r="O18" s="160"/>
      <c r="P18" s="160"/>
      <c r="Q18" s="160"/>
      <c r="R18" s="160"/>
      <c r="S18" s="160"/>
      <c r="T18" s="160"/>
      <c r="U18" s="160"/>
      <c r="V18" s="30"/>
      <c r="W18" s="30"/>
      <c r="Y18" t="s">
        <v>213</v>
      </c>
      <c r="Z18" s="7">
        <f>Z6+(Z6*$AF$15)</f>
        <v>0</v>
      </c>
      <c r="AA18" s="7">
        <f>AA6+(AA6*$AF$15)</f>
        <v>0</v>
      </c>
      <c r="AB18" s="7">
        <f>AB6+(AB6*$AF$15)</f>
        <v>0</v>
      </c>
      <c r="AC18" s="7">
        <f>AC6+(AC6*$AF$15)</f>
        <v>0</v>
      </c>
      <c r="AD18" s="7">
        <f t="shared" ref="AD18:AE18" si="2">AD6+(AD6*$AF$15)</f>
        <v>0</v>
      </c>
      <c r="AE18" s="7">
        <f t="shared" si="2"/>
        <v>0</v>
      </c>
      <c r="AF18" s="7">
        <f>AF6+(AF6*$AF$15)</f>
        <v>0</v>
      </c>
      <c r="AG18" s="267" t="e">
        <f>AF18/AF19</f>
        <v>#DIV/0!</v>
      </c>
    </row>
    <row r="19" spans="2:33" x14ac:dyDescent="0.25">
      <c r="B19" s="4"/>
      <c r="C19" s="4"/>
      <c r="D19" s="4"/>
      <c r="E19" s="57"/>
      <c r="F19" s="57"/>
      <c r="G19" s="6"/>
      <c r="H19" s="6"/>
      <c r="M19" s="325">
        <f>SUM(M17:M18)</f>
        <v>-57232891.282329582</v>
      </c>
      <c r="N19" s="6" t="s">
        <v>236</v>
      </c>
      <c r="O19" s="160"/>
      <c r="P19" s="160"/>
      <c r="Q19" s="160"/>
      <c r="R19" s="160"/>
      <c r="S19" s="160"/>
      <c r="T19" s="160"/>
      <c r="U19" s="160"/>
      <c r="V19" s="30"/>
      <c r="W19" s="30"/>
      <c r="Z19" s="7">
        <f t="shared" ref="Z19:AE19" si="3">SUM(Z17:Z18)</f>
        <v>0</v>
      </c>
      <c r="AA19" s="7">
        <f t="shared" si="3"/>
        <v>0</v>
      </c>
      <c r="AB19" s="7">
        <f t="shared" si="3"/>
        <v>0</v>
      </c>
      <c r="AC19" s="7">
        <f t="shared" si="3"/>
        <v>0</v>
      </c>
      <c r="AD19" s="7">
        <f t="shared" si="3"/>
        <v>0</v>
      </c>
      <c r="AE19" s="7">
        <f t="shared" si="3"/>
        <v>0</v>
      </c>
      <c r="AF19" s="7">
        <f>SUM(AF17:AF18)</f>
        <v>0</v>
      </c>
    </row>
    <row r="20" spans="2:33" x14ac:dyDescent="0.25">
      <c r="B20" s="115" t="s">
        <v>94</v>
      </c>
      <c r="C20" s="4"/>
      <c r="D20" s="4"/>
      <c r="E20" s="123" t="s">
        <v>202</v>
      </c>
      <c r="F20" s="123" t="s">
        <v>95</v>
      </c>
      <c r="G20" s="125" t="s">
        <v>99</v>
      </c>
      <c r="H20" s="6"/>
      <c r="M20" s="6"/>
      <c r="N20" s="6"/>
      <c r="O20" s="160"/>
      <c r="P20" s="160"/>
      <c r="Q20" s="160"/>
      <c r="R20" s="160"/>
      <c r="S20" s="160"/>
      <c r="T20" s="160"/>
      <c r="U20" s="160"/>
      <c r="V20" s="30"/>
      <c r="W20" s="30"/>
      <c r="AF20" s="30"/>
    </row>
    <row r="21" spans="2:33" x14ac:dyDescent="0.25">
      <c r="B21" s="156" t="s">
        <v>126</v>
      </c>
      <c r="C21" s="4" t="s">
        <v>96</v>
      </c>
      <c r="D21" s="4"/>
      <c r="E21" s="6">
        <f>+'WRZ - Jan-Dec 2020'!E72</f>
        <v>65133993.410000004</v>
      </c>
      <c r="F21" s="6">
        <f>+'WRZ Jan-Dec20 RPP 2nd TU'!H16</f>
        <v>64877001.937218323</v>
      </c>
      <c r="G21" s="6">
        <f>F21-E21</f>
        <v>-256991.47278168052</v>
      </c>
      <c r="H21" s="135">
        <f>G21/E21</f>
        <v>-3.9455813980879715E-3</v>
      </c>
      <c r="I21" s="141" t="s">
        <v>112</v>
      </c>
      <c r="M21" s="6">
        <f>SUM(M11:O11)</f>
        <v>14236055.74</v>
      </c>
      <c r="N21" s="6" t="s">
        <v>250</v>
      </c>
      <c r="O21" s="160"/>
      <c r="P21" s="160"/>
      <c r="Q21" s="160"/>
      <c r="R21" s="160"/>
      <c r="S21" s="160"/>
      <c r="T21" s="160"/>
      <c r="U21" s="160"/>
      <c r="V21" s="30"/>
      <c r="W21" s="30"/>
      <c r="AG21" t="s">
        <v>223</v>
      </c>
    </row>
    <row r="22" spans="2:33" ht="15.75" thickBot="1" x14ac:dyDescent="0.3">
      <c r="B22" s="156" t="s">
        <v>127</v>
      </c>
      <c r="C22" s="4" t="s">
        <v>101</v>
      </c>
      <c r="D22" s="4"/>
      <c r="E22" s="6">
        <f>+'WRZ - Jan-Dec 2020'!E84</f>
        <v>7675636.7799999993</v>
      </c>
      <c r="F22" s="6">
        <f>+'WRZ Jan-Dec20 RPP 2nd TU'!I16</f>
        <v>7648992.5284560686</v>
      </c>
      <c r="G22" s="6">
        <f>F22-E22</f>
        <v>-26644.251543930732</v>
      </c>
      <c r="H22" s="135">
        <f t="shared" ref="H22:H25" si="4">G22/E22</f>
        <v>-3.4712757140041134E-3</v>
      </c>
      <c r="I22" s="141" t="s">
        <v>116</v>
      </c>
      <c r="M22" s="55">
        <f>+M21+M19</f>
        <v>-42996835.54232958</v>
      </c>
      <c r="N22" s="6" t="s">
        <v>239</v>
      </c>
      <c r="O22" s="160"/>
      <c r="P22" s="160"/>
      <c r="Q22" s="160"/>
      <c r="R22" s="160"/>
      <c r="S22" s="160"/>
      <c r="T22" s="160"/>
      <c r="U22" s="160"/>
      <c r="V22" s="30"/>
      <c r="W22" s="30"/>
      <c r="Y22" t="s">
        <v>215</v>
      </c>
      <c r="Z22" s="268" t="e">
        <f>+Q54</f>
        <v>#DIV/0!</v>
      </c>
      <c r="AA22" s="268" t="e">
        <f>+R54</f>
        <v>#DIV/0!</v>
      </c>
      <c r="AB22" s="268" t="e">
        <f t="shared" ref="AB22:AG22" si="5">S54</f>
        <v>#DIV/0!</v>
      </c>
      <c r="AC22" s="268" t="e">
        <f t="shared" si="5"/>
        <v>#DIV/0!</v>
      </c>
      <c r="AD22" s="268" t="e">
        <f t="shared" si="5"/>
        <v>#DIV/0!</v>
      </c>
      <c r="AE22" s="268" t="e">
        <f t="shared" si="5"/>
        <v>#DIV/0!</v>
      </c>
      <c r="AF22" s="268" t="e">
        <f t="shared" si="5"/>
        <v>#DIV/0!</v>
      </c>
      <c r="AG22" s="268" t="str">
        <f t="shared" si="5"/>
        <v>Total GA</v>
      </c>
    </row>
    <row r="23" spans="2:33" ht="15.75" thickTop="1" x14ac:dyDescent="0.25">
      <c r="B23" s="157" t="s">
        <v>128</v>
      </c>
      <c r="C23" s="4" t="s">
        <v>97</v>
      </c>
      <c r="D23" s="4"/>
      <c r="E23" s="6">
        <f>+E12+E13</f>
        <v>13756596.210000001</v>
      </c>
      <c r="F23" s="6">
        <f>+'WRZ Jan-Dec20 RPP 2nd TU'!J16</f>
        <v>61349740.895204648</v>
      </c>
      <c r="G23" s="6">
        <f>F23-E23</f>
        <v>47593144.685204647</v>
      </c>
      <c r="H23" s="135">
        <f t="shared" si="4"/>
        <v>3.4596599303109619</v>
      </c>
      <c r="I23" s="141" t="s">
        <v>119</v>
      </c>
      <c r="M23" s="6"/>
      <c r="N23" s="160"/>
      <c r="O23" s="160"/>
      <c r="P23" s="160"/>
      <c r="Q23" s="160"/>
      <c r="R23" s="160"/>
      <c r="S23" s="160"/>
      <c r="T23" s="160"/>
      <c r="U23" s="160"/>
      <c r="V23" s="30"/>
      <c r="W23" s="30"/>
      <c r="Y23" t="s">
        <v>220</v>
      </c>
      <c r="Z23" s="321">
        <v>0.12806638619705266</v>
      </c>
      <c r="AA23" s="321">
        <v>0.11705076491791969</v>
      </c>
      <c r="AB23" s="321">
        <v>0.10557294415739073</v>
      </c>
      <c r="AC23" s="321"/>
      <c r="AD23" s="321"/>
      <c r="AE23" s="21"/>
    </row>
    <row r="24" spans="2:33" x14ac:dyDescent="0.25">
      <c r="B24" s="157"/>
      <c r="C24" s="4" t="s">
        <v>193</v>
      </c>
      <c r="D24" s="4"/>
      <c r="E24" s="6">
        <f>E15</f>
        <v>225465.34767042249</v>
      </c>
      <c r="F24" s="6"/>
      <c r="G24" s="6"/>
      <c r="H24" s="135"/>
      <c r="I24" s="141"/>
      <c r="M24" s="324" t="s">
        <v>233</v>
      </c>
      <c r="N24" s="160"/>
      <c r="O24" s="160"/>
      <c r="P24" s="160"/>
      <c r="Q24" s="160"/>
      <c r="R24" s="160"/>
      <c r="S24" s="160"/>
      <c r="T24" s="160"/>
      <c r="U24" s="160"/>
      <c r="V24" s="30"/>
      <c r="W24" s="30"/>
      <c r="Y24" t="s">
        <v>221</v>
      </c>
      <c r="Z24" s="321">
        <f>+Z23</f>
        <v>0.12806638619705266</v>
      </c>
      <c r="AA24" s="321">
        <f>+AA23</f>
        <v>0.11705076491791969</v>
      </c>
      <c r="AB24" s="321">
        <f>+AB23</f>
        <v>0.10557294415739073</v>
      </c>
      <c r="AC24" s="321"/>
      <c r="AD24" s="321"/>
      <c r="AE24" s="21"/>
    </row>
    <row r="25" spans="2:33" ht="15.75" thickBot="1" x14ac:dyDescent="0.3">
      <c r="B25" s="4"/>
      <c r="C25" s="4" t="s">
        <v>129</v>
      </c>
      <c r="D25" s="4"/>
      <c r="E25" s="124">
        <f>E21-E22-E23-E24</f>
        <v>43476295.072329581</v>
      </c>
      <c r="F25" s="124">
        <f>F21-F22-F23</f>
        <v>-4121731.4864423946</v>
      </c>
      <c r="G25" s="124">
        <f>G21-G22-G23</f>
        <v>-47823491.906442396</v>
      </c>
      <c r="H25" s="135">
        <f t="shared" si="4"/>
        <v>-1.0999900480682767</v>
      </c>
      <c r="M25" s="6">
        <f>+E12</f>
        <v>13479154.73</v>
      </c>
      <c r="N25" s="160" t="s">
        <v>249</v>
      </c>
      <c r="O25" s="160"/>
      <c r="P25" s="160"/>
      <c r="Q25" s="160"/>
      <c r="R25" s="160"/>
      <c r="S25" s="160"/>
      <c r="T25" s="160"/>
      <c r="U25" s="160"/>
      <c r="V25" s="30"/>
      <c r="W25" s="30"/>
    </row>
    <row r="26" spans="2:33" x14ac:dyDescent="0.25">
      <c r="B26" s="4"/>
      <c r="C26" s="4"/>
      <c r="D26" s="4"/>
      <c r="F26" s="7"/>
      <c r="G26" s="7"/>
      <c r="M26" s="6">
        <f>+E13</f>
        <v>277441.48</v>
      </c>
      <c r="N26" s="160" t="s">
        <v>251</v>
      </c>
      <c r="O26" s="160"/>
      <c r="P26" s="160"/>
      <c r="Q26" s="160"/>
      <c r="R26" s="160"/>
      <c r="S26" s="160"/>
      <c r="T26" s="160"/>
      <c r="U26" s="160"/>
      <c r="V26" s="30"/>
      <c r="W26" s="30"/>
      <c r="Y26" t="s">
        <v>216</v>
      </c>
      <c r="Z26" s="7" t="e">
        <f>Z17*Z22</f>
        <v>#DIV/0!</v>
      </c>
      <c r="AA26" s="7" t="e">
        <f>AA17*AA22</f>
        <v>#DIV/0!</v>
      </c>
      <c r="AB26" s="7">
        <f>AB17*AB23</f>
        <v>0</v>
      </c>
      <c r="AC26" s="7">
        <f>AC17*AC23</f>
        <v>0</v>
      </c>
      <c r="AD26" s="7">
        <f>AD17*AD23</f>
        <v>0</v>
      </c>
      <c r="AE26" s="7">
        <f>AE17*AE23</f>
        <v>0</v>
      </c>
      <c r="AF26" s="7" t="e">
        <f>SUM(Z26:AE26)</f>
        <v>#DIV/0!</v>
      </c>
      <c r="AG26" s="114" t="e">
        <f>AF26/AF17</f>
        <v>#DIV/0!</v>
      </c>
    </row>
    <row r="27" spans="2:33" x14ac:dyDescent="0.25">
      <c r="C27" s="115" t="s">
        <v>113</v>
      </c>
      <c r="E27" s="342"/>
      <c r="M27" s="325">
        <f>SUM(M25:M26)</f>
        <v>13756596.210000001</v>
      </c>
      <c r="N27" s="160" t="s">
        <v>237</v>
      </c>
      <c r="O27" s="160"/>
      <c r="P27" s="160"/>
      <c r="Q27" s="160"/>
      <c r="R27" s="160"/>
      <c r="S27" s="160"/>
      <c r="T27" s="160"/>
      <c r="U27" s="160"/>
      <c r="V27" s="30"/>
      <c r="W27" s="30"/>
      <c r="Z27" s="7"/>
      <c r="AA27" s="7"/>
      <c r="AB27" s="7"/>
      <c r="AC27" s="7"/>
      <c r="AD27" s="7"/>
      <c r="AE27" s="7"/>
      <c r="AF27" s="7"/>
      <c r="AG27" s="114"/>
    </row>
    <row r="28" spans="2:33" x14ac:dyDescent="0.25">
      <c r="B28" s="141" t="s">
        <v>112</v>
      </c>
      <c r="E28" s="109" t="s">
        <v>117</v>
      </c>
      <c r="F28" s="109" t="s">
        <v>118</v>
      </c>
      <c r="G28" s="109" t="s">
        <v>99</v>
      </c>
      <c r="H28" s="109" t="s">
        <v>114</v>
      </c>
      <c r="I28" s="109" t="s">
        <v>115</v>
      </c>
      <c r="M28" s="6"/>
      <c r="N28" s="160"/>
      <c r="O28" s="160"/>
      <c r="P28" s="160"/>
      <c r="Q28" s="160"/>
      <c r="R28" s="160"/>
      <c r="S28" s="160"/>
      <c r="T28" s="160"/>
      <c r="U28" s="160"/>
      <c r="V28" s="30"/>
      <c r="W28" s="30"/>
      <c r="Y28" t="s">
        <v>217</v>
      </c>
      <c r="Z28" s="7">
        <f t="shared" ref="Z28:AE28" si="6">Z18*Z24</f>
        <v>0</v>
      </c>
      <c r="AA28" s="7">
        <f t="shared" si="6"/>
        <v>0</v>
      </c>
      <c r="AB28" s="7">
        <f t="shared" si="6"/>
        <v>0</v>
      </c>
      <c r="AC28" s="7">
        <f t="shared" si="6"/>
        <v>0</v>
      </c>
      <c r="AD28" s="7">
        <f t="shared" si="6"/>
        <v>0</v>
      </c>
      <c r="AE28" s="7">
        <f t="shared" si="6"/>
        <v>0</v>
      </c>
      <c r="AF28" s="7">
        <f>SUM(Z28:AE28)</f>
        <v>0</v>
      </c>
      <c r="AG28" s="114" t="e">
        <f>AF28/AF18</f>
        <v>#DIV/0!</v>
      </c>
    </row>
    <row r="29" spans="2:33" x14ac:dyDescent="0.25">
      <c r="C29" t="s">
        <v>13</v>
      </c>
      <c r="E29" s="6">
        <f>'WRZ - Jan-Dec 2020'!D33</f>
        <v>36873825.259999998</v>
      </c>
      <c r="F29" s="6">
        <f>'WRZ - Jan-Dec 2020'!D16</f>
        <v>36707845.845137648</v>
      </c>
      <c r="G29" s="6">
        <f>E29-F29</f>
        <v>165979.41486234963</v>
      </c>
      <c r="H29" s="146">
        <f>'WRZ - Jan-Dec 2020'!E33</f>
        <v>0.12041500790037643</v>
      </c>
      <c r="I29" s="6">
        <f>G29*H29</f>
        <v>19986.412551949688</v>
      </c>
      <c r="M29" s="6">
        <f>SUM(M12:O12)</f>
        <v>-13656376.120000001</v>
      </c>
      <c r="N29" s="160" t="s">
        <v>238</v>
      </c>
      <c r="O29" s="160"/>
      <c r="P29" s="160"/>
      <c r="Q29" s="160"/>
      <c r="R29" s="160"/>
      <c r="S29" s="160"/>
      <c r="T29" s="160"/>
      <c r="U29" s="160"/>
      <c r="V29" s="30"/>
      <c r="W29" s="30"/>
      <c r="Y29" t="s">
        <v>218</v>
      </c>
      <c r="Z29" s="7" t="e">
        <f t="shared" ref="Z29:AF29" si="7">SUM(Z26:Z28)</f>
        <v>#DIV/0!</v>
      </c>
      <c r="AA29" s="7" t="e">
        <f t="shared" si="7"/>
        <v>#DIV/0!</v>
      </c>
      <c r="AB29" s="7">
        <f t="shared" si="7"/>
        <v>0</v>
      </c>
      <c r="AC29" s="7">
        <f t="shared" si="7"/>
        <v>0</v>
      </c>
      <c r="AD29" s="7">
        <f t="shared" si="7"/>
        <v>0</v>
      </c>
      <c r="AE29" s="7">
        <f t="shared" si="7"/>
        <v>0</v>
      </c>
      <c r="AF29" s="7" t="e">
        <f t="shared" si="7"/>
        <v>#DIV/0!</v>
      </c>
      <c r="AG29" s="114" t="e">
        <f>AF29/AF19</f>
        <v>#DIV/0!</v>
      </c>
    </row>
    <row r="30" spans="2:33" ht="15.75" thickBot="1" x14ac:dyDescent="0.3">
      <c r="C30" t="s">
        <v>14</v>
      </c>
      <c r="E30" s="6">
        <f>'WRZ - Jan-Dec 2020'!D34</f>
        <v>11846237.529999999</v>
      </c>
      <c r="F30" s="6">
        <f>'WRZ - Jan-Dec 2020'!D17</f>
        <v>11787556.342719726</v>
      </c>
      <c r="G30" s="6">
        <f t="shared" ref="G30:G38" si="8">E30-F30</f>
        <v>58681.187280273065</v>
      </c>
      <c r="H30" s="146">
        <f>'WRZ - Jan-Dec 2020'!E34</f>
        <v>0.14036367038809494</v>
      </c>
      <c r="I30" s="6">
        <f t="shared" ref="I30:I33" si="9">G30*H30</f>
        <v>8236.7068293903176</v>
      </c>
      <c r="K30" s="312"/>
      <c r="M30" s="55">
        <f>M27+M29</f>
        <v>100220.08999999985</v>
      </c>
      <c r="N30" s="160" t="s">
        <v>239</v>
      </c>
      <c r="O30" s="160"/>
      <c r="P30" s="160"/>
      <c r="Q30" s="160"/>
      <c r="R30" s="160"/>
      <c r="S30" s="160"/>
      <c r="T30" s="160"/>
      <c r="U30" s="160"/>
      <c r="V30" s="30"/>
      <c r="W30" s="30"/>
      <c r="Y30" t="s">
        <v>219</v>
      </c>
      <c r="Z30" s="30" t="e">
        <f t="shared" ref="Z30:AF30" si="10">Z29-Q55</f>
        <v>#DIV/0!</v>
      </c>
      <c r="AA30" s="30" t="e">
        <f t="shared" si="10"/>
        <v>#DIV/0!</v>
      </c>
      <c r="AB30" s="30">
        <f t="shared" si="10"/>
        <v>0</v>
      </c>
      <c r="AC30" s="30">
        <f t="shared" si="10"/>
        <v>0</v>
      </c>
      <c r="AD30" s="30">
        <f t="shared" si="10"/>
        <v>0</v>
      </c>
      <c r="AE30" s="30">
        <f t="shared" si="10"/>
        <v>0</v>
      </c>
      <c r="AF30" s="30" t="e">
        <f t="shared" si="10"/>
        <v>#DIV/0!</v>
      </c>
    </row>
    <row r="31" spans="2:33" ht="15.75" thickTop="1" x14ac:dyDescent="0.25">
      <c r="C31" t="s">
        <v>15</v>
      </c>
      <c r="E31" s="6">
        <f>'WRZ - Jan-Dec 2020'!D35</f>
        <v>297843349.39999998</v>
      </c>
      <c r="F31" s="6">
        <f>'WRZ - Jan-Dec 2020'!D18</f>
        <v>296674266.08246899</v>
      </c>
      <c r="G31" s="6">
        <f t="shared" si="8"/>
        <v>1169083.3175309896</v>
      </c>
      <c r="H31" s="146">
        <f>'WRZ - Jan-Dec 2020'!E35</f>
        <v>0.11429887915435859</v>
      </c>
      <c r="I31" s="6">
        <f t="shared" si="9"/>
        <v>133624.91283185122</v>
      </c>
      <c r="K31" s="312"/>
      <c r="M31" s="118"/>
      <c r="N31" s="160"/>
      <c r="O31" s="160"/>
      <c r="P31" s="160"/>
      <c r="Q31" s="160"/>
      <c r="R31" s="160"/>
      <c r="S31" s="160"/>
      <c r="T31" s="160"/>
      <c r="U31" s="160"/>
      <c r="V31" s="30"/>
      <c r="W31" s="30"/>
      <c r="AF31" s="267" t="e">
        <f>AF26/AF29</f>
        <v>#DIV/0!</v>
      </c>
    </row>
    <row r="32" spans="2:33" x14ac:dyDescent="0.25">
      <c r="C32" t="s">
        <v>16</v>
      </c>
      <c r="E32" s="6">
        <f>'WRZ - Jan-Dec 2020'!D36</f>
        <v>91287390.569999993</v>
      </c>
      <c r="F32" s="6">
        <f>'WRZ - Jan-Dec 2020'!D19</f>
        <v>90959449.037395433</v>
      </c>
      <c r="G32" s="6">
        <f t="shared" si="8"/>
        <v>327941.53260456026</v>
      </c>
      <c r="H32" s="146">
        <f>'WRZ - Jan-Dec 2020'!E36</f>
        <v>0.1297381125262676</v>
      </c>
      <c r="I32" s="6">
        <f t="shared" si="9"/>
        <v>42546.515459087095</v>
      </c>
      <c r="K32" s="312"/>
      <c r="M32" s="6">
        <f>+M30+M22</f>
        <v>-42896615.452329576</v>
      </c>
      <c r="N32" s="160" t="s">
        <v>239</v>
      </c>
      <c r="O32" s="160"/>
      <c r="P32" s="160"/>
      <c r="Q32" s="160"/>
      <c r="R32" s="160"/>
      <c r="S32" s="160"/>
      <c r="T32" s="160"/>
      <c r="U32" s="160"/>
      <c r="V32" s="30"/>
      <c r="W32" s="30"/>
      <c r="AF32" s="267" t="e">
        <f>AF28/AF29</f>
        <v>#DIV/0!</v>
      </c>
    </row>
    <row r="33" spans="2:23" x14ac:dyDescent="0.25">
      <c r="C33" t="s">
        <v>17</v>
      </c>
      <c r="E33" s="6">
        <f>'WRZ - Jan-Dec 2020'!D37</f>
        <v>85318754.370000005</v>
      </c>
      <c r="F33" s="6">
        <f>'WRZ - Jan-Dec 2020'!D20</f>
        <v>84986246.667663336</v>
      </c>
      <c r="G33" s="6">
        <f t="shared" si="8"/>
        <v>332507.70233666897</v>
      </c>
      <c r="H33" s="146">
        <f>'WRZ - Jan-Dec 2020'!E37</f>
        <v>0.15406267258657821</v>
      </c>
      <c r="I33" s="6">
        <f t="shared" si="9"/>
        <v>51227.025277609639</v>
      </c>
      <c r="K33" s="312"/>
      <c r="M33" s="118"/>
      <c r="N33" s="160"/>
      <c r="O33" s="160"/>
      <c r="P33" s="160"/>
      <c r="Q33" s="160"/>
      <c r="R33" s="160"/>
      <c r="S33" s="160"/>
      <c r="T33" s="160"/>
      <c r="U33" s="160"/>
      <c r="V33" s="30"/>
      <c r="W33" s="30"/>
    </row>
    <row r="34" spans="2:23" ht="15.75" thickBot="1" x14ac:dyDescent="0.3">
      <c r="C34" t="str">
        <f>C21</f>
        <v>RPP Revenue</v>
      </c>
      <c r="E34" s="124">
        <f>SUM(E29:E33)</f>
        <v>523169557.13</v>
      </c>
      <c r="F34" s="124">
        <f>SUM(F29:F33)</f>
        <v>521115363.97538513</v>
      </c>
      <c r="G34" s="124">
        <f>SUM(G29:G33)</f>
        <v>2054193.1546148416</v>
      </c>
      <c r="H34" s="147"/>
      <c r="I34" s="124">
        <f>SUM(I29:I33)</f>
        <v>255621.57294988798</v>
      </c>
      <c r="K34" s="312"/>
      <c r="M34" s="326" t="s">
        <v>242</v>
      </c>
      <c r="N34" s="327"/>
      <c r="O34" s="328" t="s">
        <v>244</v>
      </c>
      <c r="P34" s="329" t="s">
        <v>245</v>
      </c>
      <c r="Q34" s="160"/>
      <c r="R34" s="160"/>
      <c r="S34" s="160"/>
      <c r="T34" s="160"/>
      <c r="U34" s="160"/>
      <c r="V34" s="30"/>
      <c r="W34" s="30"/>
    </row>
    <row r="35" spans="2:23" x14ac:dyDescent="0.25">
      <c r="C35" t="s">
        <v>194</v>
      </c>
      <c r="E35" s="57"/>
      <c r="F35" s="57"/>
      <c r="G35" s="57"/>
      <c r="H35" s="269"/>
      <c r="I35" s="57">
        <f>-I34</f>
        <v>-255621.57294988798</v>
      </c>
      <c r="M35" s="330" t="s">
        <v>243</v>
      </c>
      <c r="N35" s="331"/>
      <c r="O35" s="331">
        <f>+M32</f>
        <v>-42896615.452329576</v>
      </c>
      <c r="P35" s="332"/>
      <c r="Q35" s="160"/>
      <c r="R35" s="160"/>
      <c r="S35" s="160"/>
      <c r="T35" s="160"/>
      <c r="U35" s="160"/>
      <c r="V35" s="30"/>
      <c r="W35" s="30"/>
    </row>
    <row r="36" spans="2:23" ht="15.75" thickBot="1" x14ac:dyDescent="0.3">
      <c r="I36" s="136">
        <f>SUM(I34:I35)</f>
        <v>0</v>
      </c>
      <c r="K36" s="7"/>
      <c r="M36" s="330" t="s">
        <v>246</v>
      </c>
      <c r="N36" s="333"/>
      <c r="O36" s="331"/>
      <c r="P36" s="332">
        <f>+M22</f>
        <v>-42996835.54232958</v>
      </c>
      <c r="Q36" s="160"/>
      <c r="R36" s="160"/>
      <c r="S36" s="160"/>
      <c r="T36" s="160"/>
      <c r="U36" s="160"/>
      <c r="V36" s="30"/>
      <c r="W36" s="30"/>
    </row>
    <row r="37" spans="2:23" x14ac:dyDescent="0.25">
      <c r="M37" s="334" t="s">
        <v>247</v>
      </c>
      <c r="N37" s="335"/>
      <c r="O37" s="336"/>
      <c r="P37" s="337">
        <f>+M30</f>
        <v>100220.08999999985</v>
      </c>
      <c r="Q37" s="160"/>
      <c r="R37" s="160"/>
      <c r="S37" s="160"/>
      <c r="T37" s="160"/>
      <c r="U37" s="160"/>
      <c r="V37" s="30"/>
      <c r="W37" s="30"/>
    </row>
    <row r="38" spans="2:23" x14ac:dyDescent="0.25">
      <c r="B38" s="141" t="s">
        <v>116</v>
      </c>
      <c r="C38" t="str">
        <f>C22</f>
        <v>Energy Revenue - RPP</v>
      </c>
      <c r="E38" s="6">
        <f>E34</f>
        <v>523169557.13</v>
      </c>
      <c r="F38" s="6">
        <f>F34</f>
        <v>521115363.97538513</v>
      </c>
      <c r="G38" s="6">
        <f t="shared" si="8"/>
        <v>2054193.1546148658</v>
      </c>
      <c r="H38" s="150">
        <f>'WRZ - Jan-Dec 2020'!C84</f>
        <v>1.4680326050020051E-2</v>
      </c>
      <c r="I38" s="6">
        <f t="shared" ref="I38" si="11">G38*H38</f>
        <v>30156.225279465481</v>
      </c>
      <c r="M38" s="118"/>
      <c r="N38" s="160"/>
      <c r="O38" s="160"/>
      <c r="P38" s="160"/>
      <c r="Q38" s="160"/>
      <c r="R38" s="160"/>
      <c r="S38" s="160"/>
      <c r="T38" s="160"/>
      <c r="U38" s="160"/>
      <c r="V38" s="30"/>
      <c r="W38" s="30"/>
    </row>
    <row r="39" spans="2:23" x14ac:dyDescent="0.25">
      <c r="B39" s="141"/>
      <c r="C39" t="s">
        <v>194</v>
      </c>
      <c r="E39" s="6"/>
      <c r="F39" s="6"/>
      <c r="G39" s="6"/>
      <c r="H39" s="150"/>
      <c r="I39" s="6">
        <f>-I38</f>
        <v>-30156.225279465481</v>
      </c>
      <c r="M39" s="118"/>
      <c r="N39" s="160"/>
      <c r="O39" s="160"/>
      <c r="P39" s="160"/>
      <c r="Q39" s="160"/>
      <c r="R39" s="160"/>
      <c r="S39" s="160"/>
      <c r="T39" s="160"/>
      <c r="U39" s="160"/>
      <c r="V39" s="30"/>
      <c r="W39" s="30"/>
    </row>
    <row r="40" spans="2:23" ht="15" customHeight="1" thickBot="1" x14ac:dyDescent="0.3">
      <c r="I40" s="136">
        <f>SUM(I38:I39)</f>
        <v>0</v>
      </c>
      <c r="K40" s="7"/>
      <c r="M40" s="118"/>
      <c r="N40" s="160"/>
      <c r="O40" s="160"/>
      <c r="P40" s="160"/>
      <c r="Q40" s="160"/>
      <c r="R40" s="160"/>
      <c r="S40" s="160"/>
      <c r="T40" s="160"/>
      <c r="U40" s="160"/>
      <c r="V40" s="30"/>
      <c r="W40" s="30"/>
    </row>
    <row r="41" spans="2:23" ht="15" customHeight="1" x14ac:dyDescent="0.25">
      <c r="M41" s="118"/>
      <c r="N41" s="160"/>
      <c r="O41" s="160"/>
      <c r="P41" s="160"/>
      <c r="Q41" s="160"/>
      <c r="R41" s="160"/>
      <c r="S41" s="160"/>
      <c r="T41" s="160"/>
      <c r="U41" s="160"/>
      <c r="V41" s="30"/>
      <c r="W41" s="30"/>
    </row>
    <row r="42" spans="2:23" hidden="1" x14ac:dyDescent="0.25">
      <c r="B42" s="141"/>
      <c r="E42" s="7"/>
      <c r="F42" s="7"/>
      <c r="G42" s="6"/>
      <c r="H42" s="149"/>
      <c r="I42" s="6"/>
      <c r="M42" s="118"/>
      <c r="N42" s="160"/>
      <c r="O42" s="160"/>
      <c r="P42" s="160"/>
      <c r="Q42" s="160"/>
      <c r="R42" s="160"/>
      <c r="S42" s="160"/>
      <c r="T42" s="160"/>
      <c r="U42" s="160"/>
      <c r="V42" s="30"/>
      <c r="W42" s="30"/>
    </row>
    <row r="43" spans="2:23" hidden="1" x14ac:dyDescent="0.25">
      <c r="F43" s="7"/>
      <c r="G43" s="6"/>
      <c r="H43" s="149"/>
      <c r="I43" s="6"/>
      <c r="M43" s="118"/>
      <c r="N43" s="160"/>
      <c r="O43" s="160"/>
      <c r="P43" s="160"/>
      <c r="Q43" s="160"/>
      <c r="R43" s="160"/>
      <c r="S43" s="160"/>
      <c r="T43" s="160"/>
      <c r="U43" s="160"/>
      <c r="V43" s="30"/>
      <c r="W43" s="30"/>
    </row>
    <row r="44" spans="2:23" ht="15.75" hidden="1" thickBot="1" x14ac:dyDescent="0.3">
      <c r="I44" s="136"/>
      <c r="M44" s="118"/>
      <c r="N44" s="160"/>
      <c r="O44" s="160"/>
      <c r="P44" s="160"/>
      <c r="Q44" s="160"/>
      <c r="R44" s="160"/>
      <c r="S44" s="160"/>
      <c r="T44" s="160"/>
      <c r="U44" s="160"/>
      <c r="V44" s="30"/>
      <c r="W44" s="30"/>
    </row>
    <row r="45" spans="2:23" hidden="1" x14ac:dyDescent="0.25">
      <c r="I45" s="30"/>
      <c r="M45" s="118"/>
      <c r="N45" s="160"/>
      <c r="O45" s="160"/>
      <c r="P45" s="160"/>
      <c r="Q45" s="160"/>
      <c r="R45" s="160"/>
      <c r="S45" s="160"/>
      <c r="T45" s="160"/>
      <c r="U45" s="160"/>
      <c r="V45" s="30"/>
      <c r="W45" s="30"/>
    </row>
    <row r="46" spans="2:23" x14ac:dyDescent="0.25">
      <c r="I46" s="30"/>
      <c r="M46" s="118"/>
      <c r="N46" s="160"/>
      <c r="O46" s="160"/>
      <c r="P46" s="160"/>
      <c r="Q46" s="160"/>
      <c r="R46" s="160"/>
      <c r="S46" s="160"/>
      <c r="T46" s="160"/>
      <c r="U46" s="160"/>
      <c r="V46" s="30"/>
      <c r="W46" s="30"/>
    </row>
    <row r="47" spans="2:23" x14ac:dyDescent="0.25">
      <c r="B47" s="115" t="s">
        <v>131</v>
      </c>
      <c r="E47" s="140" t="s">
        <v>202</v>
      </c>
      <c r="F47" s="140" t="s">
        <v>95</v>
      </c>
      <c r="N47" s="160"/>
      <c r="O47" s="160"/>
      <c r="P47" s="160"/>
      <c r="Q47" s="160"/>
      <c r="R47" s="160"/>
      <c r="S47" s="160"/>
      <c r="T47" s="160"/>
      <c r="U47" s="160"/>
      <c r="V47" s="30"/>
      <c r="W47" s="30"/>
    </row>
    <row r="48" spans="2:23" x14ac:dyDescent="0.25">
      <c r="E48" s="7"/>
      <c r="N48" s="160"/>
      <c r="O48" s="160"/>
      <c r="P48" s="160"/>
      <c r="Q48" s="160"/>
      <c r="R48" s="160"/>
      <c r="S48" s="160"/>
      <c r="T48" s="160"/>
      <c r="U48" s="160"/>
    </row>
    <row r="49" spans="2:26" x14ac:dyDescent="0.25">
      <c r="E49" s="7"/>
    </row>
    <row r="50" spans="2:26" x14ac:dyDescent="0.25">
      <c r="C50" t="s">
        <v>96</v>
      </c>
      <c r="E50" s="137">
        <f>'WRZ - Jan-Dec 2020'!E72</f>
        <v>65133993.410000004</v>
      </c>
      <c r="F50" s="137">
        <f>'WRZ - Jan-Dec 2020'!E72</f>
        <v>65133993.410000004</v>
      </c>
      <c r="G50" s="7">
        <f>E50-F50</f>
        <v>0</v>
      </c>
      <c r="L50" s="3"/>
      <c r="M50" s="3"/>
      <c r="N50" s="3"/>
      <c r="O50" s="3"/>
    </row>
    <row r="51" spans="2:26" x14ac:dyDescent="0.25">
      <c r="L51" s="3"/>
      <c r="M51" s="3"/>
      <c r="N51" s="3"/>
      <c r="O51" s="3"/>
      <c r="V51" s="342"/>
      <c r="W51" t="s">
        <v>85</v>
      </c>
    </row>
    <row r="52" spans="2:26" x14ac:dyDescent="0.25">
      <c r="C52" t="s">
        <v>100</v>
      </c>
      <c r="E52" s="7">
        <f>'WRZ - Jan-Dec 2020'!E76</f>
        <v>5078527.3361923648</v>
      </c>
      <c r="F52" s="7">
        <f>'WRZ - Jan-Dec 2020'!E76</f>
        <v>5078527.3361923648</v>
      </c>
      <c r="G52" s="7">
        <f>E52-F52</f>
        <v>0</v>
      </c>
      <c r="L52" s="283"/>
      <c r="M52" s="284"/>
      <c r="N52" s="285"/>
      <c r="O52" s="286"/>
      <c r="Q52" s="342" t="s">
        <v>224</v>
      </c>
      <c r="R52" s="342" t="s">
        <v>225</v>
      </c>
      <c r="S52" s="342" t="s">
        <v>226</v>
      </c>
      <c r="T52" s="342"/>
      <c r="U52" s="342"/>
    </row>
    <row r="53" spans="2:26" ht="15.75" thickBot="1" x14ac:dyDescent="0.3">
      <c r="E53" s="136">
        <f>SUM(E50:E52)</f>
        <v>70212520.746192366</v>
      </c>
      <c r="F53" s="136">
        <f>SUM(F50:F52)</f>
        <v>70212520.746192366</v>
      </c>
      <c r="G53" s="154">
        <f>E53-F53</f>
        <v>0</v>
      </c>
      <c r="L53" s="287"/>
      <c r="M53" s="288"/>
      <c r="N53" s="288"/>
      <c r="O53" s="287"/>
      <c r="Q53" s="308">
        <f>'WRZ - Jan-Dec 2020'!N48</f>
        <v>0</v>
      </c>
      <c r="R53" s="308">
        <f>'WRZ - Jan-Dec 2020'!O48</f>
        <v>0</v>
      </c>
      <c r="S53" s="308">
        <f>'WRZ - Jan-Dec 2020'!P48</f>
        <v>0</v>
      </c>
      <c r="T53" s="308">
        <f>'WRZ - Jan-Dec 2020'!Q48</f>
        <v>0</v>
      </c>
      <c r="U53" s="308">
        <f>'WRZ - Jan-Dec 2020'!R48</f>
        <v>0</v>
      </c>
      <c r="V53" s="308">
        <f>'WRZ - Jan-Dec 2020'!S48</f>
        <v>0</v>
      </c>
      <c r="W53" s="6">
        <f>SUM(Q53:V53)</f>
        <v>0</v>
      </c>
      <c r="X53" t="s">
        <v>204</v>
      </c>
    </row>
    <row r="54" spans="2:26" x14ac:dyDescent="0.25">
      <c r="C54" s="21"/>
      <c r="D54" s="21"/>
      <c r="E54" s="21"/>
      <c r="F54" s="21"/>
      <c r="G54" s="21"/>
      <c r="H54" s="21"/>
      <c r="I54" s="21"/>
      <c r="L54" s="3"/>
      <c r="M54" s="289"/>
      <c r="N54" s="289"/>
      <c r="O54" s="290"/>
      <c r="Q54" s="163" t="e">
        <f t="shared" ref="Q54:U54" si="12">Q55/Q53</f>
        <v>#DIV/0!</v>
      </c>
      <c r="R54" s="163" t="e">
        <f t="shared" si="12"/>
        <v>#DIV/0!</v>
      </c>
      <c r="S54" s="163" t="e">
        <f t="shared" si="12"/>
        <v>#DIV/0!</v>
      </c>
      <c r="T54" s="163" t="e">
        <f t="shared" si="12"/>
        <v>#DIV/0!</v>
      </c>
      <c r="U54" s="163" t="e">
        <f t="shared" si="12"/>
        <v>#DIV/0!</v>
      </c>
      <c r="V54" s="163" t="e">
        <f>V55/V53</f>
        <v>#DIV/0!</v>
      </c>
      <c r="W54" s="163" t="e">
        <f>W55/W53</f>
        <v>#DIV/0!</v>
      </c>
      <c r="X54" t="s">
        <v>141</v>
      </c>
    </row>
    <row r="55" spans="2:26" x14ac:dyDescent="0.25">
      <c r="C55" s="21"/>
      <c r="D55" s="21"/>
      <c r="E55" s="21"/>
      <c r="F55" s="21"/>
      <c r="G55" s="21"/>
      <c r="H55" s="21"/>
      <c r="I55" s="21"/>
      <c r="L55" s="291"/>
      <c r="M55" s="80"/>
      <c r="N55" s="288"/>
      <c r="O55" s="288"/>
      <c r="Q55" s="309">
        <f>'WRZ - Jan-Dec 2020'!N47</f>
        <v>0</v>
      </c>
      <c r="R55" s="309">
        <f>'WRZ - Jan-Dec 2020'!O47</f>
        <v>0</v>
      </c>
      <c r="S55" s="309">
        <f>'WRZ - Jan-Dec 2020'!P47</f>
        <v>0</v>
      </c>
      <c r="T55" s="309">
        <f>'WRZ - Jan-Dec 2020'!Q47</f>
        <v>0</v>
      </c>
      <c r="U55" s="309">
        <f>'WRZ - Jan-Dec 2020'!R47</f>
        <v>0</v>
      </c>
      <c r="V55" s="309">
        <f>'WRZ - Jan-Dec 2020'!S47</f>
        <v>0</v>
      </c>
      <c r="W55" s="6">
        <f>SUM(Q55:V55)</f>
        <v>0</v>
      </c>
      <c r="X55" t="s">
        <v>205</v>
      </c>
    </row>
    <row r="56" spans="2:26" x14ac:dyDescent="0.25">
      <c r="B56" s="158" t="s">
        <v>130</v>
      </c>
      <c r="C56" s="21"/>
      <c r="D56" s="21">
        <v>101</v>
      </c>
      <c r="E56" s="47">
        <f>+'WRZ - Jan-Dec 2020'!E55</f>
        <v>12616275.139999999</v>
      </c>
      <c r="F56" s="47">
        <f>'WRZ - Jan-Dec 2020'!E55</f>
        <v>12616275.139999999</v>
      </c>
      <c r="G56" s="21"/>
      <c r="H56" s="21"/>
      <c r="I56" s="21"/>
      <c r="L56" s="3"/>
      <c r="M56" s="3"/>
      <c r="N56" s="3"/>
      <c r="O56" s="3"/>
      <c r="Z56" t="s">
        <v>208</v>
      </c>
    </row>
    <row r="57" spans="2:26" x14ac:dyDescent="0.25">
      <c r="C57" s="21" t="s">
        <v>104</v>
      </c>
      <c r="D57" s="21"/>
      <c r="E57" s="47">
        <f>'WRZ - Jan-Dec 2020'!E54+'WRZ - Jan-Dec 2020'!E60</f>
        <v>99442.448522999883</v>
      </c>
      <c r="F57" s="47">
        <f>'WRZ - Jan-Dec 2020'!E54+'WRZ - Jan-Dec 2020'!E60</f>
        <v>99442.448522999883</v>
      </c>
      <c r="G57" s="21"/>
      <c r="H57" s="21"/>
      <c r="I57" s="21"/>
      <c r="L57" s="3"/>
      <c r="M57" s="3"/>
      <c r="N57" s="3"/>
      <c r="O57" s="3"/>
      <c r="P57" s="305" t="s">
        <v>211</v>
      </c>
      <c r="Q57" s="306">
        <v>19372343</v>
      </c>
      <c r="R57" s="306">
        <v>19388851</v>
      </c>
      <c r="S57" s="306">
        <v>20855457</v>
      </c>
      <c r="T57" s="306"/>
      <c r="U57" s="306"/>
      <c r="V57" s="306"/>
      <c r="W57" s="6">
        <f>SUM(Q57:V57)</f>
        <v>59616651</v>
      </c>
      <c r="X57" t="s">
        <v>206</v>
      </c>
    </row>
    <row r="58" spans="2:26" x14ac:dyDescent="0.25">
      <c r="C58" s="21"/>
      <c r="D58" s="21"/>
      <c r="E58" s="47"/>
      <c r="F58" s="47"/>
      <c r="G58" s="21"/>
      <c r="H58" s="21"/>
      <c r="I58" s="21"/>
      <c r="L58" s="408" t="s">
        <v>195</v>
      </c>
      <c r="M58" s="409"/>
      <c r="N58" s="409"/>
      <c r="O58" s="409"/>
      <c r="Q58" s="163">
        <f t="shared" ref="Q58:R58" si="13">Z24</f>
        <v>0.12806638619705266</v>
      </c>
      <c r="R58" s="163">
        <f t="shared" si="13"/>
        <v>0.11705076491791969</v>
      </c>
      <c r="S58" s="163">
        <f>AB24</f>
        <v>0.10557294415739073</v>
      </c>
      <c r="T58" s="163">
        <f>AC24</f>
        <v>0</v>
      </c>
      <c r="U58" s="163">
        <f>AD24</f>
        <v>0</v>
      </c>
      <c r="V58" s="163">
        <f>AE24</f>
        <v>0</v>
      </c>
      <c r="W58" s="163">
        <f>W59/W57</f>
        <v>0.11661503424349019</v>
      </c>
    </row>
    <row r="59" spans="2:26" x14ac:dyDescent="0.25">
      <c r="C59" s="21" t="s">
        <v>102</v>
      </c>
      <c r="D59" s="21"/>
      <c r="E59" s="47">
        <f>'WRZ - Jan-Dec 2020'!E57</f>
        <v>61349740.450500183</v>
      </c>
      <c r="F59" s="47">
        <f>'WRZ - Jan-Dec 2020'!E57</f>
        <v>61349740.450500183</v>
      </c>
      <c r="G59" s="21"/>
      <c r="H59" s="21"/>
      <c r="I59" s="21"/>
      <c r="L59" s="409"/>
      <c r="M59" s="409"/>
      <c r="N59" s="409"/>
      <c r="O59" s="409"/>
      <c r="Q59" s="5">
        <f>Q57*Q58</f>
        <v>2480945.9601797694</v>
      </c>
      <c r="R59" s="5">
        <f>R57*R58</f>
        <v>2269479.8404295719</v>
      </c>
      <c r="S59" s="5">
        <f>S57*S58</f>
        <v>2201771.9972378635</v>
      </c>
      <c r="T59" s="5">
        <f t="shared" ref="T59:U59" si="14">T57*T58</f>
        <v>0</v>
      </c>
      <c r="U59" s="5">
        <f t="shared" si="14"/>
        <v>0</v>
      </c>
      <c r="V59" s="5">
        <f>V57*V58</f>
        <v>0</v>
      </c>
      <c r="W59" s="6">
        <f>SUM(Q59:V59)</f>
        <v>6952197.7978472039</v>
      </c>
      <c r="X59" t="s">
        <v>207</v>
      </c>
    </row>
    <row r="60" spans="2:26" ht="15.75" thickBot="1" x14ac:dyDescent="0.3">
      <c r="C60" s="21" t="s">
        <v>103</v>
      </c>
      <c r="D60" s="21"/>
      <c r="E60" s="47">
        <f>'WRZ Jan-Dec20 RPP 2nd TU'!K16</f>
        <v>-4121731.4864423899</v>
      </c>
      <c r="F60" s="47">
        <f>'WRZ Jan-Dec20 RPP 2nd TU'!K16</f>
        <v>-4121731.4864423899</v>
      </c>
      <c r="G60" s="21"/>
      <c r="H60" s="21"/>
      <c r="I60" s="21"/>
      <c r="L60" s="292"/>
      <c r="M60" s="293" t="s">
        <v>196</v>
      </c>
      <c r="N60" s="293" t="s">
        <v>196</v>
      </c>
      <c r="O60" s="293" t="s">
        <v>196</v>
      </c>
    </row>
    <row r="61" spans="2:26" x14ac:dyDescent="0.25">
      <c r="C61" s="21" t="s">
        <v>194</v>
      </c>
      <c r="D61" s="21"/>
      <c r="E61" s="47">
        <f>-E15</f>
        <v>-225465.34767042249</v>
      </c>
      <c r="F61" s="47"/>
      <c r="G61" s="21"/>
      <c r="H61" s="21"/>
      <c r="I61" s="21"/>
      <c r="J61" s="166" t="s">
        <v>142</v>
      </c>
      <c r="L61" s="294" t="s">
        <v>231</v>
      </c>
      <c r="M61" s="295" t="s">
        <v>197</v>
      </c>
      <c r="N61" s="296" t="s">
        <v>198</v>
      </c>
      <c r="O61" s="296" t="s">
        <v>199</v>
      </c>
    </row>
    <row r="62" spans="2:26" ht="15.75" thickBot="1" x14ac:dyDescent="0.3">
      <c r="C62" s="21"/>
      <c r="D62" s="21"/>
      <c r="E62" s="154">
        <f>SUM(E56:E61)</f>
        <v>69718261.204910368</v>
      </c>
      <c r="F62" s="154">
        <f>SUM(F56:F61)</f>
        <v>69943726.552580789</v>
      </c>
      <c r="G62" s="154">
        <f>E62-F62</f>
        <v>-225465.347670421</v>
      </c>
      <c r="H62" s="155" t="s">
        <v>125</v>
      </c>
      <c r="I62" s="21"/>
      <c r="J62" s="164">
        <v>5.0000000000000001E-3</v>
      </c>
      <c r="L62" s="297" t="s">
        <v>98</v>
      </c>
      <c r="M62" s="297">
        <f>+W53</f>
        <v>0</v>
      </c>
      <c r="N62" s="301">
        <f>+W57</f>
        <v>59616651</v>
      </c>
      <c r="O62" s="301">
        <f>+M62-N62</f>
        <v>-59616651</v>
      </c>
      <c r="Q62" s="310" t="e">
        <f>SUM(Q54:V54)/SUM(Q52:V52)</f>
        <v>#DIV/0!</v>
      </c>
    </row>
    <row r="63" spans="2:26" ht="15.75" thickBot="1" x14ac:dyDescent="0.3">
      <c r="J63" s="165">
        <f>J62*F62</f>
        <v>349718.63276290393</v>
      </c>
      <c r="L63" s="298" t="s">
        <v>200</v>
      </c>
      <c r="M63" s="299" t="e">
        <f>M64/M62</f>
        <v>#DIV/0!</v>
      </c>
      <c r="N63" s="299">
        <f>N64/N62</f>
        <v>0.11661503424349019</v>
      </c>
      <c r="O63" s="304">
        <f>O64/O62</f>
        <v>0.11661503424349019</v>
      </c>
    </row>
    <row r="64" spans="2:26" ht="15.75" thickBot="1" x14ac:dyDescent="0.3">
      <c r="B64" s="169" t="s">
        <v>143</v>
      </c>
      <c r="C64" s="169"/>
      <c r="D64" s="169"/>
      <c r="E64" s="23">
        <f>E62-E53</f>
        <v>-494259.54128199816</v>
      </c>
      <c r="F64" s="23">
        <f>F62-F53</f>
        <v>-268794.19361157715</v>
      </c>
      <c r="G64" s="23">
        <f>E64-F64</f>
        <v>-225465.347670421</v>
      </c>
      <c r="J64" s="18"/>
      <c r="L64" s="300" t="s">
        <v>201</v>
      </c>
      <c r="M64" s="302">
        <f>+W55</f>
        <v>0</v>
      </c>
      <c r="N64" s="303">
        <f>+W59</f>
        <v>6952197.7978472039</v>
      </c>
      <c r="O64" s="303">
        <f>+M64-N64</f>
        <v>-6952197.7978472039</v>
      </c>
    </row>
    <row r="65" spans="2:14" ht="15.75" thickTop="1" x14ac:dyDescent="0.25">
      <c r="J65" s="18"/>
    </row>
    <row r="66" spans="2:14" x14ac:dyDescent="0.25">
      <c r="B66" s="115" t="s">
        <v>122</v>
      </c>
      <c r="J66" s="7"/>
    </row>
    <row r="67" spans="2:14" x14ac:dyDescent="0.25">
      <c r="B67" s="141" t="s">
        <v>125</v>
      </c>
      <c r="C67" t="s">
        <v>123</v>
      </c>
      <c r="G67" s="7">
        <f>E18-F60</f>
        <v>4424629.1064423909</v>
      </c>
      <c r="J67" s="7"/>
    </row>
    <row r="68" spans="2:14" x14ac:dyDescent="0.25">
      <c r="C68" t="s">
        <v>124</v>
      </c>
      <c r="G68" s="7">
        <f>(E12+E13)-F59</f>
        <v>-47593144.240500182</v>
      </c>
    </row>
    <row r="69" spans="2:14" x14ac:dyDescent="0.25">
      <c r="G69" s="7">
        <f>SUM(G67:G68)</f>
        <v>-43168515.13405779</v>
      </c>
    </row>
    <row r="71" spans="2:14" x14ac:dyDescent="0.25">
      <c r="F71" s="7"/>
    </row>
    <row r="72" spans="2:14" x14ac:dyDescent="0.25">
      <c r="B72" s="115" t="s">
        <v>132</v>
      </c>
      <c r="C72" s="115"/>
      <c r="E72" s="140" t="s">
        <v>202</v>
      </c>
      <c r="F72" s="140" t="s">
        <v>95</v>
      </c>
      <c r="L72" t="s">
        <v>105</v>
      </c>
      <c r="N72" s="305" t="s">
        <v>211</v>
      </c>
    </row>
    <row r="74" spans="2:14" x14ac:dyDescent="0.25">
      <c r="C74" t="s">
        <v>120</v>
      </c>
      <c r="E74" s="47">
        <f>+'WRZ - Jan-Dec 2020'!E78</f>
        <v>25230012.458615933</v>
      </c>
      <c r="F74" s="7">
        <f>'WRZ - Jan-Dec 2020'!E78</f>
        <v>25230012.458615933</v>
      </c>
      <c r="G74" s="79"/>
      <c r="H74" s="79"/>
    </row>
    <row r="75" spans="2:14" x14ac:dyDescent="0.25">
      <c r="C75" t="s">
        <v>109</v>
      </c>
      <c r="E75" s="7">
        <f>'WRZ - Jan-Dec 2020'!E77</f>
        <v>11006424.969999999</v>
      </c>
      <c r="F75" s="7">
        <f>'WRZ - Jan-Dec 2020'!E77</f>
        <v>11006424.969999999</v>
      </c>
      <c r="G75" s="79"/>
      <c r="H75" s="56"/>
    </row>
    <row r="76" spans="2:14" ht="15.75" thickBot="1" x14ac:dyDescent="0.3">
      <c r="C76" t="s">
        <v>106</v>
      </c>
      <c r="E76" s="136">
        <f>SUM(E74:E75)</f>
        <v>36236437.428615928</v>
      </c>
      <c r="F76" s="136">
        <f>SUM(F74:F75)</f>
        <v>36236437.428615928</v>
      </c>
      <c r="G76" s="7">
        <f>E76-F76</f>
        <v>0</v>
      </c>
      <c r="H76" s="56"/>
    </row>
    <row r="77" spans="2:14" x14ac:dyDescent="0.25">
      <c r="E77" s="18"/>
      <c r="F77" s="18"/>
      <c r="G77" s="7"/>
      <c r="H77" s="56"/>
    </row>
    <row r="78" spans="2:14" x14ac:dyDescent="0.25">
      <c r="B78" t="s">
        <v>133</v>
      </c>
      <c r="E78" s="80"/>
      <c r="F78" s="139"/>
      <c r="G78" s="79"/>
      <c r="H78" s="56"/>
    </row>
    <row r="79" spans="2:14" ht="15.75" thickBot="1" x14ac:dyDescent="0.3">
      <c r="C79" t="s">
        <v>107</v>
      </c>
      <c r="E79" s="80">
        <f>'WRZ - Jan-Dec 2020'!E56</f>
        <v>11006424.969999999</v>
      </c>
      <c r="F79" s="7">
        <f>'WRZ - Jan-Dec 2020'!E56</f>
        <v>11006424.969999999</v>
      </c>
      <c r="G79" s="79"/>
      <c r="H79" s="56"/>
    </row>
    <row r="80" spans="2:14" x14ac:dyDescent="0.25">
      <c r="C80" t="s">
        <v>108</v>
      </c>
      <c r="E80" s="80">
        <f>+N64</f>
        <v>6952197.7978472039</v>
      </c>
      <c r="F80" s="7">
        <f>'WRZ - Jan-Dec 2020'!E58</f>
        <v>25250727.88386447</v>
      </c>
      <c r="G80" s="79"/>
      <c r="H80" s="56"/>
      <c r="J80" s="166" t="s">
        <v>142</v>
      </c>
    </row>
    <row r="81" spans="2:25" ht="15.75" thickBot="1" x14ac:dyDescent="0.3">
      <c r="C81" t="s">
        <v>110</v>
      </c>
      <c r="E81" s="136">
        <f>SUM(E79:E80)</f>
        <v>17958622.767847203</v>
      </c>
      <c r="F81" s="136">
        <f>SUM(F79:F80)</f>
        <v>36257152.853864469</v>
      </c>
      <c r="G81" s="7">
        <f>E81-F81</f>
        <v>-18298530.086017266</v>
      </c>
      <c r="H81" s="148" t="s">
        <v>112</v>
      </c>
      <c r="J81" s="164">
        <v>5.0000000000000001E-3</v>
      </c>
    </row>
    <row r="82" spans="2:25" ht="15.75" thickBot="1" x14ac:dyDescent="0.3">
      <c r="E82" s="80"/>
      <c r="F82" s="138"/>
      <c r="G82" s="79"/>
      <c r="H82" s="56"/>
      <c r="J82" s="165">
        <f>J81*F81</f>
        <v>181285.76426932236</v>
      </c>
    </row>
    <row r="83" spans="2:25" ht="15.75" thickBot="1" x14ac:dyDescent="0.3">
      <c r="B83" s="169" t="s">
        <v>144</v>
      </c>
      <c r="C83" s="169"/>
      <c r="D83" s="169"/>
      <c r="E83" s="23">
        <f>E81-E76</f>
        <v>-18277814.660768725</v>
      </c>
      <c r="F83" s="23">
        <f>F81-F76</f>
        <v>20715.425248540938</v>
      </c>
      <c r="G83" s="23">
        <f>E83-F83</f>
        <v>-18298530.086017266</v>
      </c>
      <c r="H83" s="56"/>
      <c r="J83" s="18"/>
    </row>
    <row r="84" spans="2:25" ht="15.75" thickTop="1" x14ac:dyDescent="0.25">
      <c r="E84" s="80"/>
      <c r="F84" s="138"/>
      <c r="G84" s="79"/>
      <c r="H84" s="56"/>
      <c r="J84" s="18"/>
    </row>
    <row r="85" spans="2:25" x14ac:dyDescent="0.25">
      <c r="B85" s="141" t="s">
        <v>112</v>
      </c>
      <c r="C85" s="4" t="s">
        <v>113</v>
      </c>
      <c r="E85" s="80"/>
      <c r="F85" s="139"/>
      <c r="G85" s="79"/>
      <c r="H85" s="56"/>
    </row>
    <row r="86" spans="2:25" x14ac:dyDescent="0.25">
      <c r="I86" s="7"/>
    </row>
    <row r="87" spans="2:25" x14ac:dyDescent="0.25">
      <c r="G87" s="167"/>
    </row>
    <row r="88" spans="2:25" x14ac:dyDescent="0.25">
      <c r="G88" s="168"/>
      <c r="V88" s="311">
        <f>'WRZ - Jan-Dec 2020'!R43</f>
        <v>0</v>
      </c>
      <c r="X88" s="311">
        <f>'WRZ - Jan-Dec 2020'!S43</f>
        <v>0</v>
      </c>
      <c r="Y88" s="162">
        <f>SUM(N88:X88)</f>
        <v>0</v>
      </c>
    </row>
    <row r="89" spans="2:25" x14ac:dyDescent="0.25">
      <c r="L89" s="305" t="s">
        <v>212</v>
      </c>
      <c r="N89" s="162">
        <f>'WRZ - Jan-Dec 2020'!N43</f>
        <v>0</v>
      </c>
      <c r="O89" s="162"/>
      <c r="P89" s="162">
        <f>'WRZ - Jan-Dec 2020'!O43</f>
        <v>0</v>
      </c>
      <c r="Q89" s="162"/>
      <c r="R89" s="162">
        <f>'WRZ - Jan-Dec 2020'!P43</f>
        <v>0</v>
      </c>
      <c r="S89" s="162"/>
      <c r="T89" s="162">
        <f>'WRZ - Jan-Dec 2020'!Q43</f>
        <v>0</v>
      </c>
      <c r="U89" s="21"/>
      <c r="V89" s="311">
        <f>'WRZ - Jan-Dec 2020'!R44</f>
        <v>0</v>
      </c>
      <c r="Y89" s="6">
        <f>SUM(N89:V89)</f>
        <v>0</v>
      </c>
    </row>
    <row r="90" spans="2:25" x14ac:dyDescent="0.25">
      <c r="N90" s="162">
        <f>'WRZ - Jan-Dec 2020'!N44</f>
        <v>0</v>
      </c>
      <c r="O90" s="162"/>
      <c r="P90" s="162">
        <f>'WRZ - Jan-Dec 2020'!O44</f>
        <v>0</v>
      </c>
      <c r="Q90" s="162"/>
      <c r="R90" s="162">
        <f>'WRZ - Jan-Dec 2020'!P44</f>
        <v>0</v>
      </c>
      <c r="S90" s="162"/>
      <c r="T90" s="162">
        <f>'WRZ - Jan-Dec 2020'!Q44</f>
        <v>0</v>
      </c>
      <c r="U90" s="21"/>
    </row>
    <row r="91" spans="2:25" x14ac:dyDescent="0.25">
      <c r="U91" t="s">
        <v>209</v>
      </c>
    </row>
  </sheetData>
  <mergeCells count="1">
    <mergeCell ref="L58:O59"/>
  </mergeCells>
  <pageMargins left="0.2" right="0.2" top="0.75" bottom="0.75" header="0.3" footer="0.3"/>
  <pageSetup scale="80" orientation="portrait" r:id="rId1"/>
  <headerFooter>
    <oddFooter>&amp;L&amp;Z&amp;F&amp;R&amp;D</oddFooter>
  </headerFooter>
  <rowBreaks count="1" manualBreakCount="1">
    <brk id="45" max="16383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97"/>
  <sheetViews>
    <sheetView topLeftCell="A62" zoomScale="110" zoomScaleNormal="110" workbookViewId="0">
      <selection activeCell="H86" sqref="H86"/>
    </sheetView>
  </sheetViews>
  <sheetFormatPr defaultRowHeight="15" x14ac:dyDescent="0.25"/>
  <cols>
    <col min="2" max="2" width="4.42578125" customWidth="1"/>
    <col min="3" max="3" width="49.5703125" bestFit="1" customWidth="1"/>
    <col min="4" max="4" width="7" bestFit="1" customWidth="1"/>
    <col min="5" max="6" width="14" customWidth="1"/>
    <col min="7" max="7" width="12.85546875" bestFit="1" customWidth="1"/>
    <col min="8" max="8" width="12.7109375" bestFit="1" customWidth="1"/>
    <col min="9" max="9" width="11.5703125" bestFit="1" customWidth="1"/>
    <col min="10" max="10" width="12.28515625" bestFit="1" customWidth="1"/>
    <col min="11" max="11" width="9.7109375" bestFit="1" customWidth="1"/>
    <col min="13" max="13" width="15" bestFit="1" customWidth="1"/>
    <col min="14" max="14" width="15.140625" bestFit="1" customWidth="1"/>
    <col min="15" max="15" width="14.140625" bestFit="1" customWidth="1"/>
    <col min="16" max="16" width="15" bestFit="1" customWidth="1"/>
    <col min="17" max="17" width="14.42578125" bestFit="1" customWidth="1"/>
    <col min="18" max="18" width="16.42578125" customWidth="1"/>
    <col min="19" max="20" width="14.28515625" bestFit="1" customWidth="1"/>
    <col min="21" max="21" width="15.28515625" bestFit="1" customWidth="1"/>
    <col min="22" max="22" width="14.28515625" bestFit="1" customWidth="1"/>
    <col min="23" max="23" width="15" bestFit="1" customWidth="1"/>
    <col min="24" max="24" width="12.42578125" bestFit="1" customWidth="1"/>
  </cols>
  <sheetData>
    <row r="1" spans="1:23" x14ac:dyDescent="0.25"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</row>
    <row r="2" spans="1:23" x14ac:dyDescent="0.25">
      <c r="B2" s="161" t="s">
        <v>276</v>
      </c>
      <c r="C2" s="4"/>
      <c r="D2" s="4"/>
      <c r="E2" s="4"/>
      <c r="F2" s="4"/>
      <c r="G2" s="4"/>
      <c r="H2" s="4"/>
      <c r="L2" s="79"/>
      <c r="M2" s="396"/>
      <c r="N2" s="396"/>
      <c r="O2" s="396"/>
      <c r="P2" s="396"/>
      <c r="Q2" s="396"/>
      <c r="R2" s="396"/>
      <c r="S2" s="396"/>
      <c r="T2" s="397"/>
      <c r="U2" s="79"/>
      <c r="V2" s="79"/>
      <c r="W2" s="79"/>
    </row>
    <row r="3" spans="1:23" x14ac:dyDescent="0.25">
      <c r="B3" s="4"/>
      <c r="C3" s="4"/>
      <c r="D3" s="4"/>
      <c r="E3" s="4"/>
      <c r="F3" s="4"/>
      <c r="G3" s="4"/>
      <c r="H3" s="4"/>
      <c r="L3" s="79"/>
      <c r="M3" s="396"/>
      <c r="N3" s="396"/>
      <c r="O3" s="396"/>
      <c r="P3" s="396"/>
      <c r="Q3" s="396"/>
      <c r="R3" s="396"/>
      <c r="S3" s="396"/>
      <c r="T3" s="397"/>
      <c r="U3" s="79"/>
      <c r="V3" s="79"/>
      <c r="W3" s="79"/>
    </row>
    <row r="4" spans="1:23" ht="18" x14ac:dyDescent="0.35">
      <c r="B4" s="358"/>
      <c r="C4" s="359"/>
      <c r="D4" s="360"/>
      <c r="E4" s="361"/>
      <c r="F4" s="120"/>
      <c r="L4" s="79"/>
      <c r="M4" s="396"/>
      <c r="N4" s="396"/>
      <c r="O4" s="396"/>
      <c r="P4" s="396"/>
      <c r="Q4" s="396"/>
      <c r="R4" s="396"/>
      <c r="S4" s="396"/>
      <c r="T4" s="397"/>
      <c r="U4" s="79"/>
      <c r="V4" s="79"/>
      <c r="W4" s="79"/>
    </row>
    <row r="5" spans="1:23" ht="30" x14ac:dyDescent="0.25">
      <c r="B5" s="354" t="s">
        <v>265</v>
      </c>
      <c r="C5" s="131"/>
      <c r="D5" s="131"/>
      <c r="E5" s="357" t="s">
        <v>260</v>
      </c>
      <c r="F5" s="350" t="s">
        <v>267</v>
      </c>
      <c r="G5" s="353" t="s">
        <v>259</v>
      </c>
      <c r="L5" s="79"/>
      <c r="M5" s="396"/>
      <c r="N5" s="396"/>
      <c r="O5" s="396"/>
      <c r="P5" s="396"/>
      <c r="Q5" s="396"/>
      <c r="R5" s="396"/>
      <c r="S5" s="396"/>
      <c r="T5" s="397"/>
      <c r="U5" s="79"/>
      <c r="V5" s="79"/>
      <c r="W5" s="79"/>
    </row>
    <row r="6" spans="1:23" x14ac:dyDescent="0.25">
      <c r="B6" s="131"/>
      <c r="C6" s="131" t="s">
        <v>254</v>
      </c>
      <c r="D6" s="131"/>
      <c r="E6" s="347">
        <v>65133993.409999996</v>
      </c>
      <c r="F6" s="349">
        <f>I43</f>
        <v>-255621.57294988798</v>
      </c>
      <c r="G6" s="7">
        <f>SUM(E6:F6)</f>
        <v>64878371.83705011</v>
      </c>
      <c r="L6" s="79"/>
      <c r="M6" s="396"/>
      <c r="N6" s="396"/>
      <c r="O6" s="396"/>
      <c r="P6" s="396"/>
      <c r="Q6" s="396"/>
      <c r="R6" s="396"/>
      <c r="S6" s="396"/>
      <c r="T6" s="397"/>
      <c r="U6" s="79"/>
      <c r="V6" s="79"/>
      <c r="W6" s="79"/>
    </row>
    <row r="7" spans="1:23" x14ac:dyDescent="0.25">
      <c r="B7" s="131"/>
      <c r="C7" s="131" t="s">
        <v>255</v>
      </c>
      <c r="D7" s="131"/>
      <c r="E7" s="347">
        <v>7675636.7799999993</v>
      </c>
      <c r="F7" s="347">
        <f>I47</f>
        <v>-30156.225279465481</v>
      </c>
      <c r="G7" s="7">
        <f>SUM(E7:F7)</f>
        <v>7645480.554720534</v>
      </c>
      <c r="L7" s="79"/>
      <c r="M7" s="396"/>
      <c r="N7" s="396"/>
      <c r="O7" s="369"/>
      <c r="P7" s="396"/>
      <c r="Q7" s="396"/>
      <c r="R7" s="396"/>
      <c r="S7" s="396"/>
      <c r="T7" s="397"/>
      <c r="U7" s="79"/>
      <c r="V7" s="79"/>
      <c r="W7" s="79"/>
    </row>
    <row r="8" spans="1:23" x14ac:dyDescent="0.25">
      <c r="B8" s="131"/>
      <c r="C8" s="131"/>
      <c r="D8" s="131"/>
      <c r="E8" s="348">
        <f>E6-E7</f>
        <v>57458356.629999995</v>
      </c>
      <c r="F8" s="348">
        <f>F6-F7</f>
        <v>-225465.34767042249</v>
      </c>
      <c r="G8" s="352">
        <f>G6-G7</f>
        <v>57232891.282329574</v>
      </c>
      <c r="H8" s="7"/>
      <c r="L8" s="79"/>
      <c r="M8" s="396"/>
      <c r="N8" s="396"/>
      <c r="O8" s="369"/>
      <c r="P8" s="396"/>
      <c r="Q8" s="396"/>
      <c r="R8" s="396"/>
      <c r="S8" s="396"/>
      <c r="T8" s="397"/>
      <c r="U8" s="79"/>
      <c r="V8" s="79"/>
      <c r="W8" s="79"/>
    </row>
    <row r="9" spans="1:23" x14ac:dyDescent="0.25">
      <c r="B9" s="131"/>
      <c r="C9" s="131"/>
      <c r="D9" s="131"/>
      <c r="E9" s="351"/>
      <c r="F9" s="351"/>
      <c r="G9" s="196"/>
      <c r="L9" s="79"/>
      <c r="M9" s="396"/>
      <c r="N9" s="396"/>
      <c r="O9" s="396"/>
      <c r="P9" s="396"/>
      <c r="Q9" s="396"/>
      <c r="R9" s="396"/>
      <c r="S9" s="396"/>
      <c r="T9" s="397"/>
      <c r="U9" s="79"/>
      <c r="V9" s="79"/>
      <c r="W9" s="79"/>
    </row>
    <row r="10" spans="1:23" x14ac:dyDescent="0.25">
      <c r="B10" s="131"/>
      <c r="C10" t="s">
        <v>256</v>
      </c>
      <c r="E10" s="7">
        <v>60308076.120000005</v>
      </c>
      <c r="G10" s="7">
        <f>E10</f>
        <v>60308076.120000005</v>
      </c>
      <c r="J10" s="21"/>
      <c r="L10" s="39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</row>
    <row r="11" spans="1:23" x14ac:dyDescent="0.25">
      <c r="A11" s="21" t="s">
        <v>168</v>
      </c>
      <c r="B11" s="131"/>
      <c r="C11" s="134" t="s">
        <v>268</v>
      </c>
      <c r="E11" s="5">
        <v>1051245.49</v>
      </c>
      <c r="F11" s="21"/>
      <c r="G11" s="47">
        <f>E11</f>
        <v>1051245.49</v>
      </c>
      <c r="H11" s="21"/>
      <c r="I11" s="21"/>
      <c r="L11" s="79"/>
      <c r="M11" s="196"/>
      <c r="N11" s="80"/>
      <c r="O11" s="196"/>
      <c r="P11" s="79"/>
      <c r="Q11" s="79"/>
      <c r="R11" s="79"/>
      <c r="S11" s="79"/>
      <c r="T11" s="196"/>
      <c r="U11" s="79"/>
      <c r="V11" s="79"/>
      <c r="W11" s="79"/>
    </row>
    <row r="12" spans="1:23" x14ac:dyDescent="0.25">
      <c r="B12" s="131"/>
      <c r="E12" s="137">
        <f>SUM(E10:E11)</f>
        <v>61359321.610000007</v>
      </c>
      <c r="G12" s="137">
        <f>SUM(G10:G11)</f>
        <v>61359321.610000007</v>
      </c>
      <c r="H12" s="47"/>
      <c r="I12" s="21"/>
      <c r="L12" s="79"/>
      <c r="M12" s="396"/>
      <c r="N12" s="396"/>
      <c r="O12" s="396"/>
      <c r="P12" s="396"/>
      <c r="Q12" s="396"/>
      <c r="R12" s="396"/>
      <c r="S12" s="396"/>
      <c r="T12" s="397"/>
      <c r="U12" s="79"/>
      <c r="V12" s="79"/>
      <c r="W12" s="79"/>
    </row>
    <row r="13" spans="1:23" x14ac:dyDescent="0.25">
      <c r="B13" s="131"/>
      <c r="E13" s="18"/>
      <c r="G13" s="18"/>
      <c r="H13" s="21"/>
      <c r="I13" s="21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</row>
    <row r="14" spans="1:23" ht="15.75" thickBot="1" x14ac:dyDescent="0.3">
      <c r="B14" s="131"/>
      <c r="E14" s="23">
        <f>E8-E12</f>
        <v>-3900964.9800000116</v>
      </c>
      <c r="F14" s="23">
        <f>F8-F12</f>
        <v>-225465.34767042249</v>
      </c>
      <c r="G14" s="23">
        <f>G8-G12</f>
        <v>-4126430.3276704326</v>
      </c>
      <c r="H14" s="21" t="str">
        <f>IF(G14&gt;0,"due to IESO on CT 142","due from IESO on CT142")</f>
        <v>due from IESO on CT142</v>
      </c>
      <c r="I14" s="21"/>
      <c r="K14" s="21"/>
      <c r="L14" s="79"/>
      <c r="M14" s="196"/>
      <c r="N14" s="196"/>
      <c r="O14" s="196"/>
      <c r="P14" s="196"/>
      <c r="Q14" s="196"/>
      <c r="R14" s="196"/>
      <c r="S14" s="196"/>
      <c r="T14" s="196"/>
      <c r="U14" s="79"/>
      <c r="V14" s="79"/>
      <c r="W14" s="79"/>
    </row>
    <row r="15" spans="1:23" ht="15.75" thickTop="1" x14ac:dyDescent="0.25">
      <c r="B15" s="354" t="s">
        <v>258</v>
      </c>
      <c r="C15" s="115"/>
      <c r="E15" s="18"/>
      <c r="G15" s="18"/>
      <c r="H15" s="21"/>
      <c r="I15" s="21"/>
      <c r="K15" s="21"/>
      <c r="L15" s="79"/>
      <c r="M15" s="196"/>
      <c r="N15" s="196"/>
      <c r="O15" s="196"/>
      <c r="P15" s="196"/>
      <c r="Q15" s="196"/>
      <c r="R15" s="196"/>
      <c r="S15" s="196"/>
      <c r="T15" s="196"/>
      <c r="U15" s="79"/>
      <c r="V15" s="79"/>
      <c r="W15" s="79"/>
    </row>
    <row r="16" spans="1:23" x14ac:dyDescent="0.25">
      <c r="A16">
        <v>4705</v>
      </c>
      <c r="B16" s="131">
        <v>142</v>
      </c>
      <c r="C16" t="s">
        <v>263</v>
      </c>
      <c r="E16" s="18"/>
      <c r="G16" s="18">
        <v>-4164905.6899999985</v>
      </c>
      <c r="H16" s="21"/>
      <c r="I16" s="21"/>
      <c r="K16" s="21"/>
      <c r="L16" s="79"/>
      <c r="M16" s="196"/>
      <c r="N16" s="196"/>
      <c r="O16" s="196"/>
      <c r="P16" s="196"/>
      <c r="Q16" s="196"/>
      <c r="R16" s="196"/>
      <c r="S16" s="196"/>
      <c r="T16" s="196"/>
      <c r="U16" s="79"/>
      <c r="V16" s="79"/>
      <c r="W16" s="79"/>
    </row>
    <row r="17" spans="1:23" x14ac:dyDescent="0.25">
      <c r="A17">
        <v>4705</v>
      </c>
      <c r="B17" s="131">
        <v>148</v>
      </c>
      <c r="C17" t="s">
        <v>257</v>
      </c>
      <c r="E17" s="18"/>
      <c r="G17" s="18">
        <f>G12</f>
        <v>61359321.610000007</v>
      </c>
      <c r="H17" s="21"/>
      <c r="I17" s="47" t="s">
        <v>168</v>
      </c>
      <c r="K17" s="21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</row>
    <row r="18" spans="1:23" x14ac:dyDescent="0.25">
      <c r="B18" s="131"/>
      <c r="E18" s="18"/>
      <c r="G18" s="137">
        <f>SUM(G16:G17)</f>
        <v>57194415.920000009</v>
      </c>
      <c r="H18" s="21"/>
      <c r="I18" s="21" t="s">
        <v>168</v>
      </c>
      <c r="K18" s="21"/>
      <c r="L18" s="79"/>
      <c r="M18" s="400"/>
      <c r="N18" s="400"/>
      <c r="O18" s="400"/>
      <c r="P18" s="139"/>
      <c r="Q18" s="139"/>
      <c r="R18" s="139"/>
      <c r="S18" s="79"/>
      <c r="T18" s="79"/>
      <c r="U18" s="79"/>
      <c r="V18" s="79"/>
      <c r="W18" s="79"/>
    </row>
    <row r="19" spans="1:23" x14ac:dyDescent="0.25">
      <c r="B19" s="354" t="s">
        <v>261</v>
      </c>
      <c r="E19" s="18"/>
      <c r="F19" s="355" t="s">
        <v>168</v>
      </c>
      <c r="G19" s="18"/>
      <c r="H19" s="21"/>
      <c r="I19" s="21"/>
      <c r="K19" s="21"/>
      <c r="L19" s="79"/>
      <c r="M19" s="80"/>
      <c r="N19" s="80"/>
      <c r="O19" s="80"/>
      <c r="P19" s="401"/>
      <c r="Q19" s="401"/>
      <c r="R19" s="401"/>
      <c r="S19" s="401"/>
      <c r="T19" s="196"/>
      <c r="U19" s="79"/>
      <c r="V19" s="79"/>
      <c r="W19" s="79"/>
    </row>
    <row r="20" spans="1:23" x14ac:dyDescent="0.25">
      <c r="A20" s="21">
        <v>4705</v>
      </c>
      <c r="B20" s="134">
        <v>142</v>
      </c>
      <c r="C20" s="134" t="s">
        <v>262</v>
      </c>
      <c r="D20" s="134"/>
      <c r="E20" s="134"/>
      <c r="F20" s="134"/>
      <c r="G20" s="47">
        <f>G8-G18</f>
        <v>38475.362329564989</v>
      </c>
      <c r="H20" s="21" t="str">
        <f>IF(G20&gt;0,"due to IESO on CT 142","due from IESO on CT142")</f>
        <v>due to IESO on CT 142</v>
      </c>
      <c r="I20" s="21"/>
      <c r="K20" s="21"/>
      <c r="L20" s="79"/>
      <c r="M20" s="401"/>
      <c r="N20" s="401"/>
      <c r="O20" s="401"/>
      <c r="P20" s="401"/>
      <c r="Q20" s="401"/>
      <c r="R20" s="401"/>
      <c r="S20" s="401"/>
      <c r="T20" s="196"/>
      <c r="U20" s="79"/>
      <c r="V20" s="79"/>
      <c r="W20" s="79"/>
    </row>
    <row r="21" spans="1:23" x14ac:dyDescent="0.25">
      <c r="A21" s="21" t="s">
        <v>168</v>
      </c>
      <c r="B21" s="131"/>
      <c r="C21" s="131"/>
      <c r="D21" s="131"/>
      <c r="E21" s="131"/>
      <c r="F21" s="131"/>
      <c r="G21" s="7"/>
      <c r="K21" s="21"/>
      <c r="L21" s="79"/>
      <c r="M21" s="80"/>
      <c r="N21" s="80"/>
      <c r="O21" s="80"/>
      <c r="P21" s="80"/>
      <c r="Q21" s="80"/>
      <c r="R21" s="80"/>
      <c r="S21" s="79"/>
      <c r="T21" s="196"/>
      <c r="U21" s="79"/>
      <c r="V21" s="79"/>
      <c r="W21" s="79"/>
    </row>
    <row r="22" spans="1:23" ht="15.75" thickBot="1" x14ac:dyDescent="0.3">
      <c r="B22" s="131" t="s">
        <v>264</v>
      </c>
      <c r="G22" s="23">
        <f>G20+G16</f>
        <v>-4126430.3276704336</v>
      </c>
      <c r="K22" s="21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</row>
    <row r="23" spans="1:23" ht="15.75" thickTop="1" x14ac:dyDescent="0.25">
      <c r="B23" s="131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</row>
    <row r="24" spans="1:23" x14ac:dyDescent="0.25">
      <c r="A24">
        <v>4705</v>
      </c>
      <c r="B24" s="131" t="s">
        <v>266</v>
      </c>
      <c r="C24" s="131"/>
      <c r="D24" s="131"/>
      <c r="E24" s="131"/>
      <c r="F24" s="131"/>
      <c r="G24" s="47">
        <f>G18+G20+G7</f>
        <v>64878371.83705011</v>
      </c>
      <c r="H24" s="21"/>
      <c r="I24" s="21"/>
      <c r="L24" s="79"/>
      <c r="M24" s="139"/>
      <c r="N24" s="139"/>
      <c r="O24" s="79"/>
      <c r="P24" s="79"/>
      <c r="Q24" s="79"/>
      <c r="R24" s="79"/>
      <c r="S24" s="79"/>
      <c r="T24" s="79"/>
      <c r="U24" s="79"/>
      <c r="V24" s="402"/>
      <c r="W24" s="402"/>
    </row>
    <row r="25" spans="1:23" x14ac:dyDescent="0.25">
      <c r="B25" s="156"/>
      <c r="C25" s="156"/>
      <c r="D25" s="80"/>
      <c r="E25" s="80"/>
      <c r="F25" s="80"/>
      <c r="G25" s="79"/>
      <c r="H25" s="79"/>
      <c r="L25" s="79"/>
      <c r="M25" s="80"/>
      <c r="N25" s="80"/>
      <c r="O25" s="369"/>
      <c r="P25" s="369"/>
      <c r="Q25" s="369"/>
      <c r="R25" s="369"/>
      <c r="S25" s="369"/>
      <c r="T25" s="369"/>
      <c r="U25" s="369"/>
      <c r="V25" s="402"/>
      <c r="W25" s="402"/>
    </row>
    <row r="26" spans="1:23" x14ac:dyDescent="0.25">
      <c r="B26" s="156"/>
      <c r="C26" s="156"/>
      <c r="D26" s="80"/>
      <c r="E26" s="80"/>
      <c r="F26" s="80"/>
      <c r="G26" s="79"/>
      <c r="H26" s="79"/>
      <c r="L26" s="79"/>
      <c r="M26" s="80"/>
      <c r="N26" s="80"/>
      <c r="O26" s="369"/>
      <c r="P26" s="369"/>
      <c r="Q26" s="369"/>
      <c r="R26" s="369"/>
      <c r="S26" s="369"/>
      <c r="T26" s="369"/>
      <c r="U26" s="369"/>
      <c r="V26" s="402"/>
      <c r="W26" s="402"/>
    </row>
    <row r="27" spans="1:23" x14ac:dyDescent="0.25">
      <c r="B27" s="4"/>
      <c r="C27" s="4"/>
      <c r="D27" s="4"/>
      <c r="E27" s="318" t="s">
        <v>270</v>
      </c>
      <c r="F27" s="318" t="s">
        <v>95</v>
      </c>
      <c r="G27" s="6"/>
      <c r="H27" s="6"/>
      <c r="L27" s="79"/>
      <c r="M27" s="80"/>
      <c r="N27" s="80"/>
      <c r="O27" s="369"/>
      <c r="P27" s="369"/>
      <c r="Q27" s="369"/>
      <c r="R27" s="369"/>
      <c r="S27" s="369"/>
      <c r="T27" s="369"/>
      <c r="U27" s="369"/>
      <c r="V27" s="402"/>
      <c r="W27" s="402"/>
    </row>
    <row r="28" spans="1:23" x14ac:dyDescent="0.25">
      <c r="B28" s="115" t="s">
        <v>94</v>
      </c>
      <c r="C28" s="4"/>
      <c r="D28" s="4"/>
      <c r="E28" s="125" t="s">
        <v>271</v>
      </c>
      <c r="F28" s="123"/>
      <c r="G28" s="125" t="s">
        <v>99</v>
      </c>
      <c r="H28" s="6"/>
      <c r="L28" s="79"/>
      <c r="M28" s="80"/>
      <c r="N28" s="80"/>
      <c r="O28" s="369"/>
      <c r="P28" s="369"/>
      <c r="Q28" s="369"/>
      <c r="R28" s="369"/>
      <c r="S28" s="369"/>
      <c r="T28" s="369"/>
      <c r="U28" s="369"/>
      <c r="V28" s="402"/>
      <c r="W28" s="402"/>
    </row>
    <row r="29" spans="1:23" x14ac:dyDescent="0.25">
      <c r="B29" s="156" t="s">
        <v>126</v>
      </c>
      <c r="C29" s="4" t="s">
        <v>96</v>
      </c>
      <c r="D29" s="4"/>
      <c r="E29" s="6">
        <f>+'WRZ - Jan-Dec 2020'!E72</f>
        <v>65133993.410000004</v>
      </c>
      <c r="F29" s="6">
        <f>+'WRZ Jan-Dec20 RPP 2nd TU'!H16</f>
        <v>64877001.937218323</v>
      </c>
      <c r="G29" s="6">
        <f>F29-E29</f>
        <v>-256991.47278168052</v>
      </c>
      <c r="H29" s="135">
        <f>G29/E29</f>
        <v>-3.9455813980879715E-3</v>
      </c>
      <c r="I29" s="141" t="s">
        <v>112</v>
      </c>
      <c r="J29" s="7"/>
      <c r="L29" s="79"/>
      <c r="M29" s="80"/>
      <c r="N29" s="80"/>
      <c r="O29" s="369"/>
      <c r="P29" s="369"/>
      <c r="Q29" s="369"/>
      <c r="R29" s="369"/>
      <c r="S29" s="369"/>
      <c r="T29" s="369"/>
      <c r="U29" s="369"/>
      <c r="V29" s="402"/>
      <c r="W29" s="402"/>
    </row>
    <row r="30" spans="1:23" x14ac:dyDescent="0.25">
      <c r="B30" s="156" t="s">
        <v>127</v>
      </c>
      <c r="C30" s="4" t="s">
        <v>101</v>
      </c>
      <c r="D30" s="4"/>
      <c r="E30" s="6">
        <f>+'WRZ - Jan-Dec 2020'!E84</f>
        <v>7675636.7799999993</v>
      </c>
      <c r="F30" s="6">
        <f>+'WRZ Jan-Dec20 RPP 2nd TU'!I16</f>
        <v>7648992.5284560686</v>
      </c>
      <c r="G30" s="6">
        <f>F30-E30</f>
        <v>-26644.251543930732</v>
      </c>
      <c r="H30" s="135">
        <f t="shared" ref="H30:H33" si="0">G30/E30</f>
        <v>-3.4712757140041134E-3</v>
      </c>
      <c r="I30" s="141" t="s">
        <v>116</v>
      </c>
      <c r="J30" s="7"/>
      <c r="L30" s="79"/>
      <c r="M30" s="80"/>
      <c r="N30" s="80"/>
      <c r="O30" s="369"/>
      <c r="P30" s="369"/>
      <c r="Q30" s="369"/>
      <c r="R30" s="369"/>
      <c r="S30" s="369"/>
      <c r="T30" s="369"/>
      <c r="U30" s="369"/>
      <c r="V30" s="402"/>
      <c r="W30" s="402"/>
    </row>
    <row r="31" spans="1:23" x14ac:dyDescent="0.25">
      <c r="A31" t="s">
        <v>272</v>
      </c>
      <c r="B31" s="157" t="s">
        <v>128</v>
      </c>
      <c r="C31" s="4" t="s">
        <v>97</v>
      </c>
      <c r="D31" s="4"/>
      <c r="E31" s="6">
        <f>+G10+G11</f>
        <v>61359321.610000007</v>
      </c>
      <c r="F31" s="6">
        <f>+'WRZ Jan-Dec20 RPP 2nd TU'!J16</f>
        <v>61349740.895204648</v>
      </c>
      <c r="G31" s="5">
        <f>F31-E31</f>
        <v>-9580.714795358479</v>
      </c>
      <c r="H31" s="135">
        <f t="shared" si="0"/>
        <v>-1.5614114602266181E-4</v>
      </c>
      <c r="I31" s="141" t="s">
        <v>119</v>
      </c>
      <c r="J31" s="21"/>
      <c r="K31" s="21"/>
      <c r="L31" s="79"/>
      <c r="M31" s="80"/>
      <c r="N31" s="369"/>
      <c r="O31" s="369"/>
      <c r="P31" s="369"/>
      <c r="Q31" s="369"/>
      <c r="R31" s="369"/>
      <c r="S31" s="369"/>
      <c r="T31" s="369"/>
      <c r="U31" s="369"/>
      <c r="V31" s="402"/>
      <c r="W31" s="402"/>
    </row>
    <row r="32" spans="1:23" x14ac:dyDescent="0.25">
      <c r="B32" s="157"/>
      <c r="C32" s="4" t="s">
        <v>193</v>
      </c>
      <c r="D32" s="4"/>
      <c r="E32" s="6">
        <f>-F14</f>
        <v>225465.34767042249</v>
      </c>
      <c r="F32" s="6"/>
      <c r="G32" s="5">
        <f>F32-E32</f>
        <v>-225465.34767042249</v>
      </c>
      <c r="H32" s="135"/>
      <c r="I32" s="141"/>
      <c r="J32" s="21"/>
      <c r="K32" s="21"/>
      <c r="L32" s="79"/>
      <c r="M32" s="403"/>
      <c r="N32" s="369"/>
      <c r="O32" s="369"/>
      <c r="P32" s="369"/>
      <c r="Q32" s="369"/>
      <c r="R32" s="369"/>
      <c r="S32" s="369"/>
      <c r="T32" s="369"/>
      <c r="U32" s="369"/>
      <c r="V32" s="402"/>
      <c r="W32" s="402"/>
    </row>
    <row r="33" spans="2:23" ht="15.75" thickBot="1" x14ac:dyDescent="0.3">
      <c r="B33" s="4"/>
      <c r="C33" s="4" t="s">
        <v>129</v>
      </c>
      <c r="D33" s="4"/>
      <c r="E33" s="124">
        <f>E29-E30-E31-E32</f>
        <v>-4126430.3276704266</v>
      </c>
      <c r="F33" s="124">
        <f>F29-F30-F31</f>
        <v>-4121731.4864423946</v>
      </c>
      <c r="G33" s="406">
        <f>G29-G30-G31-G32</f>
        <v>4698.841228031175</v>
      </c>
      <c r="H33" s="135">
        <f t="shared" si="0"/>
        <v>-1.138718178887538E-3</v>
      </c>
      <c r="L33" s="79"/>
      <c r="M33" s="80"/>
      <c r="N33" s="369"/>
      <c r="O33" s="369"/>
      <c r="P33" s="369"/>
      <c r="Q33" s="369"/>
      <c r="R33" s="369"/>
      <c r="S33" s="369"/>
      <c r="T33" s="369"/>
      <c r="U33" s="369"/>
      <c r="V33" s="402"/>
      <c r="W33" s="402"/>
    </row>
    <row r="34" spans="2:23" x14ac:dyDescent="0.25">
      <c r="B34" s="4"/>
      <c r="C34" s="4"/>
      <c r="D34" s="4"/>
      <c r="F34" s="7"/>
      <c r="G34" s="7"/>
      <c r="L34" s="79"/>
      <c r="M34" s="80"/>
      <c r="N34" s="369"/>
      <c r="O34" s="369"/>
      <c r="P34" s="369"/>
      <c r="Q34" s="369"/>
      <c r="R34" s="369"/>
      <c r="S34" s="369"/>
      <c r="T34" s="369"/>
      <c r="U34" s="369"/>
      <c r="V34" s="402"/>
      <c r="W34" s="402"/>
    </row>
    <row r="35" spans="2:23" x14ac:dyDescent="0.25">
      <c r="C35" s="115" t="s">
        <v>113</v>
      </c>
      <c r="E35" s="32"/>
      <c r="L35" s="79"/>
      <c r="M35" s="80"/>
      <c r="N35" s="369"/>
      <c r="O35" s="369"/>
      <c r="P35" s="369"/>
      <c r="Q35" s="369"/>
      <c r="R35" s="369"/>
      <c r="S35" s="369"/>
      <c r="T35" s="369"/>
      <c r="U35" s="369"/>
      <c r="V35" s="402"/>
      <c r="W35" s="402"/>
    </row>
    <row r="36" spans="2:23" x14ac:dyDescent="0.25">
      <c r="B36" s="141" t="s">
        <v>112</v>
      </c>
      <c r="E36" s="109" t="s">
        <v>117</v>
      </c>
      <c r="F36" s="109" t="s">
        <v>118</v>
      </c>
      <c r="G36" s="109" t="s">
        <v>99</v>
      </c>
      <c r="H36" s="109" t="s">
        <v>114</v>
      </c>
      <c r="I36" s="109" t="s">
        <v>115</v>
      </c>
      <c r="L36" s="79"/>
      <c r="M36" s="80"/>
      <c r="N36" s="369"/>
      <c r="O36" s="369"/>
      <c r="P36" s="369"/>
      <c r="Q36" s="369"/>
      <c r="R36" s="369"/>
      <c r="S36" s="369"/>
      <c r="T36" s="369"/>
      <c r="U36" s="369"/>
      <c r="V36" s="402"/>
      <c r="W36" s="402"/>
    </row>
    <row r="37" spans="2:23" x14ac:dyDescent="0.25">
      <c r="C37" t="s">
        <v>13</v>
      </c>
      <c r="E37" s="6">
        <f>'WRZ - Jan-Dec 2020'!D33</f>
        <v>36873825.259999998</v>
      </c>
      <c r="F37" s="6">
        <f>'WRZ - Jan-Dec 2020'!D16</f>
        <v>36707845.845137648</v>
      </c>
      <c r="G37" s="6">
        <f>E37-F37</f>
        <v>165979.41486234963</v>
      </c>
      <c r="H37" s="146">
        <f>'WRZ - Jan-Dec 2020'!E33</f>
        <v>0.12041500790037643</v>
      </c>
      <c r="I37" s="6">
        <f>G37*H37</f>
        <v>19986.412551949688</v>
      </c>
      <c r="L37" s="79"/>
      <c r="M37" s="80"/>
      <c r="N37" s="369"/>
      <c r="O37" s="369"/>
      <c r="P37" s="369"/>
      <c r="Q37" s="369"/>
      <c r="R37" s="369"/>
      <c r="S37" s="369"/>
      <c r="T37" s="369"/>
      <c r="U37" s="369"/>
      <c r="V37" s="402"/>
      <c r="W37" s="402"/>
    </row>
    <row r="38" spans="2:23" x14ac:dyDescent="0.25">
      <c r="C38" t="s">
        <v>14</v>
      </c>
      <c r="E38" s="6">
        <f>'WRZ - Jan-Dec 2020'!D34</f>
        <v>11846237.529999999</v>
      </c>
      <c r="F38" s="6">
        <f>'WRZ - Jan-Dec 2020'!D17</f>
        <v>11787556.342719726</v>
      </c>
      <c r="G38" s="6">
        <f t="shared" ref="G38:G46" si="1">E38-F38</f>
        <v>58681.187280273065</v>
      </c>
      <c r="H38" s="146">
        <f>'WRZ - Jan-Dec 2020'!E34</f>
        <v>0.14036367038809494</v>
      </c>
      <c r="I38" s="6">
        <f t="shared" ref="I38:I41" si="2">G38*H38</f>
        <v>8236.7068293903176</v>
      </c>
      <c r="K38" s="312"/>
      <c r="L38" s="79"/>
      <c r="M38" s="80"/>
      <c r="N38" s="369"/>
      <c r="O38" s="369"/>
      <c r="P38" s="369"/>
      <c r="Q38" s="369"/>
      <c r="R38" s="369"/>
      <c r="S38" s="369"/>
      <c r="T38" s="369"/>
      <c r="U38" s="369"/>
      <c r="V38" s="402"/>
      <c r="W38" s="402"/>
    </row>
    <row r="39" spans="2:23" x14ac:dyDescent="0.25">
      <c r="C39" t="s">
        <v>15</v>
      </c>
      <c r="E39" s="6">
        <f>'WRZ - Jan-Dec 2020'!D35</f>
        <v>297843349.39999998</v>
      </c>
      <c r="F39" s="6">
        <f>'WRZ - Jan-Dec 2020'!D18</f>
        <v>296674266.08246899</v>
      </c>
      <c r="G39" s="6">
        <f t="shared" si="1"/>
        <v>1169083.3175309896</v>
      </c>
      <c r="H39" s="146">
        <f>'WRZ - Jan-Dec 2020'!E35</f>
        <v>0.11429887915435859</v>
      </c>
      <c r="I39" s="6">
        <f t="shared" si="2"/>
        <v>133624.91283185122</v>
      </c>
      <c r="K39" s="312"/>
      <c r="L39" s="79"/>
      <c r="M39" s="398"/>
      <c r="N39" s="369"/>
      <c r="O39" s="369"/>
      <c r="P39" s="369"/>
      <c r="Q39" s="369"/>
      <c r="R39" s="369"/>
      <c r="S39" s="369"/>
      <c r="T39" s="369"/>
      <c r="U39" s="369"/>
      <c r="V39" s="402"/>
      <c r="W39" s="402"/>
    </row>
    <row r="40" spans="2:23" x14ac:dyDescent="0.25">
      <c r="C40" t="s">
        <v>16</v>
      </c>
      <c r="E40" s="6">
        <f>'WRZ - Jan-Dec 2020'!D36</f>
        <v>91287390.569999993</v>
      </c>
      <c r="F40" s="6">
        <f>'WRZ - Jan-Dec 2020'!D19</f>
        <v>90959449.037395433</v>
      </c>
      <c r="G40" s="6">
        <f t="shared" si="1"/>
        <v>327941.53260456026</v>
      </c>
      <c r="H40" s="146">
        <f>'WRZ - Jan-Dec 2020'!E36</f>
        <v>0.1297381125262676</v>
      </c>
      <c r="I40" s="6">
        <f t="shared" si="2"/>
        <v>42546.515459087095</v>
      </c>
      <c r="K40" s="312"/>
      <c r="L40" s="79"/>
      <c r="M40" s="80"/>
      <c r="N40" s="369"/>
      <c r="O40" s="369"/>
      <c r="P40" s="369"/>
      <c r="Q40" s="369"/>
      <c r="R40" s="369"/>
      <c r="S40" s="369"/>
      <c r="T40" s="369"/>
      <c r="U40" s="369"/>
      <c r="V40" s="402"/>
      <c r="W40" s="402"/>
    </row>
    <row r="41" spans="2:23" x14ac:dyDescent="0.25">
      <c r="C41" t="s">
        <v>17</v>
      </c>
      <c r="E41" s="6">
        <f>'WRZ - Jan-Dec 2020'!D37</f>
        <v>85318754.370000005</v>
      </c>
      <c r="F41" s="6">
        <f>'WRZ - Jan-Dec 2020'!D20</f>
        <v>84986246.667663336</v>
      </c>
      <c r="G41" s="6">
        <f t="shared" si="1"/>
        <v>332507.70233666897</v>
      </c>
      <c r="H41" s="146">
        <f>'WRZ - Jan-Dec 2020'!E37</f>
        <v>0.15406267258657821</v>
      </c>
      <c r="I41" s="6">
        <f t="shared" si="2"/>
        <v>51227.025277609639</v>
      </c>
      <c r="K41" s="312"/>
      <c r="L41" s="79"/>
      <c r="M41" s="398"/>
      <c r="N41" s="369"/>
      <c r="O41" s="369"/>
      <c r="P41" s="369"/>
      <c r="Q41" s="369"/>
      <c r="R41" s="369"/>
      <c r="S41" s="369"/>
      <c r="T41" s="369"/>
      <c r="U41" s="369"/>
      <c r="V41" s="402"/>
      <c r="W41" s="402"/>
    </row>
    <row r="42" spans="2:23" ht="15.75" thickBot="1" x14ac:dyDescent="0.3">
      <c r="C42" t="str">
        <f>C29</f>
        <v>RPP Revenue</v>
      </c>
      <c r="E42" s="124">
        <f>SUM(E37:E41)</f>
        <v>523169557.13</v>
      </c>
      <c r="F42" s="124">
        <f>SUM(F37:F41)</f>
        <v>521115363.97538513</v>
      </c>
      <c r="G42" s="124">
        <f>SUM(G37:G41)</f>
        <v>2054193.1546148416</v>
      </c>
      <c r="H42" s="147"/>
      <c r="I42" s="124">
        <f>SUM(I37:I41)</f>
        <v>255621.57294988798</v>
      </c>
      <c r="K42" s="312"/>
      <c r="L42" s="79"/>
      <c r="M42" s="80"/>
      <c r="N42" s="369"/>
      <c r="O42" s="404"/>
      <c r="P42" s="404"/>
      <c r="Q42" s="369"/>
      <c r="R42" s="369"/>
      <c r="S42" s="369"/>
      <c r="T42" s="369"/>
      <c r="U42" s="369"/>
      <c r="V42" s="402"/>
      <c r="W42" s="402"/>
    </row>
    <row r="43" spans="2:23" x14ac:dyDescent="0.25">
      <c r="C43" t="s">
        <v>194</v>
      </c>
      <c r="E43" s="57"/>
      <c r="F43" s="57"/>
      <c r="G43" s="57"/>
      <c r="H43" s="269"/>
      <c r="I43" s="57">
        <f>-I42</f>
        <v>-255621.57294988798</v>
      </c>
      <c r="L43" s="79"/>
      <c r="M43" s="398"/>
      <c r="N43" s="369"/>
      <c r="O43" s="369"/>
      <c r="P43" s="369"/>
      <c r="Q43" s="369"/>
      <c r="R43" s="369"/>
      <c r="S43" s="369"/>
      <c r="T43" s="369"/>
      <c r="U43" s="369"/>
      <c r="V43" s="402"/>
      <c r="W43" s="402"/>
    </row>
    <row r="44" spans="2:23" ht="15.75" thickBot="1" x14ac:dyDescent="0.3">
      <c r="I44" s="136">
        <f>SUM(I42:I43)</f>
        <v>0</v>
      </c>
      <c r="K44" s="7"/>
      <c r="L44" s="79"/>
      <c r="M44" s="398"/>
      <c r="N44" s="398"/>
      <c r="O44" s="369"/>
      <c r="P44" s="369"/>
      <c r="Q44" s="369"/>
      <c r="R44" s="369"/>
      <c r="S44" s="369"/>
      <c r="T44" s="369"/>
      <c r="U44" s="369"/>
      <c r="V44" s="402"/>
      <c r="W44" s="402"/>
    </row>
    <row r="45" spans="2:23" x14ac:dyDescent="0.25">
      <c r="L45" s="79"/>
      <c r="M45" s="398"/>
      <c r="N45" s="398"/>
      <c r="O45" s="369"/>
      <c r="P45" s="369"/>
      <c r="Q45" s="369"/>
      <c r="R45" s="369"/>
      <c r="S45" s="369"/>
      <c r="T45" s="369"/>
      <c r="U45" s="369"/>
      <c r="V45" s="402"/>
      <c r="W45" s="402"/>
    </row>
    <row r="46" spans="2:23" x14ac:dyDescent="0.25">
      <c r="B46" s="141" t="s">
        <v>116</v>
      </c>
      <c r="C46" t="str">
        <f>C30</f>
        <v>Energy Revenue - RPP</v>
      </c>
      <c r="E46" s="6">
        <f>E42</f>
        <v>523169557.13</v>
      </c>
      <c r="F46" s="6">
        <f>F42</f>
        <v>521115363.97538513</v>
      </c>
      <c r="G46" s="6">
        <f t="shared" si="1"/>
        <v>2054193.1546148658</v>
      </c>
      <c r="H46" s="150">
        <f>'WRZ - Jan-Dec 2020'!C84</f>
        <v>1.4680326050020051E-2</v>
      </c>
      <c r="I46" s="6">
        <f t="shared" ref="I46" si="3">G46*H46</f>
        <v>30156.225279465481</v>
      </c>
      <c r="L46" s="79"/>
      <c r="M46" s="398"/>
      <c r="N46" s="369"/>
      <c r="O46" s="369"/>
      <c r="P46" s="369"/>
      <c r="Q46" s="369"/>
      <c r="R46" s="369"/>
      <c r="S46" s="369"/>
      <c r="T46" s="369"/>
      <c r="U46" s="369"/>
      <c r="V46" s="402"/>
      <c r="W46" s="402"/>
    </row>
    <row r="47" spans="2:23" x14ac:dyDescent="0.25">
      <c r="B47" s="141"/>
      <c r="C47" t="s">
        <v>194</v>
      </c>
      <c r="E47" s="6"/>
      <c r="F47" s="6"/>
      <c r="G47" s="6"/>
      <c r="H47" s="150"/>
      <c r="I47" s="6">
        <f>-I46</f>
        <v>-30156.225279465481</v>
      </c>
      <c r="L47" s="79"/>
      <c r="M47" s="398"/>
      <c r="N47" s="369"/>
      <c r="O47" s="369"/>
      <c r="P47" s="369"/>
      <c r="Q47" s="369"/>
      <c r="R47" s="369"/>
      <c r="S47" s="369"/>
      <c r="T47" s="369"/>
      <c r="U47" s="369"/>
      <c r="V47" s="402"/>
      <c r="W47" s="402"/>
    </row>
    <row r="48" spans="2:23" ht="15" customHeight="1" thickBot="1" x14ac:dyDescent="0.3">
      <c r="I48" s="136">
        <f>SUM(I46:I47)</f>
        <v>0</v>
      </c>
      <c r="K48" s="7"/>
      <c r="L48" s="79"/>
      <c r="M48" s="398"/>
      <c r="N48" s="369"/>
      <c r="O48" s="369"/>
      <c r="P48" s="369"/>
      <c r="Q48" s="369"/>
      <c r="R48" s="369"/>
      <c r="S48" s="369"/>
      <c r="T48" s="369"/>
      <c r="U48" s="369"/>
      <c r="V48" s="402"/>
      <c r="W48" s="402"/>
    </row>
    <row r="49" spans="2:24" ht="15" customHeight="1" x14ac:dyDescent="0.25">
      <c r="L49" s="79"/>
      <c r="M49" s="398"/>
      <c r="N49" s="369"/>
      <c r="O49" s="369"/>
      <c r="P49" s="369"/>
      <c r="Q49" s="369"/>
      <c r="R49" s="369"/>
      <c r="S49" s="369"/>
      <c r="T49" s="369"/>
      <c r="U49" s="369"/>
      <c r="V49" s="402"/>
      <c r="W49" s="402"/>
    </row>
    <row r="50" spans="2:24" x14ac:dyDescent="0.25">
      <c r="B50" s="141"/>
      <c r="E50" s="7"/>
      <c r="F50" s="7"/>
      <c r="G50" s="6"/>
      <c r="H50" s="149"/>
      <c r="I50" s="6"/>
      <c r="J50" s="7"/>
      <c r="L50" s="79"/>
      <c r="M50" s="398"/>
      <c r="N50" s="369"/>
      <c r="O50" s="369"/>
      <c r="P50" s="369"/>
      <c r="Q50" s="369"/>
      <c r="R50" s="369"/>
      <c r="S50" s="369"/>
      <c r="T50" s="369"/>
      <c r="U50" s="369"/>
      <c r="V50" s="402"/>
      <c r="W50" s="402"/>
    </row>
    <row r="51" spans="2:24" x14ac:dyDescent="0.25">
      <c r="F51" s="7"/>
      <c r="G51" s="6"/>
      <c r="H51" s="149"/>
      <c r="I51" s="6"/>
      <c r="L51" s="79"/>
      <c r="M51" s="156"/>
      <c r="N51" s="369"/>
      <c r="O51" s="369"/>
      <c r="P51" s="369"/>
      <c r="Q51" s="369"/>
      <c r="R51" s="369"/>
      <c r="S51" s="369"/>
      <c r="T51" s="369"/>
      <c r="U51" s="369"/>
      <c r="V51" s="402"/>
      <c r="W51" s="402"/>
    </row>
    <row r="52" spans="2:24" x14ac:dyDescent="0.25">
      <c r="B52" s="115" t="s">
        <v>131</v>
      </c>
      <c r="E52" s="140" t="s">
        <v>202</v>
      </c>
      <c r="F52" s="140" t="s">
        <v>95</v>
      </c>
      <c r="M52" s="118"/>
      <c r="N52" s="160"/>
      <c r="O52" s="160"/>
      <c r="P52" s="160"/>
      <c r="Q52" s="160"/>
      <c r="R52" s="160"/>
      <c r="S52" s="160"/>
      <c r="T52" s="160"/>
      <c r="U52" s="160"/>
      <c r="V52" s="30"/>
      <c r="W52" s="30"/>
    </row>
    <row r="53" spans="2:24" x14ac:dyDescent="0.25">
      <c r="E53" s="7"/>
      <c r="M53" s="118"/>
      <c r="N53" s="160"/>
      <c r="O53" s="160"/>
      <c r="P53" s="160"/>
      <c r="Q53" s="160"/>
      <c r="R53" s="160"/>
      <c r="S53" s="160"/>
      <c r="T53" s="160"/>
      <c r="U53" s="160"/>
      <c r="V53" s="30"/>
      <c r="W53" s="30"/>
    </row>
    <row r="54" spans="2:24" x14ac:dyDescent="0.25">
      <c r="C54" t="s">
        <v>96</v>
      </c>
      <c r="E54" s="196">
        <f>'WRZ - Jan-Dec 2020'!E72</f>
        <v>65133993.410000004</v>
      </c>
      <c r="F54" s="196">
        <f>'WRZ - Jan-Dec 2020'!E72</f>
        <v>65133993.410000004</v>
      </c>
      <c r="G54" s="7">
        <f>E54-F54</f>
        <v>0</v>
      </c>
      <c r="S54" s="160"/>
      <c r="T54" s="160"/>
      <c r="U54" s="160"/>
      <c r="V54" s="30"/>
      <c r="W54" s="30"/>
    </row>
    <row r="55" spans="2:24" x14ac:dyDescent="0.25">
      <c r="C55" t="s">
        <v>100</v>
      </c>
      <c r="E55" s="7">
        <f>'WRZ - Jan-Dec 2020'!E76</f>
        <v>5078527.3361923648</v>
      </c>
      <c r="F55" s="7">
        <f>'WRZ - Jan-Dec 2020'!E76</f>
        <v>5078527.3361923648</v>
      </c>
      <c r="G55" s="7">
        <f>E55-F55</f>
        <v>0</v>
      </c>
      <c r="N55" s="160"/>
      <c r="O55" s="160"/>
      <c r="P55" s="160"/>
      <c r="Q55" s="160"/>
      <c r="R55" s="160"/>
      <c r="S55" s="160"/>
      <c r="T55" s="160"/>
      <c r="U55" s="160"/>
    </row>
    <row r="56" spans="2:24" ht="15.75" thickBot="1" x14ac:dyDescent="0.3">
      <c r="E56" s="136">
        <f>SUM(E54:E55)</f>
        <v>70212520.746192366</v>
      </c>
      <c r="F56" s="136">
        <f>SUM(F54:F55)</f>
        <v>70212520.746192366</v>
      </c>
      <c r="G56" s="154">
        <f>E56-F56</f>
        <v>0</v>
      </c>
    </row>
    <row r="57" spans="2:24" x14ac:dyDescent="0.25">
      <c r="C57" s="21"/>
      <c r="D57" s="21"/>
      <c r="E57" s="21"/>
      <c r="F57" s="21"/>
      <c r="G57" s="21"/>
      <c r="H57" s="21"/>
      <c r="I57" s="21"/>
      <c r="L57" s="3"/>
      <c r="M57" s="3"/>
      <c r="N57" s="3"/>
      <c r="O57" s="3"/>
    </row>
    <row r="58" spans="2:24" hidden="1" x14ac:dyDescent="0.25">
      <c r="C58" s="21"/>
      <c r="D58" s="21"/>
      <c r="E58" s="21"/>
      <c r="F58" s="21"/>
      <c r="G58" s="21"/>
      <c r="H58" s="21"/>
      <c r="I58" s="21"/>
      <c r="L58" s="3"/>
      <c r="M58" s="3"/>
      <c r="N58" s="3"/>
      <c r="O58" s="3"/>
      <c r="V58" s="32"/>
    </row>
    <row r="59" spans="2:24" x14ac:dyDescent="0.25">
      <c r="B59" s="158" t="s">
        <v>130</v>
      </c>
      <c r="C59" s="21"/>
      <c r="D59" s="21">
        <v>101</v>
      </c>
      <c r="E59" s="47">
        <f>+'WRZ - Jan-Dec 2020'!E55</f>
        <v>12616275.139999999</v>
      </c>
      <c r="F59" s="47">
        <f>'WRZ - Jan-Dec 2020'!E55</f>
        <v>12616275.139999999</v>
      </c>
      <c r="G59" s="21"/>
      <c r="H59" s="21"/>
      <c r="I59" s="21"/>
      <c r="L59" s="283"/>
      <c r="M59" s="284"/>
      <c r="N59" s="285"/>
      <c r="O59" s="286"/>
      <c r="P59" s="21"/>
      <c r="Q59" s="279"/>
      <c r="R59" s="279"/>
      <c r="S59" s="279"/>
      <c r="T59" s="279"/>
      <c r="U59" s="279"/>
      <c r="V59" s="21"/>
      <c r="W59" s="21"/>
      <c r="X59" s="21"/>
    </row>
    <row r="60" spans="2:24" x14ac:dyDescent="0.25">
      <c r="C60" s="21" t="s">
        <v>104</v>
      </c>
      <c r="D60" s="21"/>
      <c r="E60" s="47">
        <f>'WRZ - Jan-Dec 2020'!E54+'WRZ - Jan-Dec 2020'!E60</f>
        <v>99442.448522999883</v>
      </c>
      <c r="F60" s="47">
        <f>'WRZ - Jan-Dec 2020'!E54+'WRZ - Jan-Dec 2020'!E60</f>
        <v>99442.448522999883</v>
      </c>
      <c r="G60" s="21"/>
      <c r="H60" s="21"/>
      <c r="I60" s="21"/>
      <c r="L60" s="287"/>
      <c r="M60" s="288"/>
      <c r="N60" s="288"/>
      <c r="O60" s="287"/>
      <c r="P60" s="21"/>
      <c r="Q60" s="308"/>
      <c r="R60" s="308"/>
      <c r="S60" s="308"/>
      <c r="T60" s="308"/>
      <c r="U60" s="308"/>
      <c r="V60" s="308"/>
      <c r="W60" s="5"/>
      <c r="X60" s="21"/>
    </row>
    <row r="61" spans="2:24" x14ac:dyDescent="0.25">
      <c r="C61" s="21" t="s">
        <v>102</v>
      </c>
      <c r="D61" s="21"/>
      <c r="E61" s="47">
        <f>E12</f>
        <v>61359321.610000007</v>
      </c>
      <c r="F61" s="47">
        <f>'WRZ - Jan-Dec 2020'!E57</f>
        <v>61349740.450500183</v>
      </c>
      <c r="G61" s="21" t="s">
        <v>275</v>
      </c>
      <c r="H61" s="47"/>
      <c r="I61" s="21"/>
      <c r="L61" s="3"/>
      <c r="M61" s="289"/>
      <c r="N61" s="289"/>
      <c r="O61" s="290"/>
      <c r="P61" s="21"/>
      <c r="Q61" s="393"/>
      <c r="R61" s="393"/>
      <c r="S61" s="393"/>
      <c r="T61" s="393"/>
      <c r="U61" s="393"/>
      <c r="V61" s="393"/>
      <c r="W61" s="393"/>
      <c r="X61" s="21"/>
    </row>
    <row r="62" spans="2:24" x14ac:dyDescent="0.25">
      <c r="C62" s="21" t="s">
        <v>103</v>
      </c>
      <c r="D62" s="21"/>
      <c r="E62" s="47">
        <f>G22</f>
        <v>-4126430.3276704336</v>
      </c>
      <c r="F62" s="47">
        <f>'WRZ Jan-Dec20 RPP 2nd TU'!K16</f>
        <v>-4121731.4864423899</v>
      </c>
      <c r="G62" s="21" t="s">
        <v>275</v>
      </c>
      <c r="H62" s="47"/>
      <c r="I62" s="21"/>
      <c r="L62" s="291"/>
      <c r="M62" s="80"/>
      <c r="N62" s="288"/>
      <c r="O62" s="288"/>
      <c r="P62" s="21"/>
      <c r="Q62" s="309"/>
      <c r="R62" s="309"/>
      <c r="S62" s="309"/>
      <c r="T62" s="309"/>
      <c r="U62" s="309"/>
      <c r="V62" s="309"/>
      <c r="W62" s="5"/>
      <c r="X62" s="21"/>
    </row>
    <row r="63" spans="2:24" ht="15.75" thickBot="1" x14ac:dyDescent="0.3">
      <c r="C63" s="21"/>
      <c r="D63" s="21"/>
      <c r="E63" s="47"/>
      <c r="F63" s="47"/>
      <c r="G63" s="21"/>
      <c r="H63" s="21"/>
      <c r="I63" s="21"/>
      <c r="L63" s="3"/>
      <c r="M63" s="3"/>
      <c r="N63" s="3"/>
      <c r="O63" s="3"/>
      <c r="P63" s="21"/>
      <c r="Q63" s="21"/>
      <c r="R63" s="21"/>
      <c r="S63" s="21"/>
      <c r="T63" s="21"/>
      <c r="U63" s="21"/>
      <c r="V63" s="21"/>
      <c r="W63" s="21"/>
      <c r="X63" s="21"/>
    </row>
    <row r="64" spans="2:24" ht="15.75" thickBot="1" x14ac:dyDescent="0.3">
      <c r="C64" s="21"/>
      <c r="D64" s="21"/>
      <c r="E64" s="154">
        <f>SUM(E59:E63)</f>
        <v>69948608.87085256</v>
      </c>
      <c r="F64" s="154">
        <f>SUM(F59:F63)</f>
        <v>69943726.552580789</v>
      </c>
      <c r="G64" s="154">
        <f>E64-F64</f>
        <v>4882.3182717710733</v>
      </c>
      <c r="H64" s="155"/>
      <c r="I64" s="21"/>
      <c r="J64" s="166" t="s">
        <v>142</v>
      </c>
      <c r="L64" s="3"/>
      <c r="M64" s="3"/>
      <c r="N64" s="3"/>
      <c r="O64" s="3"/>
      <c r="P64" s="21"/>
      <c r="Q64" s="5"/>
      <c r="R64" s="5"/>
      <c r="S64" s="5"/>
      <c r="T64" s="308"/>
      <c r="U64" s="308"/>
      <c r="V64" s="308"/>
      <c r="W64" s="5"/>
      <c r="X64" s="21"/>
    </row>
    <row r="65" spans="2:24" x14ac:dyDescent="0.25">
      <c r="I65" s="21"/>
      <c r="J65" s="164">
        <v>5.0000000000000001E-3</v>
      </c>
      <c r="L65" s="408" t="s">
        <v>195</v>
      </c>
      <c r="M65" s="409"/>
      <c r="N65" s="409"/>
      <c r="O65" s="409"/>
      <c r="P65" s="21"/>
      <c r="Q65" s="393"/>
      <c r="R65" s="393"/>
      <c r="S65" s="393"/>
      <c r="T65" s="393"/>
      <c r="U65" s="393"/>
      <c r="V65" s="393"/>
      <c r="W65" s="393"/>
      <c r="X65" s="21"/>
    </row>
    <row r="66" spans="2:24" ht="15.75" thickBot="1" x14ac:dyDescent="0.3">
      <c r="B66" s="169" t="s">
        <v>143</v>
      </c>
      <c r="C66" s="169"/>
      <c r="D66" s="169"/>
      <c r="E66" s="23">
        <f>E64-E56</f>
        <v>-263911.87533980608</v>
      </c>
      <c r="F66" s="23">
        <f>F64-F56</f>
        <v>-268794.19361157715</v>
      </c>
      <c r="G66" s="23">
        <f>E66-F66</f>
        <v>4882.3182717710733</v>
      </c>
      <c r="J66" s="165">
        <f>J65*F64</f>
        <v>349718.63276290393</v>
      </c>
      <c r="L66" s="409"/>
      <c r="M66" s="409"/>
      <c r="N66" s="409"/>
      <c r="O66" s="409"/>
      <c r="P66" s="21"/>
      <c r="Q66" s="5"/>
      <c r="R66" s="5"/>
      <c r="S66" s="5"/>
      <c r="T66" s="5"/>
      <c r="U66" s="5"/>
      <c r="V66" s="5"/>
      <c r="W66" s="5"/>
      <c r="X66" s="21"/>
    </row>
    <row r="67" spans="2:24" ht="15.75" thickTop="1" x14ac:dyDescent="0.25">
      <c r="L67" s="292"/>
      <c r="M67" s="293" t="s">
        <v>196</v>
      </c>
      <c r="N67" s="293" t="s">
        <v>196</v>
      </c>
      <c r="O67" s="293" t="s">
        <v>196</v>
      </c>
      <c r="P67" s="21"/>
      <c r="Q67" s="21"/>
      <c r="R67" s="21"/>
      <c r="S67" s="21"/>
      <c r="T67" s="21"/>
      <c r="U67" s="21"/>
      <c r="V67" s="21"/>
      <c r="W67" s="21"/>
      <c r="X67" s="21"/>
    </row>
    <row r="68" spans="2:24" x14ac:dyDescent="0.25">
      <c r="D68" s="21"/>
      <c r="E68" s="21"/>
      <c r="F68" s="21"/>
      <c r="L68" s="294" t="s">
        <v>231</v>
      </c>
      <c r="M68" s="295" t="s">
        <v>197</v>
      </c>
      <c r="N68" s="296" t="s">
        <v>198</v>
      </c>
      <c r="O68" s="296" t="s">
        <v>199</v>
      </c>
      <c r="P68" s="21"/>
      <c r="Q68" s="21"/>
      <c r="R68" s="21"/>
      <c r="S68" s="21"/>
      <c r="T68" s="21"/>
      <c r="U68" s="21"/>
      <c r="V68" s="21"/>
      <c r="W68" s="21"/>
      <c r="X68" s="21"/>
    </row>
    <row r="69" spans="2:24" x14ac:dyDescent="0.25">
      <c r="D69" s="21"/>
      <c r="E69" s="21"/>
      <c r="F69" s="21"/>
      <c r="L69" s="297" t="s">
        <v>98</v>
      </c>
      <c r="M69" s="297">
        <v>745069340.28999996</v>
      </c>
      <c r="N69" s="301">
        <v>223950376</v>
      </c>
      <c r="O69" s="301">
        <f>+M69-N69</f>
        <v>521118964.28999996</v>
      </c>
      <c r="P69" s="21"/>
      <c r="Q69" s="310"/>
      <c r="R69" s="21"/>
      <c r="S69" s="21"/>
      <c r="T69" s="21"/>
      <c r="U69" s="21"/>
      <c r="V69" s="21"/>
      <c r="W69" s="21"/>
      <c r="X69" s="21"/>
    </row>
    <row r="70" spans="2:24" x14ac:dyDescent="0.25">
      <c r="D70" s="21"/>
      <c r="E70" s="21"/>
      <c r="F70" s="21"/>
      <c r="L70" s="298" t="s">
        <v>200</v>
      </c>
      <c r="M70" s="299">
        <f>M71/M69</f>
        <v>0.11623142617342554</v>
      </c>
      <c r="N70" s="299">
        <f>N71/N69</f>
        <v>0.11271256339652176</v>
      </c>
      <c r="O70" s="304">
        <f>O71/O69</f>
        <v>0.11774365408294651</v>
      </c>
      <c r="P70" s="21"/>
      <c r="Q70" s="21"/>
      <c r="R70" s="21"/>
      <c r="S70" s="21"/>
      <c r="T70" s="21"/>
      <c r="U70" s="21"/>
      <c r="V70" s="21"/>
      <c r="W70" s="21"/>
      <c r="X70" s="21"/>
    </row>
    <row r="71" spans="2:24" x14ac:dyDescent="0.25">
      <c r="D71" s="21"/>
      <c r="E71" s="21"/>
      <c r="F71" s="47"/>
      <c r="J71" s="18"/>
      <c r="L71" s="300" t="s">
        <v>201</v>
      </c>
      <c r="M71" s="302">
        <v>86600472.019999996</v>
      </c>
      <c r="N71" s="303">
        <v>25242020.952574886</v>
      </c>
      <c r="O71" s="303">
        <f>+M71-N71</f>
        <v>61358451.067425109</v>
      </c>
    </row>
    <row r="72" spans="2:24" x14ac:dyDescent="0.25">
      <c r="J72" s="18"/>
    </row>
    <row r="73" spans="2:24" x14ac:dyDescent="0.25">
      <c r="B73" s="115" t="s">
        <v>132</v>
      </c>
      <c r="C73" s="115"/>
      <c r="E73" s="140" t="s">
        <v>202</v>
      </c>
      <c r="F73" s="140" t="s">
        <v>95</v>
      </c>
    </row>
    <row r="75" spans="2:24" x14ac:dyDescent="0.25">
      <c r="C75" t="s">
        <v>120</v>
      </c>
      <c r="E75" s="47">
        <f>+'WRZ - Jan-Dec 2020'!E78</f>
        <v>25230012.458615933</v>
      </c>
      <c r="F75" s="7">
        <f>'WRZ - Jan-Dec 2020'!E78</f>
        <v>25230012.458615933</v>
      </c>
      <c r="G75" s="79"/>
      <c r="H75" s="79"/>
    </row>
    <row r="76" spans="2:24" x14ac:dyDescent="0.25">
      <c r="C76" t="s">
        <v>109</v>
      </c>
      <c r="E76" s="7">
        <f>'WRZ - Jan-Dec 2020'!E77</f>
        <v>11006424.969999999</v>
      </c>
      <c r="F76" s="7">
        <f>'WRZ - Jan-Dec 2020'!E77</f>
        <v>11006424.969999999</v>
      </c>
      <c r="G76" s="79"/>
      <c r="H76" s="56"/>
    </row>
    <row r="77" spans="2:24" ht="15.75" thickBot="1" x14ac:dyDescent="0.3">
      <c r="C77" t="s">
        <v>277</v>
      </c>
      <c r="E77" s="136">
        <f>SUM(E75:E76)</f>
        <v>36236437.428615928</v>
      </c>
      <c r="F77" s="136">
        <f>SUM(F75:F76)</f>
        <v>36236437.428615928</v>
      </c>
      <c r="G77" s="7">
        <f>E77-F77</f>
        <v>0</v>
      </c>
      <c r="H77" s="56"/>
      <c r="L77" s="21"/>
      <c r="M77" s="21"/>
      <c r="N77" s="21"/>
      <c r="O77" s="21"/>
      <c r="P77" s="21"/>
    </row>
    <row r="78" spans="2:24" x14ac:dyDescent="0.25">
      <c r="E78" s="18"/>
      <c r="F78" s="18"/>
      <c r="G78" s="7"/>
      <c r="H78" s="56"/>
      <c r="L78" s="21"/>
      <c r="M78" s="21"/>
      <c r="N78" s="21"/>
    </row>
    <row r="79" spans="2:24" x14ac:dyDescent="0.25">
      <c r="B79" t="s">
        <v>133</v>
      </c>
      <c r="E79" s="80"/>
      <c r="F79" s="139"/>
      <c r="G79" s="79"/>
      <c r="H79" s="56"/>
      <c r="L79" s="21"/>
      <c r="M79" s="21"/>
      <c r="N79" s="21"/>
    </row>
    <row r="80" spans="2:24" ht="15.75" thickBot="1" x14ac:dyDescent="0.3">
      <c r="C80" t="s">
        <v>107</v>
      </c>
      <c r="E80" s="80">
        <f>'WRZ - Jan-Dec 2020'!E56</f>
        <v>11006424.969999999</v>
      </c>
      <c r="F80" s="7">
        <f>'WRZ - Jan-Dec 2020'!E56</f>
        <v>11006424.969999999</v>
      </c>
      <c r="G80" s="79"/>
      <c r="H80" s="56"/>
      <c r="L80" s="21"/>
      <c r="M80" s="21"/>
      <c r="N80" s="21"/>
    </row>
    <row r="81" spans="2:24" x14ac:dyDescent="0.25">
      <c r="C81" t="s">
        <v>108</v>
      </c>
      <c r="E81" s="80">
        <v>25242020.952574886</v>
      </c>
      <c r="F81" s="7">
        <f>'WRZ - Jan-Dec 2020'!E58</f>
        <v>25250727.88386447</v>
      </c>
      <c r="G81" s="79"/>
      <c r="H81" s="56"/>
      <c r="J81" s="166" t="s">
        <v>142</v>
      </c>
      <c r="L81" s="21"/>
      <c r="M81" s="21"/>
      <c r="N81" s="21"/>
    </row>
    <row r="82" spans="2:24" ht="15.75" thickBot="1" x14ac:dyDescent="0.3">
      <c r="C82" t="s">
        <v>110</v>
      </c>
      <c r="E82" s="136">
        <f>SUM(E80:E81)</f>
        <v>36248445.922574885</v>
      </c>
      <c r="F82" s="136">
        <f>SUM(F80:F81)</f>
        <v>36257152.853864469</v>
      </c>
      <c r="G82" s="47">
        <f>E82-F82</f>
        <v>-8706.9312895834446</v>
      </c>
      <c r="H82" s="148" t="s">
        <v>112</v>
      </c>
      <c r="J82" s="164">
        <v>5.0000000000000001E-3</v>
      </c>
      <c r="L82" s="21"/>
      <c r="M82" s="21"/>
      <c r="N82" s="21"/>
    </row>
    <row r="83" spans="2:24" ht="15.75" thickBot="1" x14ac:dyDescent="0.3">
      <c r="E83" s="80"/>
      <c r="F83" s="138"/>
      <c r="G83" s="79"/>
      <c r="H83" s="56"/>
      <c r="J83" s="165">
        <f>J82*F82</f>
        <v>181285.76426932236</v>
      </c>
      <c r="L83" s="21"/>
      <c r="M83" s="21"/>
      <c r="N83" s="21"/>
    </row>
    <row r="84" spans="2:24" ht="15.75" thickBot="1" x14ac:dyDescent="0.3">
      <c r="B84" s="169" t="s">
        <v>144</v>
      </c>
      <c r="C84" s="169"/>
      <c r="D84" s="169"/>
      <c r="E84" s="23">
        <f>E82-E77</f>
        <v>12008.493958957493</v>
      </c>
      <c r="F84" s="23">
        <f>F82-F77</f>
        <v>20715.425248540938</v>
      </c>
      <c r="G84" s="405">
        <f>E84-F84</f>
        <v>-8706.9312895834446</v>
      </c>
      <c r="H84" s="56"/>
      <c r="J84" s="18"/>
      <c r="L84" s="21"/>
      <c r="M84" s="21"/>
      <c r="N84" s="21"/>
    </row>
    <row r="85" spans="2:24" ht="15.75" thickTop="1" x14ac:dyDescent="0.25">
      <c r="E85" s="80"/>
      <c r="F85" s="138"/>
      <c r="G85" s="79"/>
      <c r="H85" s="56"/>
      <c r="J85" s="18"/>
      <c r="L85" s="21"/>
      <c r="M85" s="21"/>
      <c r="N85" s="21"/>
    </row>
    <row r="86" spans="2:24" x14ac:dyDescent="0.25">
      <c r="B86" s="141" t="s">
        <v>112</v>
      </c>
      <c r="C86" s="21" t="s">
        <v>273</v>
      </c>
      <c r="E86" s="80"/>
      <c r="F86" s="139"/>
      <c r="G86" s="79"/>
      <c r="H86" s="56"/>
      <c r="L86" s="21"/>
      <c r="M86" s="21"/>
      <c r="N86" s="21"/>
    </row>
    <row r="87" spans="2:24" x14ac:dyDescent="0.25">
      <c r="C87" s="21" t="s">
        <v>274</v>
      </c>
      <c r="L87" s="21"/>
      <c r="M87" s="21"/>
      <c r="N87" s="21"/>
    </row>
    <row r="88" spans="2:24" x14ac:dyDescent="0.25">
      <c r="D88" s="21"/>
      <c r="E88" s="21"/>
      <c r="F88" s="21"/>
      <c r="L88" s="21"/>
      <c r="M88" s="21"/>
      <c r="N88" s="21"/>
    </row>
    <row r="89" spans="2:24" x14ac:dyDescent="0.25">
      <c r="D89" s="21"/>
      <c r="E89" s="21"/>
      <c r="F89" s="21"/>
      <c r="L89" s="21"/>
      <c r="M89" s="21"/>
      <c r="N89" s="21"/>
    </row>
    <row r="90" spans="2:24" x14ac:dyDescent="0.25">
      <c r="D90" s="21"/>
      <c r="E90" s="21"/>
      <c r="F90" s="21"/>
      <c r="L90" s="21"/>
      <c r="M90" s="21"/>
      <c r="N90" s="21"/>
    </row>
    <row r="91" spans="2:24" x14ac:dyDescent="0.25">
      <c r="D91" s="21"/>
      <c r="E91" s="21"/>
      <c r="F91" s="47"/>
      <c r="L91" s="21"/>
      <c r="M91" s="21"/>
      <c r="N91" s="21"/>
    </row>
    <row r="92" spans="2:24" x14ac:dyDescent="0.25">
      <c r="L92" s="21"/>
      <c r="M92" s="21"/>
      <c r="N92" s="21"/>
    </row>
    <row r="93" spans="2:24" x14ac:dyDescent="0.25">
      <c r="I93" s="7"/>
      <c r="L93" s="21"/>
      <c r="M93" s="21"/>
      <c r="N93" s="21"/>
    </row>
    <row r="94" spans="2:24" x14ac:dyDescent="0.25">
      <c r="G94" s="167"/>
      <c r="L94" s="21"/>
      <c r="M94" s="21"/>
      <c r="N94" s="21"/>
    </row>
    <row r="95" spans="2:24" x14ac:dyDescent="0.25">
      <c r="G95" s="168"/>
      <c r="L95" s="21"/>
      <c r="M95" s="21"/>
      <c r="N95" s="21"/>
      <c r="V95" s="311"/>
      <c r="X95" s="311"/>
    </row>
    <row r="96" spans="2:24" x14ac:dyDescent="0.25">
      <c r="L96" s="21"/>
      <c r="M96" s="21"/>
      <c r="N96" s="162"/>
      <c r="O96" s="162"/>
      <c r="P96" s="162">
        <f>'WRZ - Jan-Dec 2020'!O43</f>
        <v>0</v>
      </c>
      <c r="Q96" s="162"/>
      <c r="R96" s="162"/>
      <c r="S96" s="162"/>
      <c r="T96" s="162"/>
      <c r="U96" s="21"/>
      <c r="V96" s="311"/>
    </row>
    <row r="97" spans="14:21" x14ac:dyDescent="0.25">
      <c r="N97" s="162">
        <f>'WRZ - Jan-Dec 2020'!N44</f>
        <v>0</v>
      </c>
      <c r="O97" s="162"/>
      <c r="P97" s="162">
        <f>'WRZ - Jan-Dec 2020'!O44</f>
        <v>0</v>
      </c>
      <c r="Q97" s="162"/>
      <c r="R97" s="162"/>
      <c r="S97" s="162"/>
      <c r="T97" s="162"/>
      <c r="U97" s="21"/>
    </row>
  </sheetData>
  <mergeCells count="1">
    <mergeCell ref="L65:O66"/>
  </mergeCells>
  <pageMargins left="0.2" right="0.2" top="0.75" bottom="0.75" header="0.3" footer="0.3"/>
  <pageSetup scale="80" orientation="portrait" r:id="rId1"/>
  <headerFooter>
    <oddFooter>&amp;L&amp;Z&amp;F&amp;R&amp;D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0"/>
  <sheetViews>
    <sheetView showGridLines="0" tabSelected="1" topLeftCell="A22" zoomScaleNormal="100" workbookViewId="0">
      <selection activeCell="K36" sqref="K36"/>
    </sheetView>
  </sheetViews>
  <sheetFormatPr defaultRowHeight="15" x14ac:dyDescent="0.25"/>
  <cols>
    <col min="1" max="1" width="16.42578125" customWidth="1"/>
    <col min="2" max="2" width="15.7109375" customWidth="1"/>
    <col min="3" max="5" width="13.7109375" customWidth="1"/>
    <col min="6" max="9" width="13.28515625" customWidth="1"/>
    <col min="10" max="10" width="25.42578125" customWidth="1"/>
    <col min="11" max="11" width="37.28515625" style="171" customWidth="1"/>
    <col min="12" max="12" width="18" style="171" bestFit="1" customWidth="1"/>
    <col min="13" max="14" width="12.7109375" style="171" customWidth="1"/>
  </cols>
  <sheetData>
    <row r="1" spans="1:14" ht="28.5" x14ac:dyDescent="0.45">
      <c r="A1" s="451" t="s">
        <v>145</v>
      </c>
      <c r="B1" s="451"/>
      <c r="C1" s="451"/>
      <c r="D1" s="451"/>
      <c r="E1" s="451"/>
      <c r="F1" s="451"/>
      <c r="G1" s="451"/>
      <c r="H1" s="451"/>
      <c r="I1" s="451"/>
      <c r="J1" s="170"/>
    </row>
    <row r="2" spans="1:14" ht="16.5" customHeight="1" x14ac:dyDescent="0.4">
      <c r="A2" s="172"/>
      <c r="B2" s="172"/>
      <c r="C2" s="172"/>
      <c r="D2" s="172"/>
      <c r="E2" s="172"/>
      <c r="F2" s="172"/>
      <c r="G2" s="172"/>
      <c r="H2" s="172"/>
      <c r="I2" s="172"/>
      <c r="J2" s="170"/>
    </row>
    <row r="3" spans="1:14" x14ac:dyDescent="0.25">
      <c r="A3" s="2" t="s">
        <v>146</v>
      </c>
      <c r="I3" s="3"/>
    </row>
    <row r="4" spans="1:14" ht="29.45" customHeight="1" thickBot="1" x14ac:dyDescent="0.3">
      <c r="A4" s="437" t="s">
        <v>147</v>
      </c>
      <c r="B4" s="438"/>
      <c r="C4" s="439"/>
      <c r="D4" s="452" t="s">
        <v>148</v>
      </c>
      <c r="E4" s="453"/>
      <c r="F4" s="454" t="s">
        <v>149</v>
      </c>
      <c r="G4" s="455"/>
      <c r="I4" s="13"/>
    </row>
    <row r="5" spans="1:14" ht="30.75" thickBot="1" x14ac:dyDescent="0.3">
      <c r="A5" s="173" t="s">
        <v>150</v>
      </c>
      <c r="B5" s="174" t="s">
        <v>151</v>
      </c>
      <c r="C5" s="174" t="s">
        <v>152</v>
      </c>
      <c r="D5" s="175" t="s">
        <v>114</v>
      </c>
      <c r="E5" s="176" t="s">
        <v>37</v>
      </c>
      <c r="F5" s="177" t="s">
        <v>153</v>
      </c>
      <c r="G5" s="176" t="s">
        <v>37</v>
      </c>
      <c r="I5" s="13"/>
      <c r="K5" s="178"/>
      <c r="L5" s="179"/>
      <c r="M5" s="180"/>
    </row>
    <row r="6" spans="1:14" x14ac:dyDescent="0.25">
      <c r="A6" s="181" t="s">
        <v>154</v>
      </c>
      <c r="B6" s="182">
        <f>'WRZ - Jan-Dec 2020'!D27</f>
        <v>523169557.13</v>
      </c>
      <c r="C6" s="182">
        <f>'WRZ - Jan-Dec 2020'!E27</f>
        <v>523169557.13</v>
      </c>
      <c r="D6" s="183">
        <f>'WRZ Settlement Comparison'!F54/'Final RSVA Balances'!C6</f>
        <v>0.12449882169618512</v>
      </c>
      <c r="E6" s="182">
        <f>C6*D6</f>
        <v>65133993.410000004</v>
      </c>
      <c r="F6" s="184"/>
      <c r="G6" s="184"/>
      <c r="I6" s="3"/>
      <c r="K6" s="178"/>
      <c r="L6" s="179"/>
      <c r="M6" s="180"/>
    </row>
    <row r="7" spans="1:14" s="171" customFormat="1" x14ac:dyDescent="0.25">
      <c r="A7" s="181" t="s">
        <v>155</v>
      </c>
      <c r="B7" s="185">
        <v>0</v>
      </c>
      <c r="C7" s="185">
        <f>-'WRZ - Jan-Dec 2020'!D7</f>
        <v>154769348</v>
      </c>
      <c r="D7" s="186">
        <f>'WRZ - Jan-Dec 2020'!C85</f>
        <v>1.337539521418047E-2</v>
      </c>
      <c r="E7" s="185">
        <f>+C7*D7</f>
        <v>2070101.1965410318</v>
      </c>
      <c r="F7" s="187"/>
      <c r="G7" s="185">
        <f>'WRZ - Jan-Dec 2020'!E77</f>
        <v>11006424.969999999</v>
      </c>
      <c r="I7"/>
      <c r="J7"/>
      <c r="K7" s="178"/>
      <c r="L7" s="178"/>
      <c r="N7" s="178"/>
    </row>
    <row r="8" spans="1:14" s="171" customFormat="1" ht="15.75" thickBot="1" x14ac:dyDescent="0.3">
      <c r="A8" s="181" t="s">
        <v>156</v>
      </c>
      <c r="B8" s="188">
        <f>'WRZ - Jan-Dec 2020'!D28</f>
        <v>224922411</v>
      </c>
      <c r="C8" s="188">
        <f>'WRZ - Jan-Dec 2020'!D28</f>
        <v>224922411</v>
      </c>
      <c r="D8" s="189">
        <f>'WRZ - Jan-Dec 2020'!C85</f>
        <v>1.337539521418047E-2</v>
      </c>
      <c r="E8" s="188">
        <f>+D8*C8</f>
        <v>3008426.139651333</v>
      </c>
      <c r="F8" s="189">
        <f>'WRZ - Jan-Dec 2020'!C45</f>
        <v>0.11217207012162043</v>
      </c>
      <c r="G8" s="188">
        <f>B8*F8</f>
        <v>25230012.458615933</v>
      </c>
      <c r="I8"/>
      <c r="J8"/>
      <c r="N8" s="190"/>
    </row>
    <row r="9" spans="1:14" s="171" customFormat="1" ht="15.75" thickBot="1" x14ac:dyDescent="0.3">
      <c r="A9" s="187"/>
      <c r="B9" s="191">
        <f>SUM(B6:B8)</f>
        <v>748091968.13</v>
      </c>
      <c r="C9" s="191">
        <f>SUM(C6:C8)</f>
        <v>902861316.13</v>
      </c>
      <c r="D9" s="192"/>
      <c r="E9" s="193">
        <f>SUM(E6:E8)</f>
        <v>70212520.746192366</v>
      </c>
      <c r="F9" s="192"/>
      <c r="G9" s="193">
        <f>SUM(G6:G8)</f>
        <v>36236437.428615928</v>
      </c>
      <c r="I9"/>
      <c r="J9"/>
      <c r="K9" s="178"/>
      <c r="L9" s="194"/>
      <c r="M9" s="195"/>
    </row>
    <row r="10" spans="1:14" s="171" customFormat="1" ht="15.75" thickTop="1" x14ac:dyDescent="0.25">
      <c r="A10" s="3"/>
      <c r="B10" s="18"/>
      <c r="C10" s="18"/>
      <c r="D10" s="3"/>
      <c r="E10" s="196"/>
      <c r="F10" s="79"/>
      <c r="G10" s="196"/>
      <c r="I10"/>
      <c r="J10"/>
      <c r="K10" s="178"/>
      <c r="L10" s="194"/>
      <c r="M10" s="195"/>
    </row>
    <row r="11" spans="1:14" ht="15.75" thickBot="1" x14ac:dyDescent="0.3">
      <c r="A11" s="2" t="s">
        <v>157</v>
      </c>
      <c r="K11" s="178"/>
      <c r="L11" s="179"/>
      <c r="M11" s="195"/>
    </row>
    <row r="12" spans="1:14" s="171" customFormat="1" ht="16.5" thickBot="1" x14ac:dyDescent="0.3">
      <c r="A12" s="197"/>
      <c r="B12" s="198"/>
      <c r="C12" s="199"/>
      <c r="D12" s="456" t="s">
        <v>158</v>
      </c>
      <c r="E12" s="421"/>
      <c r="F12" s="421"/>
      <c r="G12" s="421"/>
      <c r="H12" s="421"/>
      <c r="I12" s="422"/>
      <c r="N12" s="190"/>
    </row>
    <row r="13" spans="1:14" s="171" customFormat="1" ht="29.45" customHeight="1" thickBot="1" x14ac:dyDescent="0.3">
      <c r="A13" s="445" t="s">
        <v>147</v>
      </c>
      <c r="B13" s="446"/>
      <c r="C13" s="447"/>
      <c r="D13" s="448" t="s">
        <v>159</v>
      </c>
      <c r="E13" s="449"/>
      <c r="F13" s="448" t="s">
        <v>160</v>
      </c>
      <c r="G13" s="450"/>
      <c r="H13" s="200" t="s">
        <v>161</v>
      </c>
      <c r="I13" s="201" t="s">
        <v>162</v>
      </c>
    </row>
    <row r="14" spans="1:14" s="171" customFormat="1" ht="48" customHeight="1" thickBot="1" x14ac:dyDescent="0.3">
      <c r="A14" s="173" t="s">
        <v>150</v>
      </c>
      <c r="B14" s="174" t="s">
        <v>163</v>
      </c>
      <c r="C14" s="174" t="s">
        <v>164</v>
      </c>
      <c r="D14" s="177" t="s">
        <v>165</v>
      </c>
      <c r="E14" s="176" t="s">
        <v>37</v>
      </c>
      <c r="F14" s="177" t="s">
        <v>166</v>
      </c>
      <c r="G14" s="176" t="s">
        <v>37</v>
      </c>
      <c r="H14" s="200" t="s">
        <v>37</v>
      </c>
      <c r="I14" s="202" t="s">
        <v>37</v>
      </c>
    </row>
    <row r="15" spans="1:14" s="171" customFormat="1" x14ac:dyDescent="0.25">
      <c r="A15" s="203" t="s">
        <v>167</v>
      </c>
      <c r="B15" s="204">
        <f>'WRZ - Jan-Dec 2020'!D10</f>
        <v>521115364</v>
      </c>
      <c r="C15" s="205">
        <f>'WRZ - Jan-Dec 2020'!E10</f>
        <v>521115364</v>
      </c>
      <c r="D15" s="206">
        <f>'WRZ - Jan-Dec 2020'!C43</f>
        <v>1.4680326050020051E-2</v>
      </c>
      <c r="E15" s="205">
        <f>C15*D15</f>
        <v>7650143.4531948809</v>
      </c>
      <c r="F15" s="206">
        <f>'WRZ - Jan-Dec 2020'!C49</f>
        <v>0.11772775221898885</v>
      </c>
      <c r="G15" s="205">
        <f>B15*F15</f>
        <v>61349740.450500183</v>
      </c>
      <c r="H15" s="207">
        <f>'WRZ Jan-Dec20 RPP 2nd TU'!K16</f>
        <v>-4121731.4864423899</v>
      </c>
      <c r="I15" s="208">
        <f>+E15+G15+H15</f>
        <v>64878152.417252675</v>
      </c>
      <c r="J15" s="178"/>
      <c r="K15" s="178"/>
    </row>
    <row r="16" spans="1:14" s="171" customFormat="1" x14ac:dyDescent="0.25">
      <c r="A16" s="181" t="s">
        <v>155</v>
      </c>
      <c r="B16" s="209">
        <v>0</v>
      </c>
      <c r="C16" s="210">
        <f>-'WRZ - Jan-Dec 2020'!D7</f>
        <v>154769348</v>
      </c>
      <c r="D16" s="211">
        <f>'WRZ - Jan-Dec 2020'!C44</f>
        <v>1.337539521418047E-2</v>
      </c>
      <c r="E16" s="210">
        <f>C16*D16</f>
        <v>2070101.1965410318</v>
      </c>
      <c r="F16" s="211"/>
      <c r="G16" s="210"/>
      <c r="H16" s="212"/>
      <c r="I16" s="213">
        <f>+E16+G16+H16</f>
        <v>2070101.1965410318</v>
      </c>
      <c r="J16" s="178"/>
      <c r="K16" s="214"/>
    </row>
    <row r="17" spans="1:12" s="171" customFormat="1" ht="15.75" thickBot="1" x14ac:dyDescent="0.3">
      <c r="A17" s="181" t="s">
        <v>156</v>
      </c>
      <c r="B17" s="215">
        <f>'WRZ - Jan-Dec 2020'!D11</f>
        <v>223953976</v>
      </c>
      <c r="C17" s="210">
        <f>'WRZ - Jan-Dec 2020'!D11</f>
        <v>223953976</v>
      </c>
      <c r="D17" s="216">
        <f>'WRZ - Jan-Dec 2020'!C44</f>
        <v>1.337539521418047E-2</v>
      </c>
      <c r="E17" s="217">
        <f>C17*D17</f>
        <v>2995472.9387870878</v>
      </c>
      <c r="F17" s="189"/>
      <c r="G17" s="218"/>
      <c r="H17" s="212"/>
      <c r="I17" s="213">
        <f>+E17+G17+H17</f>
        <v>2995472.9387870878</v>
      </c>
      <c r="J17" s="178"/>
    </row>
    <row r="18" spans="1:12" s="171" customFormat="1" ht="15.75" thickBot="1" x14ac:dyDescent="0.3">
      <c r="A18" s="187"/>
      <c r="B18" s="191">
        <f>SUM(B15:B17)</f>
        <v>745069340</v>
      </c>
      <c r="C18" s="191">
        <f>SUM(C15:C17)</f>
        <v>899838688</v>
      </c>
      <c r="D18" s="191"/>
      <c r="E18" s="191">
        <f>SUM(E15:E17)</f>
        <v>12715717.588523</v>
      </c>
      <c r="F18" s="192"/>
      <c r="G18" s="191">
        <f>SUM(G15:G17)</f>
        <v>61349740.450500183</v>
      </c>
      <c r="H18" s="191">
        <f>SUM(H15:H17)</f>
        <v>-4121731.4864423899</v>
      </c>
      <c r="I18" s="193">
        <f>SUM(I15:I17)</f>
        <v>69943726.552580804</v>
      </c>
      <c r="J18" s="178"/>
      <c r="K18" s="178"/>
      <c r="L18" s="178"/>
    </row>
    <row r="19" spans="1:12" s="171" customFormat="1" ht="15.75" thickTop="1" x14ac:dyDescent="0.25">
      <c r="A19"/>
      <c r="B19"/>
      <c r="C19"/>
      <c r="D19"/>
      <c r="E19" s="219"/>
      <c r="F19" s="220"/>
      <c r="G19" s="3"/>
      <c r="H19" s="3"/>
      <c r="I19" s="105"/>
      <c r="J19" s="7" t="s">
        <v>168</v>
      </c>
      <c r="K19" s="178"/>
    </row>
    <row r="20" spans="1:12" s="171" customFormat="1" x14ac:dyDescent="0.25">
      <c r="A20" s="2" t="s">
        <v>169</v>
      </c>
      <c r="B20"/>
      <c r="C20"/>
      <c r="D20"/>
      <c r="E20"/>
      <c r="F20"/>
      <c r="G20"/>
      <c r="H20"/>
      <c r="I20"/>
      <c r="J20"/>
      <c r="K20" s="179"/>
    </row>
    <row r="21" spans="1:12" s="171" customFormat="1" ht="16.149999999999999" customHeight="1" thickBot="1" x14ac:dyDescent="0.3">
      <c r="A21" s="437" t="s">
        <v>147</v>
      </c>
      <c r="B21" s="438"/>
      <c r="C21" s="439"/>
      <c r="D21" s="440" t="s">
        <v>170</v>
      </c>
      <c r="E21" s="441"/>
      <c r="F21" s="221"/>
      <c r="G21" s="222"/>
      <c r="H21" s="222"/>
      <c r="I21" s="222"/>
      <c r="J21" s="222"/>
      <c r="K21" s="190"/>
    </row>
    <row r="22" spans="1:12" s="171" customFormat="1" ht="45" customHeight="1" thickBot="1" x14ac:dyDescent="0.3">
      <c r="A22" s="173" t="s">
        <v>150</v>
      </c>
      <c r="B22" s="174" t="s">
        <v>163</v>
      </c>
      <c r="C22" s="174" t="s">
        <v>164</v>
      </c>
      <c r="D22" s="177" t="s">
        <v>166</v>
      </c>
      <c r="E22" s="223" t="s">
        <v>37</v>
      </c>
      <c r="F22" s="3"/>
      <c r="G22" s="224"/>
      <c r="H22" s="224"/>
      <c r="I22" s="3"/>
      <c r="J22" s="3"/>
    </row>
    <row r="23" spans="1:12" s="171" customFormat="1" x14ac:dyDescent="0.25">
      <c r="A23" s="181" t="s">
        <v>155</v>
      </c>
      <c r="B23" s="225"/>
      <c r="C23" s="210"/>
      <c r="D23" s="211"/>
      <c r="E23" s="210">
        <f>'WRZ - Jan-Dec 2020'!E77</f>
        <v>11006424.969999999</v>
      </c>
      <c r="F23" s="92"/>
      <c r="G23" s="224"/>
      <c r="H23" s="224"/>
      <c r="I23" s="3"/>
      <c r="J23" s="3"/>
    </row>
    <row r="24" spans="1:12" s="171" customFormat="1" ht="15.75" thickBot="1" x14ac:dyDescent="0.3">
      <c r="A24" s="181" t="s">
        <v>156</v>
      </c>
      <c r="B24" s="225">
        <f>B17</f>
        <v>223953976</v>
      </c>
      <c r="C24" s="210"/>
      <c r="D24" s="189">
        <f>'WRZ - Jan-Dec 2020'!C50</f>
        <v>0.11274962978940133</v>
      </c>
      <c r="E24" s="217">
        <f>+D24*B24</f>
        <v>25250727.88386447</v>
      </c>
      <c r="F24" s="92"/>
      <c r="G24" s="224"/>
      <c r="H24" s="224"/>
      <c r="I24" s="3"/>
      <c r="J24" s="3"/>
    </row>
    <row r="25" spans="1:12" s="171" customFormat="1" ht="15.75" thickBot="1" x14ac:dyDescent="0.3">
      <c r="A25" s="187"/>
      <c r="B25" s="188">
        <f>+B23+B24</f>
        <v>223953976</v>
      </c>
      <c r="C25" s="188">
        <f>+C23+C24</f>
        <v>0</v>
      </c>
      <c r="D25" s="226"/>
      <c r="E25" s="227">
        <f>+E23+E24</f>
        <v>36257152.853864469</v>
      </c>
      <c r="F25" s="92"/>
      <c r="G25" s="224"/>
      <c r="H25" s="228"/>
      <c r="I25" s="3"/>
      <c r="J25" s="3"/>
      <c r="K25" s="190"/>
    </row>
    <row r="26" spans="1:12" s="171" customFormat="1" x14ac:dyDescent="0.25">
      <c r="A26" s="3"/>
      <c r="B26" s="18"/>
      <c r="C26" s="18"/>
      <c r="D26" s="17"/>
      <c r="E26" s="196"/>
      <c r="F26" s="3"/>
      <c r="G26" s="224"/>
      <c r="H26" s="228"/>
      <c r="I26" s="3"/>
      <c r="J26" s="3"/>
      <c r="K26" s="190"/>
    </row>
    <row r="27" spans="1:12" s="171" customFormat="1" ht="15.75" thickBot="1" x14ac:dyDescent="0.3">
      <c r="A27" s="2" t="s">
        <v>171</v>
      </c>
      <c r="B27" s="17"/>
      <c r="C27" s="18"/>
      <c r="D27" s="3"/>
      <c r="E27"/>
      <c r="F27"/>
      <c r="G27"/>
      <c r="H27" s="7" t="s">
        <v>168</v>
      </c>
      <c r="I27"/>
      <c r="J27"/>
    </row>
    <row r="28" spans="1:12" s="171" customFormat="1" ht="15" customHeight="1" thickBot="1" x14ac:dyDescent="0.3">
      <c r="A28" s="229"/>
      <c r="B28" s="230"/>
      <c r="C28" s="420" t="s">
        <v>172</v>
      </c>
      <c r="D28" s="421"/>
      <c r="E28" s="421"/>
      <c r="F28" s="421"/>
      <c r="G28" s="421"/>
      <c r="H28" s="421"/>
      <c r="I28" s="422"/>
    </row>
    <row r="29" spans="1:12" s="171" customFormat="1" ht="15.75" thickBot="1" x14ac:dyDescent="0.3">
      <c r="A29" s="423"/>
      <c r="B29" s="424"/>
      <c r="C29" s="231"/>
      <c r="D29" s="13"/>
      <c r="E29" s="224"/>
      <c r="F29" s="442"/>
      <c r="G29" s="443"/>
      <c r="H29" s="443"/>
      <c r="I29" s="444"/>
    </row>
    <row r="30" spans="1:12" s="171" customFormat="1" ht="15" customHeight="1" thickBot="1" x14ac:dyDescent="0.3">
      <c r="A30" s="425"/>
      <c r="B30" s="426"/>
      <c r="C30" s="432" t="s">
        <v>279</v>
      </c>
      <c r="D30" s="433"/>
      <c r="E30" s="232">
        <f>+I18-E9</f>
        <v>-268794.19361156225</v>
      </c>
      <c r="F30" s="434" t="s">
        <v>173</v>
      </c>
      <c r="G30" s="435"/>
      <c r="H30" s="435"/>
      <c r="I30" s="436"/>
      <c r="J30" s="178"/>
    </row>
    <row r="31" spans="1:12" s="171" customFormat="1" ht="16.5" thickTop="1" thickBot="1" x14ac:dyDescent="0.3">
      <c r="A31" s="427"/>
      <c r="B31" s="428"/>
      <c r="C31" s="233"/>
      <c r="E31" s="234"/>
      <c r="F31" s="429"/>
      <c r="G31" s="430"/>
      <c r="H31" s="430"/>
      <c r="I31" s="431"/>
    </row>
    <row r="32" spans="1:12" s="171" customFormat="1" ht="16.5" thickBot="1" x14ac:dyDescent="0.3">
      <c r="A32" s="173" t="s">
        <v>150</v>
      </c>
      <c r="B32" s="235" t="s">
        <v>174</v>
      </c>
      <c r="C32" s="236" t="s">
        <v>175</v>
      </c>
      <c r="D32" s="237" t="s">
        <v>176</v>
      </c>
      <c r="E32" s="238" t="s">
        <v>85</v>
      </c>
      <c r="F32" s="410" t="s">
        <v>177</v>
      </c>
      <c r="G32" s="411"/>
      <c r="H32" s="411"/>
      <c r="I32" s="412"/>
    </row>
    <row r="33" spans="1:11" s="171" customFormat="1" x14ac:dyDescent="0.25">
      <c r="A33" s="239" t="s">
        <v>154</v>
      </c>
      <c r="B33" s="240" t="s">
        <v>178</v>
      </c>
      <c r="C33" s="241">
        <f>+C15</f>
        <v>521115364</v>
      </c>
      <c r="D33" s="242">
        <f>((+I15)/C15)-D6</f>
        <v>-1.8492743178444293E-7</v>
      </c>
      <c r="E33" s="243">
        <f>+C33*D33</f>
        <v>-96.368525927935153</v>
      </c>
      <c r="F33" s="435" t="s">
        <v>179</v>
      </c>
      <c r="G33" s="435"/>
      <c r="H33" s="435"/>
      <c r="I33" s="436"/>
    </row>
    <row r="34" spans="1:11" s="171" customFormat="1" x14ac:dyDescent="0.25">
      <c r="A34" s="239" t="s">
        <v>154</v>
      </c>
      <c r="B34" s="240" t="s">
        <v>180</v>
      </c>
      <c r="C34" s="244">
        <f>+C15-C6</f>
        <v>-2054193.1299999952</v>
      </c>
      <c r="D34" s="245">
        <f>D6</f>
        <v>0.12449882169618512</v>
      </c>
      <c r="E34" s="246">
        <f>+C34*D34</f>
        <v>-255744.62422139783</v>
      </c>
      <c r="F34" s="435" t="s">
        <v>181</v>
      </c>
      <c r="G34" s="435"/>
      <c r="H34" s="435"/>
      <c r="I34" s="436"/>
    </row>
    <row r="35" spans="1:11" s="171" customFormat="1" x14ac:dyDescent="0.25">
      <c r="A35" s="247" t="s">
        <v>156</v>
      </c>
      <c r="B35" s="240" t="s">
        <v>182</v>
      </c>
      <c r="C35" s="244">
        <f>+C16+C17</f>
        <v>378723324</v>
      </c>
      <c r="D35" s="248">
        <f>+D16-D7</f>
        <v>0</v>
      </c>
      <c r="E35" s="246">
        <f>+C35*D35</f>
        <v>0</v>
      </c>
      <c r="F35" s="435" t="s">
        <v>179</v>
      </c>
      <c r="G35" s="435"/>
      <c r="H35" s="435"/>
      <c r="I35" s="436"/>
      <c r="J35" s="249"/>
    </row>
    <row r="36" spans="1:11" s="171" customFormat="1" ht="15.75" thickBot="1" x14ac:dyDescent="0.3">
      <c r="A36" s="239" t="s">
        <v>156</v>
      </c>
      <c r="B36" s="240" t="s">
        <v>180</v>
      </c>
      <c r="C36" s="250">
        <f>(+C17+C16)-(C8+C7)</f>
        <v>-968435</v>
      </c>
      <c r="D36" s="251">
        <f>+D7</f>
        <v>1.337539521418047E-2</v>
      </c>
      <c r="E36" s="252">
        <f>+C36*D36</f>
        <v>-12953.200864244864</v>
      </c>
      <c r="F36" s="435" t="s">
        <v>181</v>
      </c>
      <c r="G36" s="435"/>
      <c r="H36" s="435"/>
      <c r="I36" s="436"/>
      <c r="J36" s="367"/>
      <c r="K36" s="366"/>
    </row>
    <row r="37" spans="1:11" s="171" customFormat="1" ht="15.75" thickBot="1" x14ac:dyDescent="0.3">
      <c r="A37" s="253"/>
      <c r="B37" s="187"/>
      <c r="C37" s="254" t="s">
        <v>183</v>
      </c>
      <c r="D37" s="255"/>
      <c r="E37" s="256">
        <f>SUM(E33:E36)</f>
        <v>-268794.19361157063</v>
      </c>
      <c r="F37" s="434"/>
      <c r="G37" s="435"/>
      <c r="H37" s="435"/>
      <c r="I37" s="436"/>
      <c r="J37" s="179"/>
      <c r="K37" s="365"/>
    </row>
    <row r="38" spans="1:11" s="171" customFormat="1" ht="15.75" thickTop="1" x14ac:dyDescent="0.25">
      <c r="A38" s="224"/>
      <c r="B38" s="3"/>
      <c r="C38" s="106"/>
      <c r="D38" s="3"/>
      <c r="E38" s="196" t="s">
        <v>168</v>
      </c>
      <c r="F38" s="106"/>
      <c r="G38" s="106"/>
      <c r="H38" s="106"/>
      <c r="I38" s="106"/>
      <c r="J38" s="179"/>
      <c r="K38" s="179"/>
    </row>
    <row r="39" spans="1:11" s="171" customFormat="1" ht="15.75" thickBot="1" x14ac:dyDescent="0.3">
      <c r="A39" s="2" t="s">
        <v>184</v>
      </c>
      <c r="B39" s="18"/>
      <c r="C39" s="18"/>
      <c r="D39"/>
      <c r="E39"/>
      <c r="F39"/>
      <c r="G39" s="249"/>
      <c r="H39" s="249"/>
      <c r="I39" s="224"/>
      <c r="J39" s="6"/>
      <c r="K39" s="179"/>
    </row>
    <row r="40" spans="1:11" s="171" customFormat="1" ht="16.5" thickBot="1" x14ac:dyDescent="0.3">
      <c r="A40" s="229"/>
      <c r="B40" s="257"/>
      <c r="C40" s="420" t="s">
        <v>185</v>
      </c>
      <c r="D40" s="421"/>
      <c r="E40" s="421"/>
      <c r="F40" s="421" t="s">
        <v>177</v>
      </c>
      <c r="G40" s="421"/>
      <c r="H40" s="421"/>
      <c r="I40" s="422"/>
      <c r="J40" s="179"/>
      <c r="K40" s="179"/>
    </row>
    <row r="41" spans="1:11" s="171" customFormat="1" ht="15.75" thickBot="1" x14ac:dyDescent="0.3">
      <c r="A41" s="423"/>
      <c r="B41" s="424"/>
      <c r="C41" s="258"/>
      <c r="D41" s="13"/>
      <c r="E41" s="3"/>
      <c r="F41" s="429"/>
      <c r="G41" s="430"/>
      <c r="H41" s="430"/>
      <c r="I41" s="431"/>
      <c r="J41" s="179"/>
      <c r="K41" s="179"/>
    </row>
    <row r="42" spans="1:11" s="171" customFormat="1" ht="15" customHeight="1" thickBot="1" x14ac:dyDescent="0.3">
      <c r="A42" s="425"/>
      <c r="B42" s="426"/>
      <c r="C42" s="432" t="s">
        <v>279</v>
      </c>
      <c r="D42" s="433"/>
      <c r="E42" s="232">
        <f>+E25-G9</f>
        <v>20715.425248540938</v>
      </c>
      <c r="F42" s="434" t="s">
        <v>173</v>
      </c>
      <c r="G42" s="435"/>
      <c r="H42" s="435"/>
      <c r="I42" s="436"/>
      <c r="J42" s="179"/>
      <c r="K42" s="179"/>
    </row>
    <row r="43" spans="1:11" s="171" customFormat="1" ht="16.5" thickTop="1" thickBot="1" x14ac:dyDescent="0.3">
      <c r="A43" s="427"/>
      <c r="B43" s="428"/>
      <c r="C43" s="233"/>
      <c r="E43" s="234"/>
      <c r="F43" s="429"/>
      <c r="G43" s="430"/>
      <c r="H43" s="430"/>
      <c r="I43" s="431"/>
      <c r="J43" s="179"/>
      <c r="K43" s="179"/>
    </row>
    <row r="44" spans="1:11" s="171" customFormat="1" ht="16.5" thickBot="1" x14ac:dyDescent="0.3">
      <c r="A44" s="173" t="s">
        <v>150</v>
      </c>
      <c r="B44" s="235" t="s">
        <v>174</v>
      </c>
      <c r="C44" s="236" t="s">
        <v>175</v>
      </c>
      <c r="D44" s="237" t="s">
        <v>176</v>
      </c>
      <c r="E44" s="238" t="s">
        <v>85</v>
      </c>
      <c r="F44" s="410" t="s">
        <v>177</v>
      </c>
      <c r="G44" s="411"/>
      <c r="H44" s="411"/>
      <c r="I44" s="412"/>
      <c r="J44" s="179"/>
      <c r="K44" s="179"/>
    </row>
    <row r="45" spans="1:11" s="171" customFormat="1" ht="15.75" thickBot="1" x14ac:dyDescent="0.3">
      <c r="A45" s="259" t="s">
        <v>156</v>
      </c>
      <c r="B45" s="260" t="s">
        <v>178</v>
      </c>
      <c r="C45" s="261">
        <f>+B24</f>
        <v>223953976</v>
      </c>
      <c r="D45" s="262">
        <f>+D24-F8</f>
        <v>5.7755966778089141E-4</v>
      </c>
      <c r="E45" s="263">
        <f>+D45*C45</f>
        <v>129346.78397676973</v>
      </c>
      <c r="F45" s="413" t="s">
        <v>186</v>
      </c>
      <c r="G45" s="413"/>
      <c r="H45" s="413"/>
      <c r="I45" s="414"/>
      <c r="J45" s="179"/>
      <c r="K45" s="179"/>
    </row>
    <row r="46" spans="1:11" s="171" customFormat="1" ht="15.75" thickBot="1" x14ac:dyDescent="0.3">
      <c r="A46" s="239" t="s">
        <v>156</v>
      </c>
      <c r="B46" s="240" t="s">
        <v>180</v>
      </c>
      <c r="C46" s="264">
        <f>+B8-B24</f>
        <v>968435</v>
      </c>
      <c r="D46" s="265">
        <f>-F8</f>
        <v>-0.11217207012162043</v>
      </c>
      <c r="E46" s="263">
        <f>+D46*C46</f>
        <v>-108631.35872823148</v>
      </c>
      <c r="F46" s="415" t="s">
        <v>181</v>
      </c>
      <c r="G46" s="415"/>
      <c r="H46" s="415"/>
      <c r="I46" s="416"/>
      <c r="J46" s="364"/>
      <c r="K46" s="179"/>
    </row>
    <row r="47" spans="1:11" s="171" customFormat="1" ht="15.75" thickBot="1" x14ac:dyDescent="0.3">
      <c r="A47" s="253"/>
      <c r="B47" s="187"/>
      <c r="C47" s="254" t="s">
        <v>183</v>
      </c>
      <c r="D47" s="254"/>
      <c r="E47" s="256">
        <f>SUM(E45:E46)</f>
        <v>20715.425248538246</v>
      </c>
      <c r="F47" s="417"/>
      <c r="G47" s="418"/>
      <c r="H47" s="418"/>
      <c r="I47" s="419"/>
      <c r="J47" s="179"/>
      <c r="K47" s="179"/>
    </row>
    <row r="48" spans="1:11" s="171" customFormat="1" ht="15.75" thickTop="1" x14ac:dyDescent="0.25">
      <c r="A48"/>
      <c r="B48" s="79"/>
      <c r="C48"/>
    </row>
    <row r="50" spans="5:11" x14ac:dyDescent="0.25">
      <c r="E50" t="s">
        <v>168</v>
      </c>
    </row>
    <row r="58" spans="5:11" x14ac:dyDescent="0.25">
      <c r="I58" s="266"/>
      <c r="J58" s="160"/>
      <c r="K58" s="190"/>
    </row>
    <row r="59" spans="5:11" x14ac:dyDescent="0.25">
      <c r="I59" s="266"/>
      <c r="J59" s="160"/>
      <c r="K59" s="190"/>
    </row>
    <row r="60" spans="5:11" x14ac:dyDescent="0.25">
      <c r="I60" s="34"/>
      <c r="J60" s="30"/>
      <c r="K60" s="190"/>
    </row>
  </sheetData>
  <mergeCells count="32">
    <mergeCell ref="A13:C13"/>
    <mergeCell ref="D13:E13"/>
    <mergeCell ref="F13:G13"/>
    <mergeCell ref="A1:I1"/>
    <mergeCell ref="A4:C4"/>
    <mergeCell ref="D4:E4"/>
    <mergeCell ref="F4:G4"/>
    <mergeCell ref="D12:I12"/>
    <mergeCell ref="F37:I37"/>
    <mergeCell ref="A21:C21"/>
    <mergeCell ref="D21:E21"/>
    <mergeCell ref="C28:I28"/>
    <mergeCell ref="A29:B31"/>
    <mergeCell ref="F29:I29"/>
    <mergeCell ref="C30:D30"/>
    <mergeCell ref="F30:I30"/>
    <mergeCell ref="F31:I31"/>
    <mergeCell ref="F32:I32"/>
    <mergeCell ref="F33:I33"/>
    <mergeCell ref="F34:I34"/>
    <mergeCell ref="F35:I35"/>
    <mergeCell ref="F36:I36"/>
    <mergeCell ref="A41:B43"/>
    <mergeCell ref="F41:I41"/>
    <mergeCell ref="C42:D42"/>
    <mergeCell ref="F42:I42"/>
    <mergeCell ref="F43:I43"/>
    <mergeCell ref="F44:I44"/>
    <mergeCell ref="F45:I45"/>
    <mergeCell ref="F46:I46"/>
    <mergeCell ref="F47:I47"/>
    <mergeCell ref="C40:I40"/>
  </mergeCells>
  <pageMargins left="0.7" right="0.7" top="0.75" bottom="0.75" header="0.3" footer="0.3"/>
  <pageSetup paperSize="17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WRZ - Jan-Dec 2020</vt:lpstr>
      <vt:lpstr>WRZ Jan-Dec20 RPP 2nd TU</vt:lpstr>
      <vt:lpstr>WH Settlement Comparison Orig</vt:lpstr>
      <vt:lpstr>WRZ Settlement Comparison</vt:lpstr>
      <vt:lpstr>Final RSVA Balances</vt:lpstr>
      <vt:lpstr>'WH Settlement Comparison Orig'!Print_Area</vt:lpstr>
      <vt:lpstr>'WRZ - Jan-Dec 2020'!Print_Area</vt:lpstr>
      <vt:lpstr>'WRZ Settlement Comparison'!Print_Area</vt:lpstr>
      <vt:lpstr>'WH Settlement Comparison Orig'!Print_Titles</vt:lpstr>
      <vt:lpstr>'WRZ - Jan-Dec 2020'!Print_Titles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Reffle</dc:creator>
  <cp:lastModifiedBy>Cindy Perrin</cp:lastModifiedBy>
  <cp:lastPrinted>2021-03-24T12:23:21Z</cp:lastPrinted>
  <dcterms:created xsi:type="dcterms:W3CDTF">2019-07-16T19:41:05Z</dcterms:created>
  <dcterms:modified xsi:type="dcterms:W3CDTF">2021-08-13T16:52:43Z</dcterms:modified>
</cp:coreProperties>
</file>