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Finance$\Rates\_Alectra\Month End\2022\LRAMVA\2023 IRM\Filing Appendix\"/>
    </mc:Choice>
  </mc:AlternateContent>
  <xr:revisionPtr revIDLastSave="0" documentId="13_ncr:1_{68894A98-A6D1-43D2-AE7D-9D4372ECD34E}" xr6:coauthVersionLast="47" xr6:coauthVersionMax="47" xr10:uidLastSave="{00000000-0000-0000-0000-000000000000}"/>
  <bookViews>
    <workbookView xWindow="-120" yWindow="-120" windowWidth="21840" windowHeight="13140" activeTab="3" xr2:uid="{765A80ED-A2EA-490A-B997-E963A7071644}"/>
  </bookViews>
  <sheets>
    <sheet name="Guelph 2020 Actual" sheetId="1" r:id="rId1"/>
    <sheet name="Retrofit 2020" sheetId="2" r:id="rId2"/>
    <sheet name="Energy Manager 2020" sheetId="4" r:id="rId3"/>
    <sheet name="HPNC 2020" sheetId="3" r:id="rId4"/>
    <sheet name="Guelph 2021 Actual" sheetId="5" r:id="rId5"/>
    <sheet name="Retrofit 2021" sheetId="6" r:id="rId6"/>
    <sheet name="M&amp;T 2021" sheetId="7" r:id="rId7"/>
    <sheet name="HPNC 2021" sheetId="9" r:id="rId8"/>
  </sheets>
  <definedNames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MEWarning" hidden="1">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2" l="1"/>
  <c r="D85" i="2"/>
  <c r="E41" i="6"/>
  <c r="D41" i="6"/>
  <c r="E152" i="6"/>
  <c r="D152" i="6"/>
  <c r="I20" i="5" l="1"/>
  <c r="H20" i="5"/>
  <c r="F20" i="5"/>
  <c r="E20" i="5"/>
  <c r="C20" i="5"/>
  <c r="B20" i="5"/>
  <c r="D20" i="5" s="1"/>
  <c r="F19" i="5"/>
  <c r="E19" i="5"/>
  <c r="C19" i="5"/>
  <c r="B19" i="5"/>
  <c r="D19" i="5" s="1"/>
  <c r="T18" i="5"/>
  <c r="I18" i="5"/>
  <c r="H18" i="5"/>
  <c r="F18" i="5"/>
  <c r="E18" i="5"/>
  <c r="C18" i="5"/>
  <c r="B18" i="5"/>
  <c r="T17" i="5"/>
  <c r="F17" i="5"/>
  <c r="E17" i="5"/>
  <c r="C17" i="5"/>
  <c r="B17" i="5"/>
  <c r="T16" i="5"/>
  <c r="F16" i="5"/>
  <c r="E16" i="5"/>
  <c r="C16" i="5"/>
  <c r="B16" i="5"/>
  <c r="T15" i="5"/>
  <c r="I15" i="5"/>
  <c r="H15" i="5"/>
  <c r="F15" i="5"/>
  <c r="E15" i="5"/>
  <c r="C15" i="5"/>
  <c r="B15" i="5"/>
  <c r="Q21" i="5"/>
  <c r="O21" i="5"/>
  <c r="M21" i="5"/>
  <c r="K21" i="5"/>
  <c r="T10" i="5"/>
  <c r="I10" i="5"/>
  <c r="H10" i="5"/>
  <c r="F10" i="5"/>
  <c r="E10" i="5"/>
  <c r="C10" i="5"/>
  <c r="B10" i="5"/>
  <c r="T9" i="5"/>
  <c r="F9" i="5"/>
  <c r="E9" i="5"/>
  <c r="C9" i="5"/>
  <c r="B9" i="5"/>
  <c r="T8" i="5"/>
  <c r="I8" i="5"/>
  <c r="H8" i="5"/>
  <c r="F8" i="5"/>
  <c r="E8" i="5"/>
  <c r="C8" i="5"/>
  <c r="B8" i="5"/>
  <c r="T7" i="5"/>
  <c r="I7" i="5"/>
  <c r="H7" i="5"/>
  <c r="F7" i="5"/>
  <c r="E7" i="5"/>
  <c r="C7" i="5"/>
  <c r="B7" i="5"/>
  <c r="F6" i="5"/>
  <c r="E6" i="5"/>
  <c r="C6" i="5"/>
  <c r="B6" i="5"/>
  <c r="T5" i="5"/>
  <c r="I5" i="5"/>
  <c r="H5" i="5"/>
  <c r="F5" i="5"/>
  <c r="E5" i="5"/>
  <c r="C5" i="5"/>
  <c r="B5" i="5"/>
  <c r="Q11" i="5"/>
  <c r="O11" i="5"/>
  <c r="M11" i="5"/>
  <c r="J10" i="5" l="1"/>
  <c r="D8" i="5"/>
  <c r="D5" i="5"/>
  <c r="G6" i="5"/>
  <c r="G18" i="5"/>
  <c r="J15" i="5"/>
  <c r="D18" i="5"/>
  <c r="J18" i="5"/>
  <c r="G20" i="5"/>
  <c r="D17" i="5"/>
  <c r="G7" i="5"/>
  <c r="D9" i="5"/>
  <c r="G17" i="5"/>
  <c r="D6" i="5"/>
  <c r="D7" i="5"/>
  <c r="J7" i="5"/>
  <c r="D16" i="5"/>
  <c r="G19" i="5"/>
  <c r="J5" i="5"/>
  <c r="G8" i="5"/>
  <c r="G9" i="5"/>
  <c r="D10" i="5"/>
  <c r="D15" i="5"/>
  <c r="J8" i="5"/>
  <c r="G10" i="5"/>
  <c r="G15" i="5"/>
  <c r="J20" i="5"/>
  <c r="G5" i="5"/>
  <c r="G16" i="5"/>
  <c r="U4" i="5"/>
  <c r="T4" i="5"/>
  <c r="U14" i="5"/>
  <c r="K11" i="5"/>
  <c r="T6" i="5"/>
  <c r="T19" i="5"/>
  <c r="T20" i="5"/>
  <c r="T14" i="5"/>
  <c r="L21" i="5" l="1"/>
  <c r="R21" i="5"/>
  <c r="T21" i="5"/>
  <c r="U19" i="5"/>
  <c r="U10" i="5"/>
  <c r="U16" i="5"/>
  <c r="U17" i="5"/>
  <c r="U6" i="5"/>
  <c r="N21" i="5"/>
  <c r="L11" i="5"/>
  <c r="U20" i="5"/>
  <c r="U8" i="5"/>
  <c r="T11" i="5"/>
  <c r="U15" i="5"/>
  <c r="R11" i="5"/>
  <c r="U7" i="5"/>
  <c r="N11" i="5"/>
  <c r="U9" i="5" l="1"/>
  <c r="U5" i="5"/>
  <c r="U18" i="5"/>
  <c r="U21" i="5" s="1"/>
  <c r="P11" i="5"/>
  <c r="P21" i="5"/>
  <c r="U11" i="5" l="1"/>
  <c r="D11" i="4" l="1"/>
  <c r="C11" i="4"/>
  <c r="H4" i="4"/>
  <c r="H9" i="4"/>
  <c r="D7" i="3"/>
  <c r="C7" i="3"/>
  <c r="G5" i="3"/>
  <c r="G4" i="3"/>
  <c r="I4" i="3" l="1"/>
  <c r="I5" i="3"/>
  <c r="E152" i="2" l="1"/>
  <c r="D152" i="2"/>
  <c r="U17" i="1" l="1"/>
  <c r="V22" i="1"/>
  <c r="U22" i="1"/>
  <c r="I22" i="1"/>
  <c r="H22" i="1"/>
  <c r="F22" i="1"/>
  <c r="E22" i="1"/>
  <c r="C22" i="1"/>
  <c r="B22" i="1"/>
  <c r="V21" i="1"/>
  <c r="U21" i="1"/>
  <c r="F21" i="1"/>
  <c r="E21" i="1"/>
  <c r="C21" i="1"/>
  <c r="B21" i="1"/>
  <c r="U20" i="1"/>
  <c r="I20" i="1"/>
  <c r="H20" i="1"/>
  <c r="F20" i="1"/>
  <c r="E20" i="1"/>
  <c r="C20" i="1"/>
  <c r="B20" i="1"/>
  <c r="U19" i="1"/>
  <c r="F19" i="1"/>
  <c r="E19" i="1"/>
  <c r="C19" i="1"/>
  <c r="B19" i="1"/>
  <c r="U18" i="1"/>
  <c r="V18" i="1"/>
  <c r="F18" i="1"/>
  <c r="E18" i="1"/>
  <c r="C18" i="1"/>
  <c r="B18" i="1"/>
  <c r="D18" i="1" s="1"/>
  <c r="M23" i="1"/>
  <c r="I17" i="1"/>
  <c r="H17" i="1"/>
  <c r="F17" i="1"/>
  <c r="E17" i="1"/>
  <c r="C17" i="1"/>
  <c r="B17" i="1"/>
  <c r="V16" i="1"/>
  <c r="U16" i="1"/>
  <c r="F16" i="1"/>
  <c r="E16" i="1"/>
  <c r="G16" i="1" s="1"/>
  <c r="C16" i="1"/>
  <c r="B16" i="1"/>
  <c r="Q23" i="1"/>
  <c r="V15" i="1"/>
  <c r="O23" i="1"/>
  <c r="K23" i="1"/>
  <c r="V11" i="1"/>
  <c r="U11" i="1"/>
  <c r="I11" i="1"/>
  <c r="H11" i="1"/>
  <c r="F11" i="1"/>
  <c r="E11" i="1"/>
  <c r="C11" i="1"/>
  <c r="B11" i="1"/>
  <c r="D11" i="1" s="1"/>
  <c r="V10" i="1"/>
  <c r="U10" i="1"/>
  <c r="F10" i="1"/>
  <c r="E10" i="1"/>
  <c r="C10" i="1"/>
  <c r="B10" i="1"/>
  <c r="U9" i="1"/>
  <c r="I9" i="1"/>
  <c r="H9" i="1"/>
  <c r="F9" i="1"/>
  <c r="E9" i="1"/>
  <c r="C9" i="1"/>
  <c r="B9" i="1"/>
  <c r="I8" i="1"/>
  <c r="H8" i="1"/>
  <c r="J8" i="1" s="1"/>
  <c r="F8" i="1"/>
  <c r="E8" i="1"/>
  <c r="C8" i="1"/>
  <c r="B8" i="1"/>
  <c r="D8" i="1" s="1"/>
  <c r="U7" i="1"/>
  <c r="V7" i="1"/>
  <c r="F7" i="1"/>
  <c r="E7" i="1"/>
  <c r="C7" i="1"/>
  <c r="B7" i="1"/>
  <c r="U6" i="1"/>
  <c r="M12" i="1"/>
  <c r="I6" i="1"/>
  <c r="H6" i="1"/>
  <c r="F6" i="1"/>
  <c r="E6" i="1"/>
  <c r="C6" i="1"/>
  <c r="B6" i="1"/>
  <c r="V5" i="1"/>
  <c r="U5" i="1"/>
  <c r="F5" i="1"/>
  <c r="G5" i="1" s="1"/>
  <c r="E5" i="1"/>
  <c r="C5" i="1"/>
  <c r="B5" i="1"/>
  <c r="O12" i="1"/>
  <c r="K12" i="1"/>
  <c r="J9" i="1" l="1"/>
  <c r="D21" i="1"/>
  <c r="G22" i="1"/>
  <c r="J17" i="1"/>
  <c r="G20" i="1"/>
  <c r="D19" i="1"/>
  <c r="D9" i="1"/>
  <c r="G9" i="1"/>
  <c r="G19" i="1"/>
  <c r="J6" i="1"/>
  <c r="D7" i="1"/>
  <c r="D22" i="1"/>
  <c r="D5" i="1"/>
  <c r="D16" i="1"/>
  <c r="D20" i="1"/>
  <c r="J20" i="1"/>
  <c r="V20" i="1" s="1"/>
  <c r="G6" i="1"/>
  <c r="G8" i="1"/>
  <c r="G10" i="1"/>
  <c r="J11" i="1"/>
  <c r="G17" i="1"/>
  <c r="G18" i="1"/>
  <c r="D6" i="1"/>
  <c r="G7" i="1"/>
  <c r="D10" i="1"/>
  <c r="G11" i="1"/>
  <c r="D17" i="1"/>
  <c r="G21" i="1"/>
  <c r="J22" i="1"/>
  <c r="R23" i="1"/>
  <c r="V19" i="1"/>
  <c r="Q12" i="1"/>
  <c r="V9" i="1"/>
  <c r="V8" i="1"/>
  <c r="L12" i="1"/>
  <c r="U4" i="1"/>
  <c r="U15" i="1"/>
  <c r="U23" i="1" s="1"/>
  <c r="V4" i="1"/>
  <c r="U8" i="1"/>
  <c r="N12" i="1"/>
  <c r="R12" i="1" l="1"/>
  <c r="L23" i="1"/>
  <c r="U12" i="1"/>
  <c r="N23" i="1"/>
  <c r="V17" i="1" l="1"/>
  <c r="V23" i="1" s="1"/>
  <c r="P23" i="1"/>
  <c r="V6" i="1"/>
  <c r="V12" i="1" s="1"/>
  <c r="P12" i="1"/>
</calcChain>
</file>

<file path=xl/sharedStrings.xml><?xml version="1.0" encoding="utf-8"?>
<sst xmlns="http://schemas.openxmlformats.org/spreadsheetml/2006/main" count="651" uniqueCount="128">
  <si>
    <t>GUELPH CDM SAVINGS ACTUAL for LRAM - 2020</t>
  </si>
  <si>
    <t>Alectra (2017)</t>
  </si>
  <si>
    <t>Provincial (2017)*</t>
  </si>
  <si>
    <t>Guelph (2017)*</t>
  </si>
  <si>
    <t>2020 GS&lt;50 Gross Subtotal</t>
  </si>
  <si>
    <t>2020 GS&lt;50 NTG-R Subtotal</t>
  </si>
  <si>
    <t>2020 GS&lt;MW Gross Subtotal</t>
  </si>
  <si>
    <t>2020 GS&lt;MW NTG-R Subtotal</t>
  </si>
  <si>
    <t>2020 GS&lt;MW NTG-RSubtotal</t>
  </si>
  <si>
    <t>2020 LU Gross Subtotal</t>
  </si>
  <si>
    <t>2020 LU NTG-RSubtotal</t>
  </si>
  <si>
    <t>2020 STLT Gross Subtotal</t>
  </si>
  <si>
    <t>2020 STLT NTG-R Subtotal</t>
  </si>
  <si>
    <t>Gross Actual All Rate Classes</t>
  </si>
  <si>
    <t>NTG-R Actual All Rate Classes</t>
  </si>
  <si>
    <t>2020 Energy Adjusted by NTG-R  (kWh)</t>
  </si>
  <si>
    <t>NTG</t>
  </si>
  <si>
    <t>RR</t>
  </si>
  <si>
    <t>NTG-R</t>
  </si>
  <si>
    <t>GS&lt;50</t>
  </si>
  <si>
    <t>GS&lt;1MW</t>
  </si>
  <si>
    <t>GS&lt;5MW</t>
  </si>
  <si>
    <t>LU</t>
  </si>
  <si>
    <t>STLT</t>
  </si>
  <si>
    <t>Grand Total</t>
  </si>
  <si>
    <t>SAVE ON ENERGY MONITORING &amp; TARGETING PROGRAM</t>
  </si>
  <si>
    <t>-</t>
  </si>
  <si>
    <t>SAVE ON ENERGY PROCESS &amp; SYSTEMS UPGRADES PROGRAM</t>
  </si>
  <si>
    <t>SAVE ON ENERGY RETROFIT PROGRAM</t>
  </si>
  <si>
    <t>SAVE ON ENERGY ENERGY AUDIT PROGRAM</t>
  </si>
  <si>
    <t>SAVE ON ENERGY EMBEDDED ENERGY MANAGER</t>
  </si>
  <si>
    <t>SAVE ON ENERGY HIGH PERFORMANCE NEW CONSTRUCTION</t>
  </si>
  <si>
    <t>SAVE ON ENERGY SMALL BUSINESS LIGHTING</t>
  </si>
  <si>
    <t>SAVE ON ENERGY HEATING AND COOLING PROGRAM</t>
  </si>
  <si>
    <t>2020 Demand Adjusted by NTG-R  (kW)</t>
  </si>
  <si>
    <t>Rate Class Definition</t>
  </si>
  <si>
    <t>Code</t>
  </si>
  <si>
    <t>LRAM Basis</t>
  </si>
  <si>
    <t>General Service less than 50 kW</t>
  </si>
  <si>
    <t>kWh</t>
  </si>
  <si>
    <t>General Service 50 - 999 kW</t>
  </si>
  <si>
    <t>kW</t>
  </si>
  <si>
    <t>General Service 1,000 - 4,999 kW</t>
  </si>
  <si>
    <t>Large User</t>
  </si>
  <si>
    <t>Residential</t>
  </si>
  <si>
    <t>RES</t>
  </si>
  <si>
    <t>Sentinel Lighting</t>
  </si>
  <si>
    <t>SENLT</t>
  </si>
  <si>
    <t>GS&lt;1MW - C&amp;I</t>
  </si>
  <si>
    <t>Street Lighting</t>
  </si>
  <si>
    <t>Unmetered Scattered Loads</t>
  </si>
  <si>
    <t>UMSL</t>
  </si>
  <si>
    <t>LU - IND</t>
  </si>
  <si>
    <t>* Notes</t>
  </si>
  <si>
    <t>NTG used from IESO 2017 published FVR Report</t>
  </si>
  <si>
    <t>* Where possible Guelph (2017) NTG-R is used, if no values, Provincial (2017) NTG-R is used</t>
  </si>
  <si>
    <t>Project</t>
  </si>
  <si>
    <t>Demand Saved kW</t>
  </si>
  <si>
    <t>Energy Saved kWh</t>
  </si>
  <si>
    <t>Incentive $</t>
  </si>
  <si>
    <t>Incentive $ HST</t>
  </si>
  <si>
    <t>OPA INVOICE CHECKSUM</t>
  </si>
  <si>
    <t>Project Cost No Incentive</t>
  </si>
  <si>
    <t>Incentive Cheque Started</t>
  </si>
  <si>
    <t>N</t>
  </si>
  <si>
    <t>O</t>
  </si>
  <si>
    <t>Q</t>
  </si>
  <si>
    <t>OPA CRM</t>
  </si>
  <si>
    <t>OEB LRAM Classification</t>
  </si>
  <si>
    <t>Project Type (Lighting, Comp-Air, VFD, Process, Other)</t>
  </si>
  <si>
    <t>Total Actual Demand Savings</t>
  </si>
  <si>
    <t>Total Actual Energy Savings</t>
  </si>
  <si>
    <t>Total Actual Incentive Amount</t>
  </si>
  <si>
    <t>HST on Total Actual Incentive Amount</t>
  </si>
  <si>
    <t>Lighting</t>
  </si>
  <si>
    <t>GS&lt;5MW - IND</t>
  </si>
  <si>
    <t xml:space="preserve">2020 WindDown Reporting ERII (RETROFIT) Prescriptive &amp; Custom Projects </t>
  </si>
  <si>
    <t>Other - RTO</t>
  </si>
  <si>
    <t>Other - Process</t>
  </si>
  <si>
    <t>Other - Chiller</t>
  </si>
  <si>
    <t>Other - Compressor</t>
  </si>
  <si>
    <t>Other - Unitary AC</t>
  </si>
  <si>
    <t>Other Process</t>
  </si>
  <si>
    <t>Other - VFD</t>
  </si>
  <si>
    <t>HPNC Project Listing - 2020</t>
  </si>
  <si>
    <t>Program</t>
  </si>
  <si>
    <t>Actual kW Avoided</t>
  </si>
  <si>
    <t>Actual kWh Avoided</t>
  </si>
  <si>
    <t>Actual Project Cost $</t>
  </si>
  <si>
    <t xml:space="preserve"> Actual Electrical / Mechanical Building Cost Affected by Incentive </t>
  </si>
  <si>
    <t>Actual Incentive $</t>
  </si>
  <si>
    <t>Actual HST</t>
  </si>
  <si>
    <t>Actual Total Customer Incentive (Inc HST)</t>
  </si>
  <si>
    <t>Date Incentive Cheque Started</t>
  </si>
  <si>
    <t>HPNC</t>
  </si>
  <si>
    <t>Net Savings</t>
  </si>
  <si>
    <t>Energy Manager Project Listing - 2020</t>
  </si>
  <si>
    <t>Actual KW Saved</t>
  </si>
  <si>
    <t>Actual kWh Saved</t>
  </si>
  <si>
    <t>Energy Manager</t>
  </si>
  <si>
    <t>Project Phase</t>
  </si>
  <si>
    <t>Incentive Amount</t>
  </si>
  <si>
    <t>HST</t>
  </si>
  <si>
    <t>Total Customer Incentive (Inc HST)</t>
  </si>
  <si>
    <t>Date Incentive Paid</t>
  </si>
  <si>
    <t>Term two second payment only.</t>
  </si>
  <si>
    <t>Term one second payment only.</t>
  </si>
  <si>
    <t>Net</t>
  </si>
  <si>
    <t>GUELPH CDM SAVINGS ACTUAL for LRAM - 2021</t>
  </si>
  <si>
    <t>2021 GS&lt;50 Gross Subtotal</t>
  </si>
  <si>
    <t>2021 GS&lt;50 NTG-R Subtotal</t>
  </si>
  <si>
    <t>2021 GS&lt;MW Gross Subtotal</t>
  </si>
  <si>
    <t>2021 GS&lt;MW NTG-R Subtotal</t>
  </si>
  <si>
    <t>2021 GS&lt;MW NTG-RSubtotal</t>
  </si>
  <si>
    <t>2021 LU Gross Subtotal</t>
  </si>
  <si>
    <t>2021 LU NTG-RSubtotal</t>
  </si>
  <si>
    <t>2021 STLT NTG-R Subtotal</t>
  </si>
  <si>
    <t>2021 Energy Adjusted by NTG-R  (kWh)</t>
  </si>
  <si>
    <t>2021 Demand Adjusted by NTG-R  (kW)</t>
  </si>
  <si>
    <t>2021 WindDown Reporting ERII (RETROFIT) Prescriptive &amp; Custom Projects - CRM</t>
  </si>
  <si>
    <t>LU - C&amp;I</t>
  </si>
  <si>
    <t>Other -Process</t>
  </si>
  <si>
    <t>Total Retrofit</t>
  </si>
  <si>
    <t>M&amp;T Project Listing - 2021</t>
  </si>
  <si>
    <t>M&amp;T</t>
  </si>
  <si>
    <t>LU-IND</t>
  </si>
  <si>
    <t>Second Phase</t>
  </si>
  <si>
    <t>HPNC Project Listing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</si>
</sst>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#,##0.0000;\-#,##0.0000;&quot;-&quot;_____;"/>
    <numFmt numFmtId="167" formatCode="0.0"/>
    <numFmt numFmtId="168" formatCode="_-* #,##0.0_-;\-* #,##0.0_-;_-* &quot;-&quot;??_-;_-@_-"/>
    <numFmt numFmtId="169" formatCode="_-* #,##0_-;\-* #,##0_-;_-* &quot;-&quot;??_-;_-@_-"/>
    <numFmt numFmtId="170" formatCode="[$-409]d\-mmm\-yy;@"/>
    <numFmt numFmtId="171" formatCode="&quot;$&quot;#,##0.00"/>
    <numFmt numFmtId="172" formatCode="[$$-1009]#,##0.00"/>
    <numFmt numFmtId="173" formatCode="&quot;$&quot;#,##0"/>
    <numFmt numFmtId="174" formatCode="[$-409]dd\-mmm\-yy;@"/>
    <numFmt numFmtId="17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2EC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i/>
      <u/>
      <sz val="14"/>
      <color rgb="FF0000FF"/>
      <name val="Calibri"/>
      <family val="2"/>
      <scheme val="minor"/>
    </font>
    <font>
      <u/>
      <sz val="11"/>
      <name val="Calibri"/>
      <family val="2"/>
      <scheme val="minor"/>
    </font>
    <font>
      <b/>
      <i/>
      <u/>
      <sz val="14"/>
      <color theme="1"/>
      <name val="Arial"/>
      <family val="2"/>
    </font>
    <font>
      <b/>
      <i/>
      <u/>
      <sz val="18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172" fontId="1" fillId="0" borderId="0"/>
    <xf numFmtId="172" fontId="1" fillId="2" borderId="0" applyNumberFormat="0" applyBorder="0" applyAlignment="0" applyProtection="0"/>
    <xf numFmtId="172" fontId="1" fillId="0" borderId="0"/>
  </cellStyleXfs>
  <cellXfs count="170">
    <xf numFmtId="0" fontId="0" fillId="0" borderId="0" xfId="0"/>
    <xf numFmtId="0" fontId="12" fillId="0" borderId="0" xfId="0" applyFont="1"/>
    <xf numFmtId="4" fontId="0" fillId="0" borderId="0" xfId="0" applyNumberFormat="1"/>
    <xf numFmtId="0" fontId="7" fillId="0" borderId="0" xfId="0" applyFont="1" applyFill="1" applyAlignment="1">
      <alignment horizontal="center" wrapText="1"/>
    </xf>
    <xf numFmtId="0" fontId="7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3" fontId="3" fillId="0" borderId="0" xfId="0" applyNumberFormat="1" applyFont="1" applyFill="1"/>
    <xf numFmtId="3" fontId="3" fillId="0" borderId="4" xfId="0" applyNumberFormat="1" applyFont="1" applyFill="1" applyBorder="1"/>
    <xf numFmtId="3" fontId="11" fillId="0" borderId="7" xfId="0" applyNumberFormat="1" applyFont="1" applyFill="1" applyBorder="1"/>
    <xf numFmtId="3" fontId="7" fillId="0" borderId="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2" xfId="0" applyFont="1" applyFill="1" applyBorder="1"/>
    <xf numFmtId="165" fontId="8" fillId="0" borderId="2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 vertical="top"/>
    </xf>
    <xf numFmtId="166" fontId="10" fillId="0" borderId="0" xfId="0" applyNumberFormat="1" applyFont="1" applyFill="1" applyAlignment="1">
      <alignment horizontal="center" vertical="top"/>
    </xf>
    <xf numFmtId="0" fontId="8" fillId="0" borderId="2" xfId="0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166" fontId="8" fillId="0" borderId="0" xfId="0" applyNumberFormat="1" applyFont="1" applyFill="1" applyAlignment="1">
      <alignment horizontal="center"/>
    </xf>
    <xf numFmtId="166" fontId="10" fillId="0" borderId="5" xfId="0" applyNumberFormat="1" applyFont="1" applyFill="1" applyBorder="1" applyAlignment="1">
      <alignment horizontal="center" vertical="top"/>
    </xf>
    <xf numFmtId="166" fontId="10" fillId="0" borderId="4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/>
    </xf>
    <xf numFmtId="0" fontId="20" fillId="0" borderId="0" xfId="2" applyFont="1"/>
    <xf numFmtId="0" fontId="21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3" fillId="0" borderId="0" xfId="2" applyFont="1"/>
    <xf numFmtId="170" fontId="3" fillId="0" borderId="0" xfId="2" applyNumberFormat="1" applyFont="1"/>
    <xf numFmtId="0" fontId="3" fillId="0" borderId="3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right" vertical="center" wrapText="1"/>
    </xf>
    <xf numFmtId="170" fontId="3" fillId="0" borderId="3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/>
    </xf>
    <xf numFmtId="0" fontId="1" fillId="0" borderId="3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" fontId="3" fillId="0" borderId="3" xfId="2" applyNumberFormat="1" applyFont="1" applyBorder="1" applyAlignment="1">
      <alignment horizontal="right"/>
    </xf>
    <xf numFmtId="171" fontId="3" fillId="0" borderId="3" xfId="2" applyNumberFormat="1" applyFont="1" applyBorder="1"/>
    <xf numFmtId="171" fontId="3" fillId="0" borderId="3" xfId="2" applyNumberFormat="1" applyFont="1" applyBorder="1" applyAlignment="1">
      <alignment horizontal="right" vertical="center"/>
    </xf>
    <xf numFmtId="170" fontId="3" fillId="0" borderId="3" xfId="2" applyNumberFormat="1" applyFont="1" applyBorder="1" applyAlignment="1">
      <alignment vertical="center"/>
    </xf>
    <xf numFmtId="14" fontId="3" fillId="0" borderId="3" xfId="2" applyNumberFormat="1" applyFont="1" applyBorder="1" applyAlignment="1">
      <alignment horizontal="center"/>
    </xf>
    <xf numFmtId="170" fontId="3" fillId="0" borderId="3" xfId="2" applyNumberFormat="1" applyFont="1" applyBorder="1" applyAlignment="1">
      <alignment horizontal="right" vertical="center"/>
    </xf>
    <xf numFmtId="0" fontId="1" fillId="0" borderId="3" xfId="2" applyFont="1" applyBorder="1" applyAlignment="1">
      <alignment horizontal="center" vertical="center"/>
    </xf>
    <xf numFmtId="4" fontId="19" fillId="0" borderId="3" xfId="2" applyNumberFormat="1" applyBorder="1"/>
    <xf numFmtId="169" fontId="3" fillId="0" borderId="8" xfId="3" applyNumberFormat="1" applyFont="1" applyFill="1" applyBorder="1" applyAlignment="1">
      <alignment horizontal="right"/>
    </xf>
    <xf numFmtId="169" fontId="3" fillId="0" borderId="9" xfId="3" applyNumberFormat="1" applyFont="1" applyFill="1" applyBorder="1" applyAlignment="1">
      <alignment horizontal="right"/>
    </xf>
    <xf numFmtId="169" fontId="3" fillId="0" borderId="0" xfId="2" applyNumberFormat="1" applyFont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72" fontId="22" fillId="0" borderId="0" xfId="4" applyFont="1"/>
    <xf numFmtId="172" fontId="12" fillId="0" borderId="0" xfId="4" applyFont="1"/>
    <xf numFmtId="172" fontId="23" fillId="0" borderId="0" xfId="4" applyFont="1"/>
    <xf numFmtId="172" fontId="24" fillId="0" borderId="0" xfId="4" applyFont="1"/>
    <xf numFmtId="170" fontId="12" fillId="0" borderId="0" xfId="4" applyNumberFormat="1" applyFont="1"/>
    <xf numFmtId="3" fontId="12" fillId="0" borderId="0" xfId="4" applyNumberFormat="1" applyFont="1" applyAlignment="1">
      <alignment horizontal="center"/>
    </xf>
    <xf numFmtId="172" fontId="12" fillId="0" borderId="0" xfId="4" applyFont="1" applyAlignment="1">
      <alignment horizontal="center"/>
    </xf>
    <xf numFmtId="172" fontId="26" fillId="3" borderId="3" xfId="5" applyFont="1" applyFill="1" applyBorder="1" applyAlignment="1">
      <alignment horizontal="center" vertical="center" wrapText="1"/>
    </xf>
    <xf numFmtId="170" fontId="26" fillId="3" borderId="3" xfId="5" applyNumberFormat="1" applyFont="1" applyFill="1" applyBorder="1" applyAlignment="1">
      <alignment horizontal="center" vertical="center" wrapText="1"/>
    </xf>
    <xf numFmtId="172" fontId="12" fillId="0" borderId="0" xfId="4" applyFont="1" applyAlignment="1">
      <alignment vertical="center"/>
    </xf>
    <xf numFmtId="3" fontId="12" fillId="0" borderId="3" xfId="4" applyNumberFormat="1" applyFont="1" applyBorder="1" applyAlignment="1">
      <alignment horizontal="center"/>
    </xf>
    <xf numFmtId="172" fontId="12" fillId="0" borderId="3" xfId="4" applyFont="1" applyBorder="1" applyAlignment="1">
      <alignment horizontal="center" vertical="center"/>
    </xf>
    <xf numFmtId="168" fontId="26" fillId="0" borderId="3" xfId="4" applyNumberFormat="1" applyFont="1" applyBorder="1" applyAlignment="1">
      <alignment horizontal="center" vertical="center"/>
    </xf>
    <xf numFmtId="169" fontId="26" fillId="0" borderId="3" xfId="1" applyNumberFormat="1" applyFont="1" applyFill="1" applyBorder="1" applyAlignment="1">
      <alignment vertical="center"/>
    </xf>
    <xf numFmtId="173" fontId="26" fillId="0" borderId="3" xfId="1" applyNumberFormat="1" applyFont="1" applyFill="1" applyBorder="1" applyAlignment="1">
      <alignment vertical="center"/>
    </xf>
    <xf numFmtId="173" fontId="26" fillId="0" borderId="3" xfId="1" applyNumberFormat="1" applyFont="1" applyFill="1" applyBorder="1" applyAlignment="1">
      <alignment horizontal="center" vertical="center"/>
    </xf>
    <xf numFmtId="172" fontId="26" fillId="0" borderId="3" xfId="4" applyFont="1" applyBorder="1" applyAlignment="1">
      <alignment horizontal="center" vertical="center"/>
    </xf>
    <xf numFmtId="171" fontId="26" fillId="0" borderId="3" xfId="4" applyNumberFormat="1" applyFont="1" applyBorder="1" applyAlignment="1">
      <alignment horizontal="center" vertical="center"/>
    </xf>
    <xf numFmtId="170" fontId="12" fillId="0" borderId="3" xfId="4" applyNumberFormat="1" applyFont="1" applyBorder="1" applyAlignment="1">
      <alignment horizontal="center" vertical="center"/>
    </xf>
    <xf numFmtId="168" fontId="26" fillId="0" borderId="3" xfId="4" quotePrefix="1" applyNumberFormat="1" applyFont="1" applyBorder="1" applyAlignment="1">
      <alignment horizontal="center" vertical="center"/>
    </xf>
    <xf numFmtId="172" fontId="12" fillId="0" borderId="0" xfId="4" applyFont="1" applyAlignment="1">
      <alignment horizontal="center" vertical="center"/>
    </xf>
    <xf numFmtId="170" fontId="12" fillId="0" borderId="0" xfId="4" applyNumberFormat="1" applyFont="1" applyAlignment="1">
      <alignment horizontal="center" vertical="center"/>
    </xf>
    <xf numFmtId="172" fontId="25" fillId="4" borderId="0" xfId="5" applyFont="1" applyFill="1" applyAlignment="1">
      <alignment horizontal="center" vertical="center" wrapText="1"/>
    </xf>
    <xf numFmtId="172" fontId="26" fillId="4" borderId="3" xfId="5" applyFont="1" applyFill="1" applyBorder="1" applyAlignment="1">
      <alignment horizontal="center" vertical="center" wrapText="1"/>
    </xf>
    <xf numFmtId="172" fontId="26" fillId="4" borderId="10" xfId="5" applyFont="1" applyFill="1" applyBorder="1" applyAlignment="1">
      <alignment horizontal="center" vertical="center" wrapText="1"/>
    </xf>
    <xf numFmtId="170" fontId="26" fillId="4" borderId="3" xfId="5" applyNumberFormat="1" applyFont="1" applyFill="1" applyBorder="1" applyAlignment="1">
      <alignment horizontal="center" vertical="center" wrapText="1"/>
    </xf>
    <xf numFmtId="0" fontId="22" fillId="0" borderId="0" xfId="0" applyFont="1"/>
    <xf numFmtId="0" fontId="24" fillId="0" borderId="0" xfId="0" applyFont="1"/>
    <xf numFmtId="4" fontId="12" fillId="0" borderId="0" xfId="0" applyNumberFormat="1" applyFont="1"/>
    <xf numFmtId="174" fontId="24" fillId="0" borderId="0" xfId="0" applyNumberFormat="1" applyFont="1"/>
    <xf numFmtId="0" fontId="27" fillId="0" borderId="0" xfId="0" applyFont="1" applyAlignment="1">
      <alignment horizontal="center"/>
    </xf>
    <xf numFmtId="175" fontId="12" fillId="0" borderId="0" xfId="0" applyNumberFormat="1" applyFont="1"/>
    <xf numFmtId="0" fontId="28" fillId="0" borderId="0" xfId="0" applyFont="1" applyAlignment="1">
      <alignment vertical="center"/>
    </xf>
    <xf numFmtId="4" fontId="25" fillId="4" borderId="0" xfId="5" applyNumberFormat="1" applyFont="1" applyFill="1" applyAlignment="1">
      <alignment horizontal="center" vertical="center" wrapText="1"/>
    </xf>
    <xf numFmtId="174" fontId="25" fillId="4" borderId="0" xfId="5" applyNumberFormat="1" applyFont="1" applyFill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0" fontId="28" fillId="0" borderId="3" xfId="0" applyFont="1" applyBorder="1" applyAlignment="1">
      <alignment horizontal="center" vertical="center"/>
    </xf>
    <xf numFmtId="172" fontId="25" fillId="0" borderId="3" xfId="0" applyNumberFormat="1" applyFont="1" applyBorder="1" applyAlignment="1">
      <alignment horizontal="center" vertical="center" wrapText="1"/>
    </xf>
    <xf numFmtId="173" fontId="28" fillId="0" borderId="3" xfId="0" applyNumberFormat="1" applyFont="1" applyBorder="1" applyAlignment="1">
      <alignment horizontal="center" vertical="center"/>
    </xf>
    <xf numFmtId="174" fontId="28" fillId="0" borderId="3" xfId="0" applyNumberFormat="1" applyFont="1" applyBorder="1" applyAlignment="1">
      <alignment horizontal="center" vertical="center"/>
    </xf>
    <xf numFmtId="4" fontId="28" fillId="0" borderId="3" xfId="0" applyNumberFormat="1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69" fontId="13" fillId="0" borderId="0" xfId="1" applyNumberFormat="1" applyFont="1" applyFill="1" applyBorder="1" applyAlignment="1">
      <alignment vertical="center"/>
    </xf>
    <xf numFmtId="0" fontId="0" fillId="0" borderId="0" xfId="0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167" fontId="14" fillId="0" borderId="0" xfId="0" applyNumberFormat="1" applyFont="1" applyFill="1" applyBorder="1"/>
    <xf numFmtId="3" fontId="14" fillId="0" borderId="0" xfId="0" applyNumberFormat="1" applyFont="1" applyFill="1" applyBorder="1"/>
    <xf numFmtId="3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167" fontId="15" fillId="0" borderId="0" xfId="0" applyNumberFormat="1" applyFont="1" applyFill="1" applyBorder="1"/>
    <xf numFmtId="3" fontId="15" fillId="0" borderId="0" xfId="0" applyNumberFormat="1" applyFont="1" applyFill="1" applyBorder="1"/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168" fontId="13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/>
    <xf numFmtId="0" fontId="0" fillId="0" borderId="0" xfId="0" applyFill="1" applyBorder="1" applyAlignment="1">
      <alignment horizontal="right"/>
    </xf>
    <xf numFmtId="167" fontId="0" fillId="0" borderId="0" xfId="0" applyNumberFormat="1" applyFill="1" applyBorder="1"/>
    <xf numFmtId="3" fontId="0" fillId="0" borderId="0" xfId="0" applyNumberFormat="1" applyFill="1" applyBorder="1"/>
    <xf numFmtId="4" fontId="0" fillId="0" borderId="0" xfId="0" applyNumberFormat="1" applyFill="1" applyBorder="1"/>
    <xf numFmtId="4" fontId="12" fillId="0" borderId="0" xfId="4" applyNumberFormat="1" applyFont="1"/>
    <xf numFmtId="174" fontId="24" fillId="0" borderId="0" xfId="4" applyNumberFormat="1" applyFont="1"/>
    <xf numFmtId="172" fontId="27" fillId="0" borderId="0" xfId="4" applyFont="1" applyAlignment="1">
      <alignment horizontal="center"/>
    </xf>
    <xf numFmtId="175" fontId="12" fillId="0" borderId="0" xfId="4" applyNumberFormat="1" applyFont="1"/>
    <xf numFmtId="172" fontId="25" fillId="2" borderId="3" xfId="5" applyFont="1" applyBorder="1" applyAlignment="1">
      <alignment horizontal="center" vertical="center" wrapText="1"/>
    </xf>
    <xf numFmtId="4" fontId="25" fillId="2" borderId="3" xfId="5" applyNumberFormat="1" applyFont="1" applyBorder="1" applyAlignment="1">
      <alignment horizontal="center" vertical="center" wrapText="1"/>
    </xf>
    <xf numFmtId="174" fontId="25" fillId="2" borderId="3" xfId="5" applyNumberFormat="1" applyFont="1" applyBorder="1" applyAlignment="1">
      <alignment horizontal="center" vertical="center" wrapText="1"/>
    </xf>
    <xf numFmtId="172" fontId="28" fillId="0" borderId="0" xfId="4" applyFont="1" applyAlignment="1">
      <alignment vertical="center"/>
    </xf>
    <xf numFmtId="172" fontId="28" fillId="0" borderId="3" xfId="4" applyFont="1" applyBorder="1" applyAlignment="1">
      <alignment horizontal="center" vertical="center"/>
    </xf>
    <xf numFmtId="3" fontId="29" fillId="0" borderId="3" xfId="4" applyNumberFormat="1" applyFont="1" applyBorder="1" applyAlignment="1">
      <alignment horizontal="center" vertical="center"/>
    </xf>
    <xf numFmtId="172" fontId="25" fillId="0" borderId="3" xfId="4" applyFont="1" applyBorder="1" applyAlignment="1">
      <alignment horizontal="center" vertical="center" wrapText="1"/>
    </xf>
    <xf numFmtId="173" fontId="28" fillId="0" borderId="3" xfId="4" applyNumberFormat="1" applyFont="1" applyBorder="1" applyAlignment="1">
      <alignment horizontal="center" vertical="center"/>
    </xf>
    <xf numFmtId="174" fontId="28" fillId="0" borderId="3" xfId="4" applyNumberFormat="1" applyFont="1" applyBorder="1" applyAlignment="1">
      <alignment horizontal="center" vertical="center"/>
    </xf>
    <xf numFmtId="4" fontId="12" fillId="0" borderId="0" xfId="4" applyNumberFormat="1" applyFont="1" applyAlignment="1">
      <alignment horizontal="center" vertical="center"/>
    </xf>
    <xf numFmtId="174" fontId="12" fillId="0" borderId="0" xfId="4" applyNumberFormat="1" applyFont="1" applyAlignment="1">
      <alignment horizontal="center" vertical="center"/>
    </xf>
    <xf numFmtId="174" fontId="12" fillId="0" borderId="0" xfId="4" applyNumberFormat="1" applyFont="1"/>
    <xf numFmtId="3" fontId="12" fillId="0" borderId="3" xfId="4" applyNumberFormat="1" applyFont="1" applyBorder="1" applyAlignment="1">
      <alignment horizontal="center" vertical="center"/>
    </xf>
    <xf numFmtId="0" fontId="13" fillId="0" borderId="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173" fontId="28" fillId="0" borderId="11" xfId="0" applyNumberFormat="1" applyFont="1" applyBorder="1" applyAlignment="1">
      <alignment horizontal="center" vertical="center"/>
    </xf>
    <xf numFmtId="173" fontId="28" fillId="0" borderId="12" xfId="0" applyNumberFormat="1" applyFont="1" applyBorder="1" applyAlignment="1">
      <alignment horizontal="center" vertical="center"/>
    </xf>
    <xf numFmtId="173" fontId="28" fillId="0" borderId="13" xfId="0" applyNumberFormat="1" applyFont="1" applyBorder="1" applyAlignment="1">
      <alignment horizontal="center" vertical="center"/>
    </xf>
    <xf numFmtId="174" fontId="28" fillId="0" borderId="11" xfId="0" applyNumberFormat="1" applyFont="1" applyBorder="1" applyAlignment="1">
      <alignment horizontal="center" vertical="center"/>
    </xf>
    <xf numFmtId="174" fontId="28" fillId="0" borderId="12" xfId="0" applyNumberFormat="1" applyFont="1" applyBorder="1" applyAlignment="1">
      <alignment horizontal="center" vertical="center"/>
    </xf>
    <xf numFmtId="174" fontId="28" fillId="0" borderId="13" xfId="0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/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wrapText="1"/>
    </xf>
    <xf numFmtId="0" fontId="6" fillId="0" borderId="3" xfId="0" applyFont="1" applyFill="1" applyBorder="1" applyAlignment="1">
      <alignment horizontal="center"/>
    </xf>
    <xf numFmtId="3" fontId="9" fillId="0" borderId="0" xfId="0" applyNumberFormat="1" applyFont="1" applyFill="1"/>
    <xf numFmtId="0" fontId="0" fillId="0" borderId="4" xfId="0" applyFill="1" applyBorder="1"/>
    <xf numFmtId="3" fontId="9" fillId="0" borderId="7" xfId="0" applyNumberFormat="1" applyFont="1" applyFill="1" applyBorder="1"/>
    <xf numFmtId="0" fontId="2" fillId="0" borderId="0" xfId="0" applyFont="1" applyFill="1" applyAlignment="1">
      <alignment horizontal="left"/>
    </xf>
    <xf numFmtId="3" fontId="6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Fill="1" applyAlignment="1">
      <alignment horizontal="center"/>
    </xf>
    <xf numFmtId="3" fontId="0" fillId="0" borderId="0" xfId="0" applyNumberFormat="1" applyFill="1"/>
    <xf numFmtId="0" fontId="0" fillId="0" borderId="3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4" fontId="12" fillId="0" borderId="0" xfId="0" applyNumberFormat="1" applyFont="1" applyFill="1" applyAlignment="1">
      <alignment horizontal="center" vertical="center"/>
    </xf>
    <xf numFmtId="0" fontId="12" fillId="0" borderId="0" xfId="0" applyFont="1" applyFill="1"/>
    <xf numFmtId="0" fontId="17" fillId="0" borderId="0" xfId="0" applyFont="1" applyFill="1"/>
    <xf numFmtId="172" fontId="12" fillId="0" borderId="0" xfId="4" applyFont="1" applyFill="1"/>
    <xf numFmtId="172" fontId="12" fillId="0" borderId="0" xfId="4" applyFont="1" applyFill="1" applyAlignment="1">
      <alignment horizontal="center" vertical="center"/>
    </xf>
    <xf numFmtId="172" fontId="26" fillId="0" borderId="0" xfId="6" applyFont="1" applyFill="1"/>
    <xf numFmtId="169" fontId="26" fillId="0" borderId="0" xfId="1" applyNumberFormat="1" applyFont="1" applyFill="1"/>
  </cellXfs>
  <cellStyles count="7">
    <cellStyle name="40% - Accent3 2" xfId="5" xr:uid="{1F6450BF-A003-48C2-AA6A-70359F91D626}"/>
    <cellStyle name="Comma" xfId="1" builtinId="3"/>
    <cellStyle name="Comma 3 2 3" xfId="3" xr:uid="{99EDDEE8-6747-4161-812F-F2F43AB47B28}"/>
    <cellStyle name="Normal" xfId="0" builtinId="0"/>
    <cellStyle name="Normal 2" xfId="4" xr:uid="{3D251B05-BD01-41C8-86F1-7A3A984C0FF7}"/>
    <cellStyle name="Normal 3 2 12" xfId="2" xr:uid="{9DA032EB-BECC-442F-A5F4-71E959DF01D7}"/>
    <cellStyle name="Normal 61" xfId="6" xr:uid="{5EB107E3-EAF5-45D9-AE6D-684573B6CA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8ED7D-ECEC-4801-9FBB-FB0A63C42078}">
  <dimension ref="A1:BI40"/>
  <sheetViews>
    <sheetView workbookViewId="0">
      <pane xSplit="1" ySplit="3" topLeftCell="P19" activePane="bottomRight" state="frozen"/>
      <selection pane="topRight" activeCell="B1" sqref="B1"/>
      <selection pane="bottomLeft" activeCell="A4" sqref="A4"/>
      <selection pane="bottomRight" activeCell="A37" sqref="A37"/>
    </sheetView>
  </sheetViews>
  <sheetFormatPr defaultRowHeight="15" outlineLevelCol="2" x14ac:dyDescent="0.25"/>
  <cols>
    <col min="1" max="1" width="72.85546875" style="145" customWidth="1"/>
    <col min="2" max="9" width="11" style="145" customWidth="1" outlineLevel="1"/>
    <col min="10" max="10" width="12.7109375" style="156" customWidth="1" outlineLevel="1"/>
    <col min="11" max="11" width="12.7109375" style="156" customWidth="1" outlineLevel="2"/>
    <col min="12" max="12" width="14.28515625" style="144" customWidth="1" outlineLevel="2"/>
    <col min="13" max="13" width="12.5703125" style="144" customWidth="1" outlineLevel="2"/>
    <col min="14" max="14" width="14.28515625" style="144" customWidth="1" outlineLevel="2"/>
    <col min="15" max="15" width="12.5703125" style="144" customWidth="1" outlineLevel="2"/>
    <col min="16" max="16" width="14.28515625" style="144" customWidth="1" outlineLevel="2"/>
    <col min="17" max="17" width="12.5703125" style="144" customWidth="1" outlineLevel="2"/>
    <col min="18" max="18" width="14.28515625" style="144" customWidth="1" outlineLevel="2"/>
    <col min="19" max="20" width="12.5703125" style="144" customWidth="1" outlineLevel="2"/>
    <col min="21" max="21" width="12.5703125" style="144" bestFit="1" customWidth="1"/>
    <col min="22" max="22" width="12.5703125" style="144" customWidth="1"/>
    <col min="23" max="23" width="14.28515625" style="144" bestFit="1" customWidth="1"/>
    <col min="24" max="24" width="12.5703125" style="144" bestFit="1" customWidth="1"/>
    <col min="25" max="25" width="14.28515625" style="144" customWidth="1"/>
    <col min="26" max="26" width="12.5703125" style="144" customWidth="1"/>
    <col min="27" max="27" width="14.28515625" style="144" customWidth="1"/>
    <col min="28" max="28" width="12.5703125" style="144" customWidth="1"/>
    <col min="29" max="29" width="14.28515625" style="144" customWidth="1"/>
    <col min="30" max="31" width="12.5703125" style="144" customWidth="1"/>
    <col min="32" max="33" width="12.7109375" style="144" customWidth="1"/>
    <col min="34" max="34" width="14.28515625" style="145" bestFit="1" customWidth="1"/>
    <col min="35" max="35" width="12.5703125" style="145" bestFit="1" customWidth="1"/>
    <col min="36" max="36" width="14.28515625" style="145" customWidth="1"/>
    <col min="37" max="37" width="12.5703125" style="145" customWidth="1"/>
    <col min="38" max="38" width="14.28515625" style="145" customWidth="1"/>
    <col min="39" max="39" width="12.5703125" style="145" customWidth="1"/>
    <col min="40" max="40" width="14.28515625" style="145" customWidth="1"/>
    <col min="41" max="42" width="12.5703125" style="145" customWidth="1"/>
    <col min="43" max="43" width="12.5703125" style="145" bestFit="1" customWidth="1"/>
    <col min="44" max="44" width="12.5703125" style="145" customWidth="1"/>
    <col min="45" max="45" width="14.28515625" style="145" bestFit="1" customWidth="1"/>
    <col min="46" max="46" width="12.5703125" style="145" bestFit="1" customWidth="1"/>
    <col min="47" max="47" width="14.28515625" style="145" customWidth="1"/>
    <col min="48" max="48" width="12.5703125" style="145" customWidth="1"/>
    <col min="49" max="49" width="14.28515625" style="145" customWidth="1"/>
    <col min="50" max="50" width="12.5703125" style="145" customWidth="1"/>
    <col min="51" max="51" width="14.28515625" style="145" customWidth="1"/>
    <col min="52" max="53" width="12.5703125" style="145" customWidth="1"/>
    <col min="54" max="54" width="12.5703125" style="145" bestFit="1" customWidth="1"/>
    <col min="55" max="60" width="12.5703125" style="145" customWidth="1"/>
    <col min="61" max="61" width="15.7109375" style="145" customWidth="1"/>
    <col min="62" max="62" width="9.140625" style="145"/>
    <col min="63" max="63" width="19.5703125" style="145" bestFit="1" customWidth="1"/>
    <col min="64" max="64" width="11" style="145" customWidth="1"/>
    <col min="65" max="65" width="9.140625" style="145"/>
    <col min="66" max="66" width="9.85546875" style="145" customWidth="1"/>
    <col min="67" max="16384" width="9.140625" style="145"/>
  </cols>
  <sheetData>
    <row r="1" spans="1:33" x14ac:dyDescent="0.25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3"/>
      <c r="K1" s="143"/>
    </row>
    <row r="2" spans="1:33" ht="60" x14ac:dyDescent="0.25">
      <c r="A2" s="146"/>
      <c r="B2" s="133" t="s">
        <v>1</v>
      </c>
      <c r="C2" s="134"/>
      <c r="D2" s="135"/>
      <c r="E2" s="133" t="s">
        <v>2</v>
      </c>
      <c r="F2" s="134"/>
      <c r="G2" s="135"/>
      <c r="H2" s="133" t="s">
        <v>3</v>
      </c>
      <c r="I2" s="134"/>
      <c r="J2" s="135"/>
      <c r="K2" s="3" t="s">
        <v>4</v>
      </c>
      <c r="L2" s="3" t="s">
        <v>5</v>
      </c>
      <c r="M2" s="3" t="s">
        <v>6</v>
      </c>
      <c r="N2" s="3" t="s">
        <v>7</v>
      </c>
      <c r="O2" s="3" t="s">
        <v>6</v>
      </c>
      <c r="P2" s="3" t="s">
        <v>8</v>
      </c>
      <c r="Q2" s="3" t="s">
        <v>9</v>
      </c>
      <c r="R2" s="3" t="s">
        <v>10</v>
      </c>
      <c r="S2" s="3" t="s">
        <v>11</v>
      </c>
      <c r="T2" s="3" t="s">
        <v>12</v>
      </c>
      <c r="U2" s="147" t="s">
        <v>13</v>
      </c>
      <c r="V2" s="147" t="s">
        <v>14</v>
      </c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</row>
    <row r="3" spans="1:33" ht="15.75" x14ac:dyDescent="0.25">
      <c r="A3" s="49" t="s">
        <v>15</v>
      </c>
      <c r="B3" s="48" t="s">
        <v>16</v>
      </c>
      <c r="C3" s="49" t="s">
        <v>17</v>
      </c>
      <c r="D3" s="10" t="s">
        <v>18</v>
      </c>
      <c r="E3" s="48" t="s">
        <v>16</v>
      </c>
      <c r="F3" s="49" t="s">
        <v>17</v>
      </c>
      <c r="G3" s="10" t="s">
        <v>18</v>
      </c>
      <c r="H3" s="48" t="s">
        <v>16</v>
      </c>
      <c r="I3" s="49" t="s">
        <v>17</v>
      </c>
      <c r="J3" s="10" t="s">
        <v>18</v>
      </c>
      <c r="K3" s="4" t="s">
        <v>19</v>
      </c>
      <c r="L3" s="4" t="s">
        <v>19</v>
      </c>
      <c r="M3" s="4" t="s">
        <v>20</v>
      </c>
      <c r="N3" s="4" t="s">
        <v>20</v>
      </c>
      <c r="O3" s="4" t="s">
        <v>21</v>
      </c>
      <c r="P3" s="4" t="s">
        <v>21</v>
      </c>
      <c r="Q3" s="5" t="s">
        <v>22</v>
      </c>
      <c r="R3" s="5" t="s">
        <v>22</v>
      </c>
      <c r="S3" s="5" t="s">
        <v>23</v>
      </c>
      <c r="T3" s="5" t="s">
        <v>23</v>
      </c>
      <c r="U3" s="148" t="s">
        <v>24</v>
      </c>
      <c r="V3" s="148" t="s">
        <v>24</v>
      </c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</row>
    <row r="4" spans="1:33" ht="15.75" x14ac:dyDescent="0.25">
      <c r="A4" s="145" t="s">
        <v>25</v>
      </c>
      <c r="B4" s="11" t="s">
        <v>26</v>
      </c>
      <c r="C4" s="12" t="s">
        <v>26</v>
      </c>
      <c r="D4" s="13"/>
      <c r="E4" s="11" t="s">
        <v>26</v>
      </c>
      <c r="F4" s="12" t="s">
        <v>26</v>
      </c>
      <c r="G4" s="12" t="s">
        <v>26</v>
      </c>
      <c r="H4" s="11" t="s">
        <v>26</v>
      </c>
      <c r="I4" s="12" t="s">
        <v>26</v>
      </c>
      <c r="J4" s="14">
        <v>1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/>
      <c r="T4" s="6"/>
      <c r="U4" s="149">
        <f t="shared" ref="U4:V11" si="0">O4+M4+K4+Q4+S4</f>
        <v>0</v>
      </c>
      <c r="V4" s="149">
        <f t="shared" si="0"/>
        <v>0</v>
      </c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</row>
    <row r="5" spans="1:33" ht="15.75" x14ac:dyDescent="0.25">
      <c r="A5" s="145" t="s">
        <v>27</v>
      </c>
      <c r="B5" s="15">
        <f>91.6038543000631/100</f>
        <v>0.91603854300063103</v>
      </c>
      <c r="C5" s="16">
        <f>101.326409640445/100</f>
        <v>1.0132640964044499</v>
      </c>
      <c r="D5" s="14">
        <f>B5*C5</f>
        <v>0.92818896654518324</v>
      </c>
      <c r="E5" s="15">
        <f>94.9253337674353/100</f>
        <v>0.94925333767435305</v>
      </c>
      <c r="F5" s="16">
        <f>107.0191513109/100</f>
        <v>1.0701915131090001</v>
      </c>
      <c r="G5" s="14">
        <f t="shared" ref="G5:G11" si="1">E5*F5</f>
        <v>1.0158828657694845</v>
      </c>
      <c r="H5" s="11" t="s">
        <v>26</v>
      </c>
      <c r="I5" s="12" t="s">
        <v>26</v>
      </c>
      <c r="J5" s="17" t="s">
        <v>26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/>
      <c r="T5" s="6"/>
      <c r="U5" s="149">
        <f t="shared" si="0"/>
        <v>0</v>
      </c>
      <c r="V5" s="149">
        <f t="shared" si="0"/>
        <v>0</v>
      </c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</row>
    <row r="6" spans="1:33" ht="15.75" x14ac:dyDescent="0.25">
      <c r="A6" s="145" t="s">
        <v>28</v>
      </c>
      <c r="B6" s="15">
        <f>91.6355578179611/100</f>
        <v>0.916355578179611</v>
      </c>
      <c r="C6" s="16">
        <f>99.5902617195912/100</f>
        <v>0.995902617195912</v>
      </c>
      <c r="D6" s="14">
        <f t="shared" ref="D6:D11" si="2">B6*C6</f>
        <v>0.91260091859114778</v>
      </c>
      <c r="E6" s="15">
        <f>88.4077753593972/100</f>
        <v>0.88407775359397212</v>
      </c>
      <c r="F6" s="16">
        <f>101.628940905675/100</f>
        <v>1.01628940905675</v>
      </c>
      <c r="G6" s="14">
        <f t="shared" si="1"/>
        <v>0.89847885776023695</v>
      </c>
      <c r="H6" s="15">
        <f>95.4217090994883/100</f>
        <v>0.95421709099488294</v>
      </c>
      <c r="I6" s="16">
        <f>97.4620441443042/100</f>
        <v>0.97462044144304205</v>
      </c>
      <c r="J6" s="14">
        <f t="shared" ref="J6" si="3">H6*I6</f>
        <v>0.92999948245792829</v>
      </c>
      <c r="K6" s="6">
        <v>486329.66000000003</v>
      </c>
      <c r="L6" s="6">
        <v>452286.33210394031</v>
      </c>
      <c r="M6" s="6">
        <v>1176072.17</v>
      </c>
      <c r="N6" s="6">
        <v>1093746.5094331726</v>
      </c>
      <c r="O6" s="6">
        <v>7301461</v>
      </c>
      <c r="P6" s="6">
        <v>6790354.9511867473</v>
      </c>
      <c r="Q6" s="6">
        <v>2194103.71</v>
      </c>
      <c r="R6" s="6">
        <v>2040515.3147590205</v>
      </c>
      <c r="S6" s="6">
        <v>8648480</v>
      </c>
      <c r="T6" s="6">
        <v>8043081.9240477439</v>
      </c>
      <c r="U6" s="149">
        <f t="shared" si="0"/>
        <v>19806446.539999999</v>
      </c>
      <c r="V6" s="149">
        <f t="shared" si="0"/>
        <v>18419985.031530626</v>
      </c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</row>
    <row r="7" spans="1:33" ht="15.75" x14ac:dyDescent="0.25">
      <c r="A7" s="145" t="s">
        <v>29</v>
      </c>
      <c r="B7" s="15">
        <f>94.1287856782451/100</f>
        <v>0.94128785678245097</v>
      </c>
      <c r="C7" s="16">
        <f>100/100</f>
        <v>1</v>
      </c>
      <c r="D7" s="14">
        <f t="shared" si="2"/>
        <v>0.94128785678245097</v>
      </c>
      <c r="E7" s="15">
        <f>94.12878905157/100</f>
        <v>0.94128789051569994</v>
      </c>
      <c r="F7" s="16">
        <f>100/100</f>
        <v>1</v>
      </c>
      <c r="G7" s="14">
        <f t="shared" si="1"/>
        <v>0.94128789051569994</v>
      </c>
      <c r="H7" s="18" t="s">
        <v>26</v>
      </c>
      <c r="I7" s="19" t="s">
        <v>26</v>
      </c>
      <c r="J7" s="17" t="s">
        <v>26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/>
      <c r="T7" s="6"/>
      <c r="U7" s="149">
        <f t="shared" si="0"/>
        <v>0</v>
      </c>
      <c r="V7" s="149">
        <f t="shared" si="0"/>
        <v>0</v>
      </c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</row>
    <row r="8" spans="1:33" ht="15.75" x14ac:dyDescent="0.25">
      <c r="A8" s="145" t="s">
        <v>30</v>
      </c>
      <c r="B8" s="15">
        <f>71.5790475094142/100</f>
        <v>0.71579047509414195</v>
      </c>
      <c r="C8" s="16">
        <f>94.3521526442189/100</f>
        <v>0.94352152644218901</v>
      </c>
      <c r="D8" s="14">
        <f t="shared" si="2"/>
        <v>0.67536372167360448</v>
      </c>
      <c r="E8" s="15">
        <f>71.5790479667689/100</f>
        <v>0.71579047966768894</v>
      </c>
      <c r="F8" s="16">
        <f>94.3453044054252/100</f>
        <v>0.94345304405425201</v>
      </c>
      <c r="G8" s="14">
        <f t="shared" si="1"/>
        <v>0.67531470694753426</v>
      </c>
      <c r="H8" s="15">
        <f>71.5817694369973/100</f>
        <v>0.715817694369973</v>
      </c>
      <c r="I8" s="16">
        <f>95.3222222222222/100</f>
        <v>0.95322222222222197</v>
      </c>
      <c r="J8" s="14">
        <f t="shared" ref="J8:J9" si="4">H8*I8</f>
        <v>0.68233333333333301</v>
      </c>
      <c r="K8" s="6">
        <v>131000</v>
      </c>
      <c r="L8" s="6">
        <v>89385.666666666628</v>
      </c>
      <c r="M8" s="6">
        <v>236000</v>
      </c>
      <c r="N8" s="6">
        <v>161030.6666666666</v>
      </c>
      <c r="O8" s="6">
        <v>0</v>
      </c>
      <c r="P8" s="6">
        <v>0</v>
      </c>
      <c r="Q8" s="6">
        <v>761000</v>
      </c>
      <c r="R8" s="6">
        <v>519255.6666666664</v>
      </c>
      <c r="S8" s="6"/>
      <c r="T8" s="6"/>
      <c r="U8" s="149">
        <f t="shared" si="0"/>
        <v>1128000</v>
      </c>
      <c r="V8" s="149">
        <f t="shared" si="0"/>
        <v>769671.99999999965</v>
      </c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</row>
    <row r="9" spans="1:33" ht="15.75" x14ac:dyDescent="0.25">
      <c r="A9" s="145" t="s">
        <v>31</v>
      </c>
      <c r="B9" s="15">
        <f>56.6187218789087/100</f>
        <v>0.56618721878908707</v>
      </c>
      <c r="C9" s="16">
        <f>102.345168006917/100</f>
        <v>1.02345168006917</v>
      </c>
      <c r="D9" s="14">
        <f t="shared" si="2"/>
        <v>0.57946526030338186</v>
      </c>
      <c r="E9" s="15">
        <f>56.6446350333497/100</f>
        <v>0.566446350333497</v>
      </c>
      <c r="F9" s="16">
        <f>109.975522865141/100</f>
        <v>1.0997552286514101</v>
      </c>
      <c r="G9" s="14">
        <f t="shared" si="1"/>
        <v>0.62295233552977169</v>
      </c>
      <c r="H9" s="15">
        <f>56.6186546247275/100</f>
        <v>0.56618654624727494</v>
      </c>
      <c r="I9" s="16">
        <f>114.145552464829/100</f>
        <v>1.14145552464829</v>
      </c>
      <c r="J9" s="14">
        <f t="shared" si="4"/>
        <v>0.64627676119548649</v>
      </c>
      <c r="K9" s="6">
        <v>0</v>
      </c>
      <c r="L9" s="6">
        <v>0</v>
      </c>
      <c r="M9" s="6">
        <v>425359</v>
      </c>
      <c r="N9" s="6">
        <v>274899.63686535094</v>
      </c>
      <c r="O9" s="6">
        <v>0</v>
      </c>
      <c r="P9" s="6">
        <v>0</v>
      </c>
      <c r="Q9" s="6">
        <v>0</v>
      </c>
      <c r="R9" s="6">
        <v>0</v>
      </c>
      <c r="S9" s="6"/>
      <c r="T9" s="6"/>
      <c r="U9" s="149">
        <f t="shared" si="0"/>
        <v>425359</v>
      </c>
      <c r="V9" s="149">
        <f t="shared" si="0"/>
        <v>274899.63686535094</v>
      </c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</row>
    <row r="10" spans="1:33" ht="15.75" x14ac:dyDescent="0.25">
      <c r="A10" s="145" t="s">
        <v>32</v>
      </c>
      <c r="B10" s="15">
        <f>99.8647354051409/100</f>
        <v>0.99864735405140903</v>
      </c>
      <c r="C10" s="16">
        <f>86.6764870412701/100</f>
        <v>0.86676487041270089</v>
      </c>
      <c r="D10" s="14">
        <f t="shared" si="2"/>
        <v>0.86559244442235617</v>
      </c>
      <c r="E10" s="15">
        <f>94.2617885249844/100</f>
        <v>0.94261788524984391</v>
      </c>
      <c r="F10" s="16">
        <f>86.6764925586958/100</f>
        <v>0.86676492558695795</v>
      </c>
      <c r="G10" s="14">
        <f t="shared" si="1"/>
        <v>0.8170281211655166</v>
      </c>
      <c r="H10" s="18" t="s">
        <v>26</v>
      </c>
      <c r="I10" s="19" t="s">
        <v>26</v>
      </c>
      <c r="J10" s="17" t="s">
        <v>26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/>
      <c r="T10" s="6"/>
      <c r="U10" s="149">
        <f t="shared" si="0"/>
        <v>0</v>
      </c>
      <c r="V10" s="149">
        <f t="shared" si="0"/>
        <v>0</v>
      </c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</row>
    <row r="11" spans="1:33" ht="15.75" x14ac:dyDescent="0.25">
      <c r="A11" s="150" t="s">
        <v>33</v>
      </c>
      <c r="B11" s="20">
        <f>78.5411718681552/100</f>
        <v>0.78541171868155202</v>
      </c>
      <c r="C11" s="21">
        <f>109.643694772933/100</f>
        <v>1.0964369477293301</v>
      </c>
      <c r="D11" s="14">
        <f t="shared" si="2"/>
        <v>0.86115442754204818</v>
      </c>
      <c r="E11" s="20">
        <f>78.1322237553607/100</f>
        <v>0.78132223755360697</v>
      </c>
      <c r="F11" s="21">
        <f>107.311695184877/100</f>
        <v>1.07311695184877</v>
      </c>
      <c r="G11" s="14">
        <f t="shared" si="1"/>
        <v>0.8384501379751873</v>
      </c>
      <c r="H11" s="20">
        <f>78.1484258483332/100</f>
        <v>0.78148425848333203</v>
      </c>
      <c r="I11" s="21">
        <f>108.188577275788/100</f>
        <v>1.0818857727578801</v>
      </c>
      <c r="J11" s="22">
        <f t="shared" ref="J11" si="5">H11*I11</f>
        <v>0.8454767008873586</v>
      </c>
      <c r="K11" s="7">
        <v>0</v>
      </c>
      <c r="L11" s="7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/>
      <c r="T11" s="6"/>
      <c r="U11" s="149">
        <f t="shared" si="0"/>
        <v>0</v>
      </c>
      <c r="V11" s="149">
        <f t="shared" si="0"/>
        <v>0</v>
      </c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</row>
    <row r="12" spans="1:33" x14ac:dyDescent="0.25">
      <c r="A12" s="23" t="s">
        <v>24</v>
      </c>
      <c r="B12" s="23"/>
      <c r="C12" s="23"/>
      <c r="D12" s="23"/>
      <c r="E12" s="23"/>
      <c r="F12" s="23"/>
      <c r="G12" s="23"/>
      <c r="H12" s="23"/>
      <c r="I12" s="23"/>
      <c r="J12" s="24"/>
      <c r="K12" s="8">
        <f t="shared" ref="K12:R12" si="6">SUM(K4:K11)</f>
        <v>617329.66</v>
      </c>
      <c r="L12" s="8">
        <f t="shared" si="6"/>
        <v>541671.99877060694</v>
      </c>
      <c r="M12" s="8">
        <f t="shared" si="6"/>
        <v>1837431.17</v>
      </c>
      <c r="N12" s="8">
        <f t="shared" si="6"/>
        <v>1529676.81296519</v>
      </c>
      <c r="O12" s="8">
        <f t="shared" si="6"/>
        <v>7301461</v>
      </c>
      <c r="P12" s="8">
        <f t="shared" si="6"/>
        <v>6790354.9511867473</v>
      </c>
      <c r="Q12" s="8">
        <f t="shared" si="6"/>
        <v>2955103.71</v>
      </c>
      <c r="R12" s="8">
        <f t="shared" si="6"/>
        <v>2559770.9814256867</v>
      </c>
      <c r="S12" s="8"/>
      <c r="T12" s="8"/>
      <c r="U12" s="151">
        <f>SUM(U4:U11)</f>
        <v>21359805.539999999</v>
      </c>
      <c r="V12" s="151">
        <f>SUM(V4:V11)</f>
        <v>19464556.668395977</v>
      </c>
      <c r="W12" s="145"/>
      <c r="X12" s="145"/>
      <c r="Y12" s="145"/>
      <c r="Z12" s="145"/>
      <c r="AA12" s="145"/>
      <c r="AB12" s="145"/>
      <c r="AC12" s="145"/>
      <c r="AD12" s="145"/>
      <c r="AE12" s="145"/>
      <c r="AF12" s="145"/>
      <c r="AG12" s="145"/>
    </row>
    <row r="13" spans="1:33" ht="60" x14ac:dyDescent="0.25">
      <c r="A13" s="152"/>
      <c r="B13" s="133" t="s">
        <v>1</v>
      </c>
      <c r="C13" s="134"/>
      <c r="D13" s="135"/>
      <c r="E13" s="133" t="s">
        <v>2</v>
      </c>
      <c r="F13" s="134"/>
      <c r="G13" s="135"/>
      <c r="H13" s="133" t="s">
        <v>3</v>
      </c>
      <c r="I13" s="134"/>
      <c r="J13" s="135"/>
      <c r="K13" s="3" t="s">
        <v>4</v>
      </c>
      <c r="L13" s="3" t="s">
        <v>5</v>
      </c>
      <c r="M13" s="3" t="s">
        <v>6</v>
      </c>
      <c r="N13" s="3" t="s">
        <v>7</v>
      </c>
      <c r="O13" s="3" t="s">
        <v>6</v>
      </c>
      <c r="P13" s="3" t="s">
        <v>8</v>
      </c>
      <c r="Q13" s="3" t="s">
        <v>9</v>
      </c>
      <c r="R13" s="3" t="s">
        <v>10</v>
      </c>
      <c r="S13" s="3" t="s">
        <v>11</v>
      </c>
      <c r="T13" s="3" t="s">
        <v>12</v>
      </c>
      <c r="U13" s="147" t="s">
        <v>13</v>
      </c>
      <c r="V13" s="147" t="s">
        <v>14</v>
      </c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</row>
    <row r="14" spans="1:33" ht="15.75" x14ac:dyDescent="0.25">
      <c r="A14" s="49" t="s">
        <v>34</v>
      </c>
      <c r="B14" s="48" t="s">
        <v>16</v>
      </c>
      <c r="C14" s="49" t="s">
        <v>17</v>
      </c>
      <c r="D14" s="10" t="s">
        <v>18</v>
      </c>
      <c r="E14" s="48" t="s">
        <v>16</v>
      </c>
      <c r="F14" s="49" t="s">
        <v>17</v>
      </c>
      <c r="G14" s="10" t="s">
        <v>18</v>
      </c>
      <c r="H14" s="48" t="s">
        <v>16</v>
      </c>
      <c r="I14" s="49" t="s">
        <v>17</v>
      </c>
      <c r="J14" s="10" t="s">
        <v>18</v>
      </c>
      <c r="K14" s="4" t="s">
        <v>19</v>
      </c>
      <c r="L14" s="4" t="s">
        <v>19</v>
      </c>
      <c r="M14" s="4" t="s">
        <v>20</v>
      </c>
      <c r="N14" s="4" t="s">
        <v>20</v>
      </c>
      <c r="O14" s="9" t="s">
        <v>21</v>
      </c>
      <c r="P14" s="9" t="s">
        <v>21</v>
      </c>
      <c r="Q14" s="4" t="s">
        <v>22</v>
      </c>
      <c r="R14" s="4" t="s">
        <v>22</v>
      </c>
      <c r="S14" s="5" t="s">
        <v>23</v>
      </c>
      <c r="T14" s="5" t="s">
        <v>23</v>
      </c>
      <c r="U14" s="153" t="s">
        <v>24</v>
      </c>
      <c r="V14" s="153" t="s">
        <v>24</v>
      </c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</row>
    <row r="15" spans="1:33" ht="15.75" x14ac:dyDescent="0.25">
      <c r="A15" s="145" t="s">
        <v>25</v>
      </c>
      <c r="B15" s="11" t="s">
        <v>26</v>
      </c>
      <c r="C15" s="12" t="s">
        <v>26</v>
      </c>
      <c r="D15" s="13"/>
      <c r="E15" s="11" t="s">
        <v>26</v>
      </c>
      <c r="F15" s="12" t="s">
        <v>26</v>
      </c>
      <c r="G15" s="12" t="s">
        <v>26</v>
      </c>
      <c r="H15" s="11" t="s">
        <v>26</v>
      </c>
      <c r="I15" s="12" t="s">
        <v>26</v>
      </c>
      <c r="J15" s="14">
        <v>1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/>
      <c r="T15" s="6"/>
      <c r="U15" s="149">
        <f t="shared" ref="U15:V22" si="7">O15+M15+K15+Q15+S15</f>
        <v>0</v>
      </c>
      <c r="V15" s="149">
        <f t="shared" si="7"/>
        <v>0</v>
      </c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</row>
    <row r="16" spans="1:33" ht="15.75" x14ac:dyDescent="0.25">
      <c r="A16" s="145" t="s">
        <v>27</v>
      </c>
      <c r="B16" s="15">
        <f>92.3076923076923/100</f>
        <v>0.92307692307692302</v>
      </c>
      <c r="C16" s="16">
        <f>106.122448979592/100</f>
        <v>1.06122448979592</v>
      </c>
      <c r="D16" s="14">
        <f>B16*C16</f>
        <v>0.9795918367346953</v>
      </c>
      <c r="E16" s="15">
        <f>93.9587775408671/100</f>
        <v>0.939587775408671</v>
      </c>
      <c r="F16" s="16">
        <f>-205.251641137856/100</f>
        <v>-2.0525164113785603</v>
      </c>
      <c r="G16" s="14">
        <f>E16*F16</f>
        <v>-1.9285193289569702</v>
      </c>
      <c r="H16" s="11" t="s">
        <v>26</v>
      </c>
      <c r="I16" s="12" t="s">
        <v>26</v>
      </c>
      <c r="J16" s="17" t="s">
        <v>26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/>
      <c r="T16" s="6"/>
      <c r="U16" s="149">
        <f t="shared" si="7"/>
        <v>0</v>
      </c>
      <c r="V16" s="149">
        <f t="shared" si="7"/>
        <v>0</v>
      </c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</row>
    <row r="17" spans="1:61" ht="15.75" x14ac:dyDescent="0.25">
      <c r="A17" s="145" t="s">
        <v>28</v>
      </c>
      <c r="B17" s="15">
        <f>94.2756680731364/100</f>
        <v>0.94275668073136398</v>
      </c>
      <c r="C17" s="16">
        <f>109.767393989296/100</f>
        <v>1.09767393989296</v>
      </c>
      <c r="D17" s="14">
        <f t="shared" ref="D17:D22" si="8">B17*C17</f>
        <v>1.0348394400988057</v>
      </c>
      <c r="E17" s="15">
        <f>94.8206914937626/100</f>
        <v>0.94820691493762599</v>
      </c>
      <c r="F17" s="16">
        <f>107.746785792112/100</f>
        <v>1.0774678579211199</v>
      </c>
      <c r="G17" s="14">
        <f t="shared" ref="G17:G22" si="9">E17*F17</f>
        <v>1.0216624735038373</v>
      </c>
      <c r="H17" s="15">
        <f>101.237113402062/100</f>
        <v>1.0123711340206198</v>
      </c>
      <c r="I17" s="16">
        <f>104.04004290311/100</f>
        <v>1.0404004290311</v>
      </c>
      <c r="J17" s="14">
        <f t="shared" ref="J17" si="10">H17*I17</f>
        <v>1.0532713621737542</v>
      </c>
      <c r="K17" s="6">
        <v>51.66</v>
      </c>
      <c r="L17" s="6">
        <v>54.411998569896134</v>
      </c>
      <c r="M17" s="6">
        <v>204.5</v>
      </c>
      <c r="N17" s="6">
        <v>215.39399356453271</v>
      </c>
      <c r="O17" s="6">
        <v>823.16</v>
      </c>
      <c r="P17" s="6">
        <v>867.01085448694744</v>
      </c>
      <c r="Q17" s="6">
        <v>318.39999999999998</v>
      </c>
      <c r="R17" s="6">
        <v>335.36160171612329</v>
      </c>
      <c r="S17" s="6">
        <v>16849.95</v>
      </c>
      <c r="T17" s="6">
        <v>17747.569789059649</v>
      </c>
      <c r="U17" s="149">
        <f t="shared" si="7"/>
        <v>18247.670000000002</v>
      </c>
      <c r="V17" s="149">
        <f t="shared" si="7"/>
        <v>19219.748237397151</v>
      </c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</row>
    <row r="18" spans="1:61" ht="15.75" x14ac:dyDescent="0.25">
      <c r="A18" s="145" t="s">
        <v>29</v>
      </c>
      <c r="B18" s="15">
        <f>94.0766550522648/100</f>
        <v>0.94076655052264802</v>
      </c>
      <c r="C18" s="16">
        <f>100/100</f>
        <v>1</v>
      </c>
      <c r="D18" s="14">
        <f t="shared" si="8"/>
        <v>0.94076655052264802</v>
      </c>
      <c r="E18" s="15">
        <f>94.1449814126394/100</f>
        <v>0.94144981412639395</v>
      </c>
      <c r="F18" s="16">
        <f>100/100</f>
        <v>1</v>
      </c>
      <c r="G18" s="14">
        <f t="shared" si="9"/>
        <v>0.94144981412639395</v>
      </c>
      <c r="H18" s="18" t="s">
        <v>26</v>
      </c>
      <c r="I18" s="19" t="s">
        <v>26</v>
      </c>
      <c r="J18" s="17" t="s">
        <v>26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/>
      <c r="T18" s="6"/>
      <c r="U18" s="149">
        <f t="shared" si="7"/>
        <v>0</v>
      </c>
      <c r="V18" s="149">
        <f t="shared" si="7"/>
        <v>0</v>
      </c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</row>
    <row r="19" spans="1:61" ht="15.75" x14ac:dyDescent="0.25">
      <c r="A19" s="145" t="s">
        <v>30</v>
      </c>
      <c r="B19" s="15">
        <f>71.5393133997785/100</f>
        <v>0.71539313399778492</v>
      </c>
      <c r="C19" s="16">
        <f>113.299874529486/100</f>
        <v>1.13299874529486</v>
      </c>
      <c r="D19" s="14">
        <f t="shared" si="8"/>
        <v>0.81053952321204792</v>
      </c>
      <c r="E19" s="15">
        <f>71.575772807238/100</f>
        <v>0.71575772807237992</v>
      </c>
      <c r="F19" s="16">
        <f>111.08319374651/100</f>
        <v>1.1108319374651001</v>
      </c>
      <c r="G19" s="14">
        <f t="shared" si="9"/>
        <v>0.79508654383026012</v>
      </c>
      <c r="H19" s="18" t="s">
        <v>26</v>
      </c>
      <c r="I19" s="19" t="s">
        <v>26</v>
      </c>
      <c r="J19" s="17" t="s">
        <v>26</v>
      </c>
      <c r="K19" s="6">
        <v>17</v>
      </c>
      <c r="L19" s="6">
        <v>13.516471245114422</v>
      </c>
      <c r="M19" s="6">
        <v>52</v>
      </c>
      <c r="N19" s="6">
        <v>41.344500279173523</v>
      </c>
      <c r="O19" s="6">
        <v>0</v>
      </c>
      <c r="P19" s="6">
        <v>0</v>
      </c>
      <c r="Q19" s="6">
        <v>103.72</v>
      </c>
      <c r="R19" s="6">
        <v>82.466376326074581</v>
      </c>
      <c r="S19" s="6"/>
      <c r="T19" s="6"/>
      <c r="U19" s="149">
        <f t="shared" si="7"/>
        <v>172.72</v>
      </c>
      <c r="V19" s="149">
        <f t="shared" si="7"/>
        <v>137.32734785036251</v>
      </c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</row>
    <row r="20" spans="1:61" ht="15.75" x14ac:dyDescent="0.25">
      <c r="A20" s="145" t="s">
        <v>31</v>
      </c>
      <c r="B20" s="15">
        <f>56.6091409065048/100</f>
        <v>0.56609140906504796</v>
      </c>
      <c r="C20" s="16">
        <f>101.697203471553/100</f>
        <v>1.01697203471553</v>
      </c>
      <c r="D20" s="14">
        <f t="shared" si="8"/>
        <v>0.57569913211186319</v>
      </c>
      <c r="E20" s="15">
        <f>56.6193344807803/100</f>
        <v>0.56619334480780303</v>
      </c>
      <c r="F20" s="16">
        <f>106.14295501256/100</f>
        <v>1.0614295501255999</v>
      </c>
      <c r="G20" s="14">
        <f t="shared" si="9"/>
        <v>0.600974347263455</v>
      </c>
      <c r="H20" s="15">
        <f>55.1724137931034/100</f>
        <v>0.55172413793103403</v>
      </c>
      <c r="I20" s="16">
        <f>116/100</f>
        <v>1.1599999999999999</v>
      </c>
      <c r="J20" s="14">
        <f>H20*I20</f>
        <v>0.63999999999999946</v>
      </c>
      <c r="K20" s="6">
        <v>0</v>
      </c>
      <c r="L20" s="6">
        <v>0</v>
      </c>
      <c r="M20" s="6">
        <v>129</v>
      </c>
      <c r="N20" s="6">
        <v>82.559999999999931</v>
      </c>
      <c r="O20" s="6">
        <v>0</v>
      </c>
      <c r="P20" s="6">
        <v>0</v>
      </c>
      <c r="Q20" s="6">
        <v>0</v>
      </c>
      <c r="R20" s="6">
        <v>0</v>
      </c>
      <c r="S20" s="6"/>
      <c r="T20" s="6"/>
      <c r="U20" s="149">
        <f t="shared" si="7"/>
        <v>129</v>
      </c>
      <c r="V20" s="149">
        <f t="shared" si="7"/>
        <v>82.559999999999931</v>
      </c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</row>
    <row r="21" spans="1:61" ht="15.75" x14ac:dyDescent="0.25">
      <c r="A21" s="145" t="s">
        <v>32</v>
      </c>
      <c r="B21" s="15">
        <f>97.1231300345224/100</f>
        <v>0.97123130034522409</v>
      </c>
      <c r="C21" s="16">
        <f>67.3382409918636/100</f>
        <v>0.67338240991863596</v>
      </c>
      <c r="D21" s="14">
        <f t="shared" si="8"/>
        <v>0.65401007361487751</v>
      </c>
      <c r="E21" s="15">
        <f>93.5914203505101/100</f>
        <v>0.93591420350510102</v>
      </c>
      <c r="F21" s="16">
        <f>67.3260933372468/100</f>
        <v>0.67326093337246806</v>
      </c>
      <c r="G21" s="14">
        <f t="shared" si="9"/>
        <v>0.63011447020839428</v>
      </c>
      <c r="H21" s="18" t="s">
        <v>26</v>
      </c>
      <c r="I21" s="19" t="s">
        <v>26</v>
      </c>
      <c r="J21" s="17" t="s">
        <v>26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/>
      <c r="T21" s="6"/>
      <c r="U21" s="149">
        <f t="shared" si="7"/>
        <v>0</v>
      </c>
      <c r="V21" s="149">
        <f t="shared" si="7"/>
        <v>0</v>
      </c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145"/>
    </row>
    <row r="22" spans="1:61" ht="15.75" x14ac:dyDescent="0.25">
      <c r="A22" s="145" t="s">
        <v>33</v>
      </c>
      <c r="B22" s="20">
        <f>82.4209575429088/100</f>
        <v>0.8242095754290879</v>
      </c>
      <c r="C22" s="21">
        <f>77.2613065326633/100</f>
        <v>0.77261306532663299</v>
      </c>
      <c r="D22" s="14">
        <f t="shared" si="8"/>
        <v>0.63679508654383032</v>
      </c>
      <c r="E22" s="20">
        <f>81.1138833678691/100</f>
        <v>0.81113883367869088</v>
      </c>
      <c r="F22" s="21">
        <f>71.8600905582399/100</f>
        <v>0.71860090558239909</v>
      </c>
      <c r="G22" s="14">
        <f t="shared" si="9"/>
        <v>0.58288510043455821</v>
      </c>
      <c r="H22" s="20">
        <f>81.0650887573965/100</f>
        <v>0.81065088757396497</v>
      </c>
      <c r="I22" s="21">
        <f>76.8181818181818/100</f>
        <v>0.76818181818181797</v>
      </c>
      <c r="J22" s="22">
        <f t="shared" ref="J22" si="11">H22*I22</f>
        <v>0.62272727272727291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/>
      <c r="T22" s="6"/>
      <c r="U22" s="149">
        <f t="shared" si="7"/>
        <v>0</v>
      </c>
      <c r="V22" s="149">
        <f t="shared" si="7"/>
        <v>0</v>
      </c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145"/>
    </row>
    <row r="23" spans="1:61" x14ac:dyDescent="0.25">
      <c r="A23" s="23" t="s">
        <v>24</v>
      </c>
      <c r="B23" s="23"/>
      <c r="C23" s="23"/>
      <c r="D23" s="23"/>
      <c r="E23" s="23"/>
      <c r="F23" s="23"/>
      <c r="G23" s="23"/>
      <c r="H23" s="23"/>
      <c r="I23" s="23"/>
      <c r="J23" s="24"/>
      <c r="K23" s="8">
        <f t="shared" ref="K23:R23" si="12">SUM(K15:K22)</f>
        <v>68.66</v>
      </c>
      <c r="L23" s="8">
        <f t="shared" si="12"/>
        <v>67.928469815010558</v>
      </c>
      <c r="M23" s="8">
        <f t="shared" si="12"/>
        <v>385.5</v>
      </c>
      <c r="N23" s="8">
        <f t="shared" si="12"/>
        <v>339.29849384370618</v>
      </c>
      <c r="O23" s="8">
        <f t="shared" si="12"/>
        <v>823.16</v>
      </c>
      <c r="P23" s="8">
        <f t="shared" si="12"/>
        <v>867.01085448694744</v>
      </c>
      <c r="Q23" s="8">
        <f t="shared" si="12"/>
        <v>422.12</v>
      </c>
      <c r="R23" s="8">
        <f t="shared" si="12"/>
        <v>417.82797804219786</v>
      </c>
      <c r="S23" s="8"/>
      <c r="T23" s="8"/>
      <c r="U23" s="151">
        <f>SUM(U15:U22)</f>
        <v>18549.390000000003</v>
      </c>
      <c r="V23" s="151">
        <f>SUM(V15:V22)</f>
        <v>19439.635585247514</v>
      </c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</row>
    <row r="25" spans="1:61" x14ac:dyDescent="0.25">
      <c r="A25" s="154" t="s">
        <v>35</v>
      </c>
      <c r="B25" s="154" t="s">
        <v>36</v>
      </c>
      <c r="C25" s="154" t="s">
        <v>37</v>
      </c>
      <c r="D25" s="155"/>
      <c r="G25" s="143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BI25" s="158"/>
    </row>
    <row r="26" spans="1:61" x14ac:dyDescent="0.25">
      <c r="A26" s="159" t="s">
        <v>38</v>
      </c>
      <c r="B26" s="160" t="s">
        <v>19</v>
      </c>
      <c r="C26" s="160" t="s">
        <v>39</v>
      </c>
      <c r="D26" s="161"/>
      <c r="G26" s="156"/>
      <c r="K26" s="145"/>
      <c r="L26" s="145"/>
      <c r="M26" s="145"/>
      <c r="N26" s="145"/>
      <c r="O26" s="145"/>
      <c r="P26" s="145"/>
      <c r="Q26" s="145"/>
      <c r="R26" s="145"/>
      <c r="S26" s="145"/>
      <c r="T26" s="145"/>
      <c r="U26" s="145"/>
      <c r="V26" s="145"/>
      <c r="W26" s="145"/>
      <c r="X26" s="145"/>
      <c r="Y26" s="145"/>
      <c r="Z26" s="145"/>
      <c r="AA26" s="162"/>
      <c r="AB26" s="162"/>
      <c r="AC26" s="162"/>
      <c r="AD26" s="162"/>
      <c r="AE26" s="163"/>
      <c r="AF26" s="163"/>
      <c r="AG26" s="145"/>
    </row>
    <row r="27" spans="1:61" x14ac:dyDescent="0.25">
      <c r="A27" s="159" t="s">
        <v>40</v>
      </c>
      <c r="B27" s="160" t="s">
        <v>20</v>
      </c>
      <c r="C27" s="160" t="s">
        <v>41</v>
      </c>
      <c r="D27" s="161"/>
      <c r="G27" s="156"/>
      <c r="K27" s="145"/>
      <c r="L27" s="145"/>
      <c r="M27" s="145"/>
      <c r="N27" s="93"/>
      <c r="O27" s="132"/>
      <c r="P27" s="132"/>
      <c r="Q27" s="132"/>
      <c r="R27" s="132"/>
      <c r="S27" s="132"/>
      <c r="T27" s="132"/>
      <c r="U27" s="132"/>
      <c r="V27" s="132"/>
      <c r="W27" s="93"/>
      <c r="X27" s="164"/>
      <c r="Y27" s="145"/>
      <c r="Z27" s="145"/>
      <c r="AA27" s="145"/>
      <c r="AB27" s="145"/>
      <c r="AC27" s="145"/>
      <c r="AD27" s="145"/>
      <c r="AE27" s="145"/>
      <c r="AF27" s="145"/>
      <c r="AG27" s="145"/>
    </row>
    <row r="28" spans="1:61" x14ac:dyDescent="0.25">
      <c r="A28" s="159" t="s">
        <v>42</v>
      </c>
      <c r="B28" s="160" t="s">
        <v>21</v>
      </c>
      <c r="C28" s="160" t="s">
        <v>41</v>
      </c>
      <c r="D28" s="161"/>
      <c r="G28" s="156"/>
      <c r="K28" s="145"/>
      <c r="L28" s="145"/>
      <c r="M28" s="145"/>
      <c r="N28" s="93"/>
      <c r="O28" s="94"/>
      <c r="P28" s="95"/>
      <c r="Q28" s="94"/>
      <c r="R28" s="96"/>
      <c r="S28" s="94"/>
      <c r="T28" s="94"/>
      <c r="U28" s="97"/>
      <c r="V28" s="98"/>
      <c r="W28" s="93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</row>
    <row r="29" spans="1:61" x14ac:dyDescent="0.25">
      <c r="A29" s="159" t="s">
        <v>43</v>
      </c>
      <c r="B29" s="160" t="s">
        <v>22</v>
      </c>
      <c r="C29" s="160" t="s">
        <v>41</v>
      </c>
      <c r="D29" s="161"/>
      <c r="G29" s="156"/>
      <c r="K29" s="145"/>
      <c r="L29" s="145"/>
      <c r="M29" s="145"/>
      <c r="N29" s="93"/>
      <c r="O29" s="94"/>
      <c r="P29" s="95"/>
      <c r="Q29" s="94"/>
      <c r="R29" s="96"/>
      <c r="S29" s="94"/>
      <c r="T29" s="94"/>
      <c r="U29" s="97"/>
      <c r="V29" s="98"/>
      <c r="W29" s="93"/>
      <c r="X29" s="145"/>
      <c r="Y29" s="145"/>
      <c r="Z29" s="145"/>
      <c r="AA29" s="145"/>
      <c r="AB29" s="145"/>
      <c r="AC29" s="145"/>
      <c r="AD29" s="145"/>
      <c r="AE29" s="145"/>
      <c r="AF29" s="145"/>
      <c r="AG29" s="145"/>
    </row>
    <row r="30" spans="1:61" x14ac:dyDescent="0.25">
      <c r="A30" s="159" t="s">
        <v>44</v>
      </c>
      <c r="B30" s="160" t="s">
        <v>45</v>
      </c>
      <c r="C30" s="160" t="s">
        <v>39</v>
      </c>
      <c r="D30" s="161"/>
      <c r="G30" s="156"/>
      <c r="K30" s="145"/>
      <c r="L30" s="145"/>
      <c r="M30" s="145"/>
      <c r="N30" s="93"/>
      <c r="O30" s="99"/>
      <c r="P30" s="100"/>
      <c r="Q30" s="101"/>
      <c r="R30" s="96"/>
      <c r="S30" s="101"/>
      <c r="T30" s="101"/>
      <c r="U30" s="102"/>
      <c r="V30" s="103"/>
      <c r="W30" s="93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</row>
    <row r="31" spans="1:61" x14ac:dyDescent="0.25">
      <c r="A31" s="159" t="s">
        <v>46</v>
      </c>
      <c r="B31" s="160" t="s">
        <v>47</v>
      </c>
      <c r="C31" s="160" t="s">
        <v>41</v>
      </c>
      <c r="D31" s="161"/>
      <c r="G31" s="156"/>
      <c r="K31" s="145"/>
      <c r="L31" s="145"/>
      <c r="M31" s="145"/>
      <c r="N31" s="93"/>
      <c r="O31" s="99"/>
      <c r="P31" s="100"/>
      <c r="Q31" s="101"/>
      <c r="R31" s="104"/>
      <c r="S31" s="101"/>
      <c r="T31" s="101"/>
      <c r="U31" s="102"/>
      <c r="V31" s="103"/>
      <c r="W31" s="93"/>
      <c r="X31" s="145"/>
      <c r="Y31" s="145"/>
      <c r="Z31" s="145"/>
      <c r="AA31" s="145"/>
      <c r="AB31" s="145"/>
      <c r="AC31" s="145"/>
      <c r="AD31" s="145"/>
      <c r="AE31" s="145"/>
      <c r="AF31" s="145"/>
      <c r="AG31" s="145"/>
    </row>
    <row r="32" spans="1:61" x14ac:dyDescent="0.25">
      <c r="A32" s="159" t="s">
        <v>49</v>
      </c>
      <c r="B32" s="160" t="s">
        <v>23</v>
      </c>
      <c r="C32" s="160" t="s">
        <v>41</v>
      </c>
      <c r="D32" s="161"/>
      <c r="G32" s="156"/>
      <c r="K32" s="145"/>
      <c r="L32" s="145"/>
      <c r="M32" s="145"/>
      <c r="N32" s="93"/>
      <c r="O32" s="99"/>
      <c r="P32" s="100"/>
      <c r="Q32" s="101"/>
      <c r="R32" s="96"/>
      <c r="S32" s="101"/>
      <c r="T32" s="101"/>
      <c r="U32" s="102"/>
      <c r="V32" s="103"/>
      <c r="W32" s="93"/>
      <c r="X32" s="145"/>
      <c r="Y32" s="145"/>
      <c r="Z32" s="145"/>
      <c r="AA32" s="145"/>
      <c r="AB32" s="145"/>
      <c r="AC32" s="145"/>
      <c r="AD32" s="145"/>
      <c r="AE32" s="145"/>
      <c r="AF32" s="145"/>
      <c r="AG32" s="145"/>
    </row>
    <row r="33" spans="1:33" x14ac:dyDescent="0.25">
      <c r="A33" s="159" t="s">
        <v>50</v>
      </c>
      <c r="B33" s="160" t="s">
        <v>51</v>
      </c>
      <c r="C33" s="160" t="s">
        <v>39</v>
      </c>
      <c r="D33" s="161"/>
      <c r="G33" s="156"/>
      <c r="K33" s="145"/>
      <c r="L33" s="145"/>
      <c r="M33" s="145"/>
      <c r="N33" s="93"/>
      <c r="O33" s="105"/>
      <c r="P33" s="96"/>
      <c r="Q33" s="96"/>
      <c r="R33" s="96"/>
      <c r="S33" s="96"/>
      <c r="T33" s="96"/>
      <c r="U33" s="96"/>
      <c r="V33" s="96"/>
      <c r="W33" s="93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</row>
    <row r="34" spans="1:33" x14ac:dyDescent="0.25">
      <c r="K34" s="145"/>
      <c r="L34" s="145"/>
      <c r="M34" s="145"/>
      <c r="N34" s="93"/>
      <c r="O34" s="94"/>
      <c r="P34" s="95"/>
      <c r="Q34" s="94"/>
      <c r="R34" s="106"/>
      <c r="S34" s="94"/>
      <c r="T34" s="94"/>
      <c r="U34" s="97"/>
      <c r="V34" s="98"/>
      <c r="W34" s="93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</row>
    <row r="35" spans="1:33" x14ac:dyDescent="0.25">
      <c r="A35" s="152" t="s">
        <v>53</v>
      </c>
      <c r="B35" s="152"/>
      <c r="C35" s="152"/>
      <c r="D35" s="152"/>
      <c r="E35" s="152"/>
      <c r="F35" s="152"/>
      <c r="G35" s="152"/>
      <c r="H35" s="152"/>
      <c r="I35" s="152"/>
      <c r="J35" s="143"/>
      <c r="K35" s="145"/>
      <c r="L35" s="145"/>
      <c r="M35" s="145"/>
      <c r="N35" s="93"/>
      <c r="O35" s="107"/>
      <c r="P35" s="108"/>
      <c r="Q35" s="107"/>
      <c r="R35" s="107"/>
      <c r="S35" s="107"/>
      <c r="T35" s="107"/>
      <c r="U35" s="109"/>
      <c r="V35" s="92"/>
      <c r="W35" s="93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</row>
    <row r="36" spans="1:33" x14ac:dyDescent="0.25">
      <c r="A36" s="165" t="s">
        <v>54</v>
      </c>
      <c r="B36" s="165"/>
      <c r="C36" s="165"/>
      <c r="D36" s="165"/>
      <c r="E36" s="165"/>
      <c r="F36" s="165"/>
      <c r="G36" s="165"/>
      <c r="H36" s="165"/>
      <c r="I36" s="165"/>
      <c r="K36" s="145"/>
      <c r="L36" s="145"/>
      <c r="M36" s="145"/>
      <c r="N36" s="93"/>
      <c r="O36" s="110"/>
      <c r="P36" s="110"/>
      <c r="Q36" s="110"/>
      <c r="R36" s="110"/>
      <c r="S36" s="110"/>
      <c r="T36" s="111"/>
      <c r="U36" s="93"/>
      <c r="V36" s="93"/>
      <c r="W36" s="93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</row>
    <row r="37" spans="1:33" x14ac:dyDescent="0.25">
      <c r="A37" s="165" t="s">
        <v>55</v>
      </c>
      <c r="K37" s="145"/>
      <c r="L37" s="145"/>
      <c r="M37" s="145"/>
      <c r="N37" s="93"/>
      <c r="O37" s="93"/>
      <c r="P37" s="93"/>
      <c r="Q37" s="93"/>
      <c r="R37" s="93"/>
      <c r="S37" s="93"/>
      <c r="T37" s="111"/>
      <c r="U37" s="112"/>
      <c r="V37" s="113"/>
      <c r="W37" s="93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</row>
    <row r="38" spans="1:33" x14ac:dyDescent="0.25">
      <c r="K38" s="145"/>
      <c r="L38" s="145"/>
      <c r="M38" s="145"/>
      <c r="N38" s="93"/>
      <c r="O38" s="93"/>
      <c r="P38" s="93"/>
      <c r="Q38" s="93"/>
      <c r="R38" s="93"/>
      <c r="S38" s="93"/>
      <c r="T38" s="93"/>
      <c r="U38" s="114"/>
      <c r="V38" s="113"/>
      <c r="W38" s="93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</row>
    <row r="39" spans="1:33" x14ac:dyDescent="0.25">
      <c r="K39" s="145"/>
      <c r="L39" s="145"/>
      <c r="M39" s="145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</row>
    <row r="40" spans="1:33" x14ac:dyDescent="0.25">
      <c r="K40" s="145"/>
      <c r="L40" s="145"/>
      <c r="M40" s="145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</row>
  </sheetData>
  <mergeCells count="7">
    <mergeCell ref="O27:V27"/>
    <mergeCell ref="B2:D2"/>
    <mergeCell ref="E2:G2"/>
    <mergeCell ref="H2:J2"/>
    <mergeCell ref="B13:D13"/>
    <mergeCell ref="E13:G13"/>
    <mergeCell ref="H13:J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BE4D-0097-4A7C-AC87-88E95AE57390}">
  <sheetPr>
    <pageSetUpPr fitToPage="1"/>
  </sheetPr>
  <dimension ref="A1:J154"/>
  <sheetViews>
    <sheetView zoomScale="85" zoomScaleNormal="85" workbookViewId="0">
      <pane xSplit="1" ySplit="1" topLeftCell="B8" activePane="bottomRight" state="frozen"/>
      <selection activeCell="T2" sqref="T2"/>
      <selection pane="topRight" activeCell="T2" sqref="T2"/>
      <selection pane="bottomLeft" activeCell="T2" sqref="T2"/>
      <selection pane="bottomRight" activeCell="D6" sqref="D6"/>
    </sheetView>
  </sheetViews>
  <sheetFormatPr defaultColWidth="9.140625" defaultRowHeight="15" x14ac:dyDescent="0.25"/>
  <cols>
    <col min="1" max="1" width="14.28515625" style="29" customWidth="1"/>
    <col min="2" max="2" width="18" style="27" customWidth="1"/>
    <col min="3" max="3" width="19.28515625" style="27" customWidth="1"/>
    <col min="4" max="4" width="13.85546875" style="28" customWidth="1"/>
    <col min="5" max="5" width="15.7109375" style="28" customWidth="1"/>
    <col min="6" max="6" width="19.5703125" style="29" customWidth="1"/>
    <col min="7" max="7" width="16" style="29" customWidth="1"/>
    <col min="8" max="8" width="17.140625" style="29" customWidth="1"/>
    <col min="9" max="9" width="20.140625" style="29" customWidth="1"/>
    <col min="10" max="10" width="14.7109375" style="30" customWidth="1"/>
    <col min="11" max="17" width="20.7109375" style="29" customWidth="1"/>
    <col min="18" max="16384" width="9.140625" style="29"/>
  </cols>
  <sheetData>
    <row r="1" spans="1:10" ht="18.75" x14ac:dyDescent="0.3">
      <c r="A1" s="25" t="s">
        <v>76</v>
      </c>
      <c r="B1" s="26"/>
    </row>
    <row r="2" spans="1:10" ht="45" x14ac:dyDescent="0.25">
      <c r="A2" s="31"/>
      <c r="B2" s="31"/>
      <c r="C2" s="31" t="s">
        <v>56</v>
      </c>
      <c r="D2" s="32" t="s">
        <v>57</v>
      </c>
      <c r="E2" s="32" t="s">
        <v>58</v>
      </c>
      <c r="F2" s="31" t="s">
        <v>59</v>
      </c>
      <c r="G2" s="31" t="s">
        <v>60</v>
      </c>
      <c r="H2" s="31" t="s">
        <v>61</v>
      </c>
      <c r="I2" s="31" t="s">
        <v>62</v>
      </c>
      <c r="J2" s="33" t="s">
        <v>63</v>
      </c>
    </row>
    <row r="3" spans="1:10" x14ac:dyDescent="0.25">
      <c r="A3" s="31"/>
      <c r="B3" s="31"/>
      <c r="C3" s="31"/>
      <c r="D3" s="32" t="s">
        <v>64</v>
      </c>
      <c r="E3" s="32" t="s">
        <v>65</v>
      </c>
      <c r="F3" s="31" t="s">
        <v>66</v>
      </c>
      <c r="G3" s="31" t="s">
        <v>66</v>
      </c>
      <c r="H3" s="31"/>
      <c r="I3" s="31"/>
      <c r="J3" s="33"/>
    </row>
    <row r="4" spans="1:10" ht="60" x14ac:dyDescent="0.25">
      <c r="A4" s="31" t="s">
        <v>67</v>
      </c>
      <c r="B4" s="31" t="s">
        <v>68</v>
      </c>
      <c r="C4" s="31" t="s">
        <v>69</v>
      </c>
      <c r="D4" s="31" t="s">
        <v>70</v>
      </c>
      <c r="E4" s="31" t="s">
        <v>71</v>
      </c>
      <c r="F4" s="31" t="s">
        <v>72</v>
      </c>
      <c r="G4" s="31" t="s">
        <v>73</v>
      </c>
      <c r="H4" s="31" t="s">
        <v>61</v>
      </c>
      <c r="I4" s="31" t="s">
        <v>62</v>
      </c>
      <c r="J4" s="33" t="s">
        <v>63</v>
      </c>
    </row>
    <row r="5" spans="1:10" x14ac:dyDescent="0.25">
      <c r="A5" s="31"/>
      <c r="B5" s="31"/>
      <c r="C5" s="31"/>
      <c r="D5" s="32"/>
      <c r="E5" s="32"/>
      <c r="F5" s="31"/>
      <c r="G5" s="31"/>
      <c r="H5" s="31"/>
      <c r="I5" s="31"/>
      <c r="J5" s="33"/>
    </row>
    <row r="6" spans="1:10" x14ac:dyDescent="0.25">
      <c r="A6" s="34">
        <v>1</v>
      </c>
      <c r="B6" s="35" t="s">
        <v>75</v>
      </c>
      <c r="C6" s="36" t="s">
        <v>74</v>
      </c>
      <c r="D6" s="37">
        <v>0</v>
      </c>
      <c r="E6" s="37">
        <v>12129.6</v>
      </c>
      <c r="F6" s="38">
        <v>1090</v>
      </c>
      <c r="G6" s="38">
        <v>141.70000000000002</v>
      </c>
      <c r="H6" s="38">
        <v>1231.7</v>
      </c>
      <c r="I6" s="39">
        <v>3361.37</v>
      </c>
      <c r="J6" s="40">
        <v>43858</v>
      </c>
    </row>
    <row r="7" spans="1:10" x14ac:dyDescent="0.25">
      <c r="A7" s="34">
        <v>2</v>
      </c>
      <c r="B7" s="36" t="s">
        <v>19</v>
      </c>
      <c r="C7" s="41" t="s">
        <v>74</v>
      </c>
      <c r="D7" s="37">
        <v>0.7</v>
      </c>
      <c r="E7" s="37">
        <v>2291</v>
      </c>
      <c r="F7" s="38">
        <v>280</v>
      </c>
      <c r="G7" s="38">
        <v>36.4</v>
      </c>
      <c r="H7" s="38">
        <v>316.39999999999998</v>
      </c>
      <c r="I7" s="39">
        <v>3770</v>
      </c>
      <c r="J7" s="42">
        <v>43887</v>
      </c>
    </row>
    <row r="8" spans="1:10" x14ac:dyDescent="0.25">
      <c r="A8" s="34">
        <v>3</v>
      </c>
      <c r="B8" s="35" t="s">
        <v>52</v>
      </c>
      <c r="C8" s="41" t="s">
        <v>74</v>
      </c>
      <c r="D8" s="37">
        <v>107.32</v>
      </c>
      <c r="E8" s="37">
        <v>772168.71</v>
      </c>
      <c r="F8" s="38">
        <v>87956</v>
      </c>
      <c r="G8" s="38">
        <v>11434.28</v>
      </c>
      <c r="H8" s="38">
        <v>99390.28</v>
      </c>
      <c r="I8" s="39">
        <v>120302.83</v>
      </c>
      <c r="J8" s="42">
        <v>43887</v>
      </c>
    </row>
    <row r="9" spans="1:10" x14ac:dyDescent="0.25">
      <c r="A9" s="34">
        <v>4</v>
      </c>
      <c r="B9" s="43" t="s">
        <v>52</v>
      </c>
      <c r="C9" s="41" t="s">
        <v>77</v>
      </c>
      <c r="D9" s="37">
        <v>192.78</v>
      </c>
      <c r="E9" s="37">
        <v>1261627</v>
      </c>
      <c r="F9" s="38">
        <v>154224</v>
      </c>
      <c r="G9" s="38">
        <v>20049.12</v>
      </c>
      <c r="H9" s="38">
        <v>174273.12</v>
      </c>
      <c r="I9" s="39">
        <v>2061500</v>
      </c>
      <c r="J9" s="42">
        <v>43886</v>
      </c>
    </row>
    <row r="10" spans="1:10" x14ac:dyDescent="0.25">
      <c r="A10" s="34">
        <v>5</v>
      </c>
      <c r="B10" s="43" t="s">
        <v>52</v>
      </c>
      <c r="C10" s="41" t="s">
        <v>74</v>
      </c>
      <c r="D10" s="37">
        <v>18.3</v>
      </c>
      <c r="E10" s="37">
        <v>160308</v>
      </c>
      <c r="F10" s="38">
        <v>8015.4</v>
      </c>
      <c r="G10" s="38">
        <v>1042.002</v>
      </c>
      <c r="H10" s="38">
        <v>9057.402</v>
      </c>
      <c r="I10" s="39">
        <v>72468</v>
      </c>
      <c r="J10" s="42">
        <v>43887</v>
      </c>
    </row>
    <row r="11" spans="1:10" x14ac:dyDescent="0.25">
      <c r="A11" s="34">
        <v>7</v>
      </c>
      <c r="B11" s="36" t="s">
        <v>48</v>
      </c>
      <c r="C11" s="41" t="s">
        <v>74</v>
      </c>
      <c r="D11" s="37">
        <v>1.73</v>
      </c>
      <c r="E11" s="37">
        <v>6923</v>
      </c>
      <c r="F11" s="38">
        <v>681.75</v>
      </c>
      <c r="G11" s="38">
        <v>88.627499999999998</v>
      </c>
      <c r="H11" s="38">
        <v>770.37750000000005</v>
      </c>
      <c r="I11" s="39">
        <v>681.75</v>
      </c>
      <c r="J11" s="42">
        <v>43913</v>
      </c>
    </row>
    <row r="12" spans="1:10" x14ac:dyDescent="0.25">
      <c r="A12" s="34">
        <v>8</v>
      </c>
      <c r="B12" s="35" t="s">
        <v>19</v>
      </c>
      <c r="C12" s="41" t="s">
        <v>74</v>
      </c>
      <c r="D12" s="37">
        <v>0</v>
      </c>
      <c r="E12" s="37">
        <v>27438</v>
      </c>
      <c r="F12" s="38">
        <v>2350</v>
      </c>
      <c r="G12" s="38">
        <v>305.5</v>
      </c>
      <c r="H12" s="38">
        <v>2655.5</v>
      </c>
      <c r="I12" s="39">
        <v>23396.83</v>
      </c>
      <c r="J12" s="42">
        <v>43913</v>
      </c>
    </row>
    <row r="13" spans="1:10" x14ac:dyDescent="0.25">
      <c r="A13" s="34">
        <v>9</v>
      </c>
      <c r="B13" s="35" t="s">
        <v>48</v>
      </c>
      <c r="C13" s="41" t="s">
        <v>74</v>
      </c>
      <c r="D13" s="37">
        <v>2.58</v>
      </c>
      <c r="E13" s="37">
        <v>10280.14</v>
      </c>
      <c r="F13" s="38">
        <v>2940</v>
      </c>
      <c r="G13" s="38">
        <v>382.2</v>
      </c>
      <c r="H13" s="38">
        <v>3322.2</v>
      </c>
      <c r="I13" s="39">
        <v>6807.44</v>
      </c>
      <c r="J13" s="42">
        <v>43913</v>
      </c>
    </row>
    <row r="14" spans="1:10" x14ac:dyDescent="0.25">
      <c r="A14" s="34">
        <v>10</v>
      </c>
      <c r="B14" s="43" t="s">
        <v>75</v>
      </c>
      <c r="C14" s="41" t="s">
        <v>74</v>
      </c>
      <c r="D14" s="37">
        <v>51.56</v>
      </c>
      <c r="E14" s="37">
        <v>325982.68</v>
      </c>
      <c r="F14" s="38">
        <v>25577.01</v>
      </c>
      <c r="G14" s="38">
        <v>3325.0113000000001</v>
      </c>
      <c r="H14" s="38">
        <v>28902.0213</v>
      </c>
      <c r="I14" s="39">
        <v>79012.160000000003</v>
      </c>
      <c r="J14" s="42">
        <v>43913</v>
      </c>
    </row>
    <row r="15" spans="1:10" x14ac:dyDescent="0.25">
      <c r="A15" s="34">
        <v>11</v>
      </c>
      <c r="B15" s="43" t="s">
        <v>75</v>
      </c>
      <c r="C15" s="41" t="s">
        <v>78</v>
      </c>
      <c r="D15" s="37">
        <v>0</v>
      </c>
      <c r="E15" s="37">
        <v>99835</v>
      </c>
      <c r="F15" s="38">
        <v>9983.5</v>
      </c>
      <c r="G15" s="38">
        <v>1297.855</v>
      </c>
      <c r="H15" s="38">
        <v>11281.355</v>
      </c>
      <c r="I15" s="39">
        <v>34995</v>
      </c>
      <c r="J15" s="42">
        <v>43914</v>
      </c>
    </row>
    <row r="16" spans="1:10" x14ac:dyDescent="0.25">
      <c r="A16" s="34">
        <v>12</v>
      </c>
      <c r="B16" s="43" t="s">
        <v>75</v>
      </c>
      <c r="C16" s="41" t="s">
        <v>74</v>
      </c>
      <c r="D16" s="37">
        <v>4.93</v>
      </c>
      <c r="E16" s="37">
        <v>22168</v>
      </c>
      <c r="F16" s="38">
        <v>2244</v>
      </c>
      <c r="G16" s="38">
        <v>291.72000000000003</v>
      </c>
      <c r="H16" s="38">
        <v>2535.7200000000003</v>
      </c>
      <c r="I16" s="39">
        <v>6499.21</v>
      </c>
      <c r="J16" s="42">
        <v>43914</v>
      </c>
    </row>
    <row r="17" spans="1:10" x14ac:dyDescent="0.25">
      <c r="A17" s="34">
        <v>13</v>
      </c>
      <c r="B17" s="35" t="s">
        <v>19</v>
      </c>
      <c r="C17" s="41" t="s">
        <v>74</v>
      </c>
      <c r="D17" s="37">
        <v>0.97</v>
      </c>
      <c r="E17" s="37">
        <v>26909.4</v>
      </c>
      <c r="F17" s="38">
        <v>2375</v>
      </c>
      <c r="G17" s="38"/>
      <c r="H17" s="38">
        <v>2375</v>
      </c>
      <c r="I17" s="39">
        <v>14638.24</v>
      </c>
      <c r="J17" s="42">
        <v>43916</v>
      </c>
    </row>
    <row r="18" spans="1:10" x14ac:dyDescent="0.25">
      <c r="A18" s="34">
        <v>14</v>
      </c>
      <c r="B18" s="36" t="s">
        <v>75</v>
      </c>
      <c r="C18" s="41" t="s">
        <v>79</v>
      </c>
      <c r="D18" s="37">
        <v>90.7</v>
      </c>
      <c r="E18" s="37">
        <v>799661</v>
      </c>
      <c r="F18" s="38">
        <v>79966.100000000006</v>
      </c>
      <c r="G18" s="38">
        <v>10395.593000000001</v>
      </c>
      <c r="H18" s="38">
        <v>90361.692999999999</v>
      </c>
      <c r="I18" s="39">
        <v>2983185.2</v>
      </c>
      <c r="J18" s="42">
        <v>43916</v>
      </c>
    </row>
    <row r="19" spans="1:10" x14ac:dyDescent="0.25">
      <c r="A19" s="34">
        <v>15</v>
      </c>
      <c r="B19" s="36" t="s">
        <v>75</v>
      </c>
      <c r="C19" s="41" t="s">
        <v>74</v>
      </c>
      <c r="D19" s="37">
        <v>143.30000000000001</v>
      </c>
      <c r="E19" s="37">
        <v>1389499.1</v>
      </c>
      <c r="F19" s="38">
        <v>69985.05</v>
      </c>
      <c r="G19" s="38">
        <v>9098.0565000000006</v>
      </c>
      <c r="H19" s="38">
        <v>79083.106500000009</v>
      </c>
      <c r="I19" s="39">
        <v>228513</v>
      </c>
      <c r="J19" s="42">
        <v>43916</v>
      </c>
    </row>
    <row r="20" spans="1:10" x14ac:dyDescent="0.25">
      <c r="A20" s="34">
        <v>16</v>
      </c>
      <c r="B20" s="43" t="s">
        <v>75</v>
      </c>
      <c r="C20" s="41" t="s">
        <v>74</v>
      </c>
      <c r="D20" s="37">
        <v>0</v>
      </c>
      <c r="E20" s="37">
        <v>6039.6</v>
      </c>
      <c r="F20" s="38">
        <v>540</v>
      </c>
      <c r="G20" s="38">
        <v>70.2</v>
      </c>
      <c r="H20" s="38">
        <v>610.20000000000005</v>
      </c>
      <c r="I20" s="39">
        <v>1886.5</v>
      </c>
      <c r="J20" s="42">
        <v>43916</v>
      </c>
    </row>
    <row r="21" spans="1:10" x14ac:dyDescent="0.25">
      <c r="A21" s="34">
        <v>17</v>
      </c>
      <c r="B21" s="35" t="s">
        <v>19</v>
      </c>
      <c r="C21" s="41" t="s">
        <v>74</v>
      </c>
      <c r="D21" s="37">
        <v>4.26</v>
      </c>
      <c r="E21" s="37">
        <v>19476.66</v>
      </c>
      <c r="F21" s="38">
        <v>2560</v>
      </c>
      <c r="G21" s="38">
        <v>332.8</v>
      </c>
      <c r="H21" s="38">
        <v>2892.8</v>
      </c>
      <c r="I21" s="39">
        <v>17446.73</v>
      </c>
      <c r="J21" s="42">
        <v>43941</v>
      </c>
    </row>
    <row r="22" spans="1:10" x14ac:dyDescent="0.25">
      <c r="A22" s="34">
        <v>18</v>
      </c>
      <c r="B22" s="35" t="s">
        <v>19</v>
      </c>
      <c r="C22" s="41" t="s">
        <v>74</v>
      </c>
      <c r="D22" s="37">
        <v>0.6</v>
      </c>
      <c r="E22" s="37">
        <v>23916</v>
      </c>
      <c r="F22" s="38">
        <v>1459.8</v>
      </c>
      <c r="G22" s="38">
        <v>189.774</v>
      </c>
      <c r="H22" s="38">
        <v>1649.5740000000001</v>
      </c>
      <c r="I22" s="39">
        <v>5745.22</v>
      </c>
      <c r="J22" s="42">
        <v>43941</v>
      </c>
    </row>
    <row r="23" spans="1:10" x14ac:dyDescent="0.25">
      <c r="A23" s="34">
        <v>19</v>
      </c>
      <c r="B23" s="43" t="s">
        <v>19</v>
      </c>
      <c r="C23" s="41" t="s">
        <v>74</v>
      </c>
      <c r="D23" s="37">
        <v>0.8</v>
      </c>
      <c r="E23" s="37">
        <v>29146</v>
      </c>
      <c r="F23" s="38">
        <v>1769.45</v>
      </c>
      <c r="G23" s="38">
        <v>230.02850000000001</v>
      </c>
      <c r="H23" s="38">
        <v>1999.4785000000002</v>
      </c>
      <c r="I23" s="39">
        <v>6278.89</v>
      </c>
      <c r="J23" s="42">
        <v>43942</v>
      </c>
    </row>
    <row r="24" spans="1:10" x14ac:dyDescent="0.25">
      <c r="A24" s="34">
        <v>20</v>
      </c>
      <c r="B24" s="43" t="s">
        <v>75</v>
      </c>
      <c r="C24" s="41" t="s">
        <v>74</v>
      </c>
      <c r="D24" s="37">
        <v>42.6</v>
      </c>
      <c r="E24" s="37">
        <v>267432.40000000002</v>
      </c>
      <c r="F24" s="38">
        <v>23767</v>
      </c>
      <c r="G24" s="38">
        <v>3089.71</v>
      </c>
      <c r="H24" s="38">
        <v>26856.71</v>
      </c>
      <c r="I24" s="39">
        <v>139287.82</v>
      </c>
      <c r="J24" s="42">
        <v>43942</v>
      </c>
    </row>
    <row r="25" spans="1:10" x14ac:dyDescent="0.25">
      <c r="A25" s="34">
        <v>21</v>
      </c>
      <c r="B25" s="36" t="s">
        <v>75</v>
      </c>
      <c r="C25" s="41" t="s">
        <v>80</v>
      </c>
      <c r="D25" s="37">
        <v>0</v>
      </c>
      <c r="E25" s="37">
        <v>518280</v>
      </c>
      <c r="F25" s="38">
        <v>40775.51</v>
      </c>
      <c r="G25" s="38">
        <v>5300.8163000000004</v>
      </c>
      <c r="H25" s="38">
        <v>46076.326300000001</v>
      </c>
      <c r="I25" s="39">
        <v>81551.009999999995</v>
      </c>
      <c r="J25" s="42">
        <v>43942</v>
      </c>
    </row>
    <row r="26" spans="1:10" x14ac:dyDescent="0.25">
      <c r="A26" s="34">
        <v>22</v>
      </c>
      <c r="B26" s="43" t="s">
        <v>48</v>
      </c>
      <c r="C26" s="41" t="s">
        <v>74</v>
      </c>
      <c r="D26" s="37">
        <v>24.7</v>
      </c>
      <c r="E26" s="37">
        <v>180018</v>
      </c>
      <c r="F26" s="38">
        <v>9880</v>
      </c>
      <c r="G26" s="38">
        <v>1284.4000000000001</v>
      </c>
      <c r="H26" s="38">
        <v>11164.4</v>
      </c>
      <c r="I26" s="39">
        <v>26837.919999999998</v>
      </c>
      <c r="J26" s="42">
        <v>43937</v>
      </c>
    </row>
    <row r="27" spans="1:10" x14ac:dyDescent="0.25">
      <c r="A27" s="34">
        <v>23</v>
      </c>
      <c r="B27" s="36" t="s">
        <v>48</v>
      </c>
      <c r="C27" s="41" t="s">
        <v>74</v>
      </c>
      <c r="D27" s="37">
        <v>24.3</v>
      </c>
      <c r="E27" s="37">
        <v>147231</v>
      </c>
      <c r="F27" s="38">
        <v>9720</v>
      </c>
      <c r="G27" s="38">
        <v>1263.6000000000001</v>
      </c>
      <c r="H27" s="38">
        <v>10983.6</v>
      </c>
      <c r="I27" s="39">
        <v>25701.58</v>
      </c>
      <c r="J27" s="42">
        <v>43937</v>
      </c>
    </row>
    <row r="28" spans="1:10" x14ac:dyDescent="0.25">
      <c r="A28" s="34">
        <v>24</v>
      </c>
      <c r="B28" s="35" t="s">
        <v>48</v>
      </c>
      <c r="C28" s="41" t="s">
        <v>74</v>
      </c>
      <c r="D28" s="37">
        <v>23.7</v>
      </c>
      <c r="E28" s="37">
        <v>155382</v>
      </c>
      <c r="F28" s="38">
        <v>9480</v>
      </c>
      <c r="G28" s="38">
        <v>1232.4000000000001</v>
      </c>
      <c r="H28" s="38">
        <v>10712.4</v>
      </c>
      <c r="I28" s="39">
        <v>29289.22</v>
      </c>
      <c r="J28" s="42">
        <v>43937</v>
      </c>
    </row>
    <row r="29" spans="1:10" x14ac:dyDescent="0.25">
      <c r="A29" s="34">
        <v>25</v>
      </c>
      <c r="B29" s="43" t="s">
        <v>48</v>
      </c>
      <c r="C29" s="41" t="s">
        <v>74</v>
      </c>
      <c r="D29" s="37">
        <v>20.8</v>
      </c>
      <c r="E29" s="37">
        <v>114769</v>
      </c>
      <c r="F29" s="38">
        <v>8320</v>
      </c>
      <c r="G29" s="38">
        <v>1081.6000000000001</v>
      </c>
      <c r="H29" s="38">
        <v>9401.6</v>
      </c>
      <c r="I29" s="39">
        <v>19255.39</v>
      </c>
      <c r="J29" s="42">
        <v>43937</v>
      </c>
    </row>
    <row r="30" spans="1:10" x14ac:dyDescent="0.25">
      <c r="A30" s="34">
        <v>26</v>
      </c>
      <c r="B30" s="35" t="s">
        <v>48</v>
      </c>
      <c r="C30" s="41" t="s">
        <v>74</v>
      </c>
      <c r="D30" s="37">
        <v>23.2</v>
      </c>
      <c r="E30" s="37">
        <v>104623</v>
      </c>
      <c r="F30" s="38">
        <v>9280</v>
      </c>
      <c r="G30" s="38">
        <v>1206.4000000000001</v>
      </c>
      <c r="H30" s="38">
        <v>10486.4</v>
      </c>
      <c r="I30" s="39">
        <v>28786.62</v>
      </c>
      <c r="J30" s="42">
        <v>43937</v>
      </c>
    </row>
    <row r="31" spans="1:10" x14ac:dyDescent="0.25">
      <c r="A31" s="34">
        <v>27</v>
      </c>
      <c r="B31" s="35" t="s">
        <v>48</v>
      </c>
      <c r="C31" s="41" t="s">
        <v>74</v>
      </c>
      <c r="D31" s="37">
        <v>18.100000000000001</v>
      </c>
      <c r="E31" s="37">
        <v>81731</v>
      </c>
      <c r="F31" s="38">
        <v>7240</v>
      </c>
      <c r="G31" s="38">
        <v>941.2</v>
      </c>
      <c r="H31" s="38">
        <v>8181.2</v>
      </c>
      <c r="I31" s="39">
        <v>21222.51</v>
      </c>
      <c r="J31" s="42">
        <v>43938</v>
      </c>
    </row>
    <row r="32" spans="1:10" x14ac:dyDescent="0.25">
      <c r="A32" s="34">
        <v>28</v>
      </c>
      <c r="B32" s="43" t="s">
        <v>48</v>
      </c>
      <c r="C32" s="41" t="s">
        <v>74</v>
      </c>
      <c r="D32" s="37">
        <v>18.8</v>
      </c>
      <c r="E32" s="37">
        <v>121035</v>
      </c>
      <c r="F32" s="38">
        <v>7520</v>
      </c>
      <c r="G32" s="38">
        <v>977.6</v>
      </c>
      <c r="H32" s="38">
        <v>8497.6</v>
      </c>
      <c r="I32" s="39">
        <v>23059.8</v>
      </c>
      <c r="J32" s="42">
        <v>43938</v>
      </c>
    </row>
    <row r="33" spans="1:10" x14ac:dyDescent="0.25">
      <c r="A33" s="34">
        <v>29</v>
      </c>
      <c r="B33" s="36" t="s">
        <v>48</v>
      </c>
      <c r="C33" s="41" t="s">
        <v>74</v>
      </c>
      <c r="D33" s="37">
        <v>15.2</v>
      </c>
      <c r="E33" s="37">
        <v>68746</v>
      </c>
      <c r="F33" s="38">
        <v>6080</v>
      </c>
      <c r="G33" s="38">
        <v>790.4</v>
      </c>
      <c r="H33" s="38">
        <v>6870.4</v>
      </c>
      <c r="I33" s="39">
        <v>12800.07</v>
      </c>
      <c r="J33" s="42">
        <v>43938</v>
      </c>
    </row>
    <row r="34" spans="1:10" x14ac:dyDescent="0.25">
      <c r="A34" s="34">
        <v>30</v>
      </c>
      <c r="B34" s="35" t="s">
        <v>48</v>
      </c>
      <c r="C34" s="41" t="s">
        <v>74</v>
      </c>
      <c r="D34" s="37">
        <v>4.3899999999999997</v>
      </c>
      <c r="E34" s="37">
        <v>15970.17</v>
      </c>
      <c r="F34" s="38">
        <v>1494.35</v>
      </c>
      <c r="G34" s="38">
        <v>194.2655</v>
      </c>
      <c r="H34" s="38">
        <v>1688.6154999999999</v>
      </c>
      <c r="I34" s="39">
        <v>2338.5</v>
      </c>
      <c r="J34" s="42">
        <v>43938</v>
      </c>
    </row>
    <row r="35" spans="1:10" x14ac:dyDescent="0.25">
      <c r="A35" s="34">
        <v>31</v>
      </c>
      <c r="B35" s="36" t="s">
        <v>75</v>
      </c>
      <c r="C35" s="41" t="s">
        <v>74</v>
      </c>
      <c r="D35" s="37">
        <v>12.72</v>
      </c>
      <c r="E35" s="37">
        <v>58435.68</v>
      </c>
      <c r="F35" s="38">
        <v>8904</v>
      </c>
      <c r="G35" s="38">
        <v>1157.52</v>
      </c>
      <c r="H35" s="38">
        <v>10061.52</v>
      </c>
      <c r="I35" s="39">
        <v>10544.88</v>
      </c>
      <c r="J35" s="42">
        <v>43963</v>
      </c>
    </row>
    <row r="36" spans="1:10" x14ac:dyDescent="0.25">
      <c r="A36" s="34">
        <v>32</v>
      </c>
      <c r="B36" s="43" t="s">
        <v>75</v>
      </c>
      <c r="C36" s="41" t="s">
        <v>74</v>
      </c>
      <c r="D36" s="37">
        <v>4.2300000000000004</v>
      </c>
      <c r="E36" s="37">
        <v>19212.419999999998</v>
      </c>
      <c r="F36" s="38">
        <v>3475</v>
      </c>
      <c r="G36" s="38">
        <v>451.75</v>
      </c>
      <c r="H36" s="38">
        <v>3926.75</v>
      </c>
      <c r="I36" s="39">
        <v>14233.49</v>
      </c>
      <c r="J36" s="42">
        <v>43964</v>
      </c>
    </row>
    <row r="37" spans="1:10" x14ac:dyDescent="0.25">
      <c r="A37" s="34">
        <v>33</v>
      </c>
      <c r="B37" s="35" t="s">
        <v>75</v>
      </c>
      <c r="C37" s="41" t="s">
        <v>74</v>
      </c>
      <c r="D37" s="37">
        <v>9.61</v>
      </c>
      <c r="E37" s="37">
        <v>44217.04</v>
      </c>
      <c r="F37" s="38">
        <v>4186.8500000000004</v>
      </c>
      <c r="G37" s="38">
        <v>544.29050000000007</v>
      </c>
      <c r="H37" s="38">
        <v>4731.1405000000004</v>
      </c>
      <c r="I37" s="39">
        <v>25949.25</v>
      </c>
      <c r="J37" s="42">
        <v>43964</v>
      </c>
    </row>
    <row r="38" spans="1:10" x14ac:dyDescent="0.25">
      <c r="A38" s="34">
        <v>34</v>
      </c>
      <c r="B38" s="36" t="s">
        <v>19</v>
      </c>
      <c r="C38" s="41" t="s">
        <v>74</v>
      </c>
      <c r="D38" s="37">
        <v>0</v>
      </c>
      <c r="E38" s="37">
        <v>3129</v>
      </c>
      <c r="F38" s="38">
        <v>470</v>
      </c>
      <c r="G38" s="38">
        <v>61.1</v>
      </c>
      <c r="H38" s="38">
        <v>531.1</v>
      </c>
      <c r="I38" s="39">
        <v>1464</v>
      </c>
      <c r="J38" s="42">
        <v>43973</v>
      </c>
    </row>
    <row r="39" spans="1:10" x14ac:dyDescent="0.25">
      <c r="A39" s="34">
        <v>35</v>
      </c>
      <c r="B39" s="36" t="s">
        <v>48</v>
      </c>
      <c r="C39" s="41" t="s">
        <v>74</v>
      </c>
      <c r="D39" s="37">
        <v>0</v>
      </c>
      <c r="E39" s="37">
        <v>3504</v>
      </c>
      <c r="F39" s="38">
        <v>528</v>
      </c>
      <c r="G39" s="38">
        <v>68.64</v>
      </c>
      <c r="H39" s="38">
        <v>596.64</v>
      </c>
      <c r="I39" s="39">
        <v>1167</v>
      </c>
      <c r="J39" s="42">
        <v>43973</v>
      </c>
    </row>
    <row r="40" spans="1:10" x14ac:dyDescent="0.25">
      <c r="A40" s="34">
        <v>36</v>
      </c>
      <c r="B40" s="36" t="s">
        <v>75</v>
      </c>
      <c r="C40" s="41" t="s">
        <v>74</v>
      </c>
      <c r="D40" s="37">
        <v>10.52</v>
      </c>
      <c r="E40" s="37">
        <v>47435.97</v>
      </c>
      <c r="F40" s="38">
        <v>12883</v>
      </c>
      <c r="G40" s="38">
        <v>1674.79</v>
      </c>
      <c r="H40" s="38">
        <v>14557.79</v>
      </c>
      <c r="I40" s="39">
        <v>26770.06</v>
      </c>
      <c r="J40" s="42">
        <v>44019</v>
      </c>
    </row>
    <row r="41" spans="1:10" x14ac:dyDescent="0.25">
      <c r="A41" s="34">
        <v>37</v>
      </c>
      <c r="B41" s="36" t="s">
        <v>48</v>
      </c>
      <c r="C41" s="41" t="s">
        <v>74</v>
      </c>
      <c r="D41" s="37">
        <v>0</v>
      </c>
      <c r="E41" s="37">
        <v>4634</v>
      </c>
      <c r="F41" s="38">
        <v>698</v>
      </c>
      <c r="G41" s="38">
        <v>90.740000000000009</v>
      </c>
      <c r="H41" s="38">
        <v>788.74</v>
      </c>
      <c r="I41" s="39">
        <v>2338.33</v>
      </c>
      <c r="J41" s="42">
        <v>44019</v>
      </c>
    </row>
    <row r="42" spans="1:10" x14ac:dyDescent="0.25">
      <c r="A42" s="34">
        <v>38</v>
      </c>
      <c r="B42" s="36" t="s">
        <v>75</v>
      </c>
      <c r="C42" s="41" t="s">
        <v>74</v>
      </c>
      <c r="D42" s="37">
        <v>82.6</v>
      </c>
      <c r="E42" s="37">
        <v>602467</v>
      </c>
      <c r="F42" s="38">
        <v>33040</v>
      </c>
      <c r="G42" s="38">
        <v>4295.2</v>
      </c>
      <c r="H42" s="38">
        <v>37335.199999999997</v>
      </c>
      <c r="I42" s="39">
        <v>117822</v>
      </c>
      <c r="J42" s="42">
        <v>44019</v>
      </c>
    </row>
    <row r="43" spans="1:10" x14ac:dyDescent="0.25">
      <c r="A43" s="34">
        <v>39</v>
      </c>
      <c r="B43" s="36" t="s">
        <v>75</v>
      </c>
      <c r="C43" s="41" t="s">
        <v>74</v>
      </c>
      <c r="D43" s="37">
        <v>0</v>
      </c>
      <c r="E43" s="37">
        <v>100015.97</v>
      </c>
      <c r="F43" s="38">
        <v>5310</v>
      </c>
      <c r="G43" s="38">
        <v>690.30000000000007</v>
      </c>
      <c r="H43" s="38">
        <v>6000.3</v>
      </c>
      <c r="I43" s="39">
        <v>16425</v>
      </c>
      <c r="J43" s="42">
        <v>44019</v>
      </c>
    </row>
    <row r="44" spans="1:10" x14ac:dyDescent="0.25">
      <c r="A44" s="34">
        <v>40</v>
      </c>
      <c r="B44" s="35" t="s">
        <v>75</v>
      </c>
      <c r="C44" s="41" t="s">
        <v>74</v>
      </c>
      <c r="D44" s="37">
        <v>1.83</v>
      </c>
      <c r="E44" s="37">
        <v>8384.9699999999993</v>
      </c>
      <c r="F44" s="38">
        <v>2596</v>
      </c>
      <c r="G44" s="38">
        <v>337.48</v>
      </c>
      <c r="H44" s="38">
        <v>2933.48</v>
      </c>
      <c r="I44" s="39">
        <v>4141.58</v>
      </c>
      <c r="J44" s="42">
        <v>44019</v>
      </c>
    </row>
    <row r="45" spans="1:10" x14ac:dyDescent="0.25">
      <c r="A45" s="34">
        <v>41</v>
      </c>
      <c r="B45" s="36" t="s">
        <v>48</v>
      </c>
      <c r="C45" s="41" t="s">
        <v>74</v>
      </c>
      <c r="D45" s="37">
        <v>0</v>
      </c>
      <c r="E45" s="37">
        <v>8326</v>
      </c>
      <c r="F45" s="38">
        <v>1253</v>
      </c>
      <c r="G45" s="38">
        <v>162.89000000000001</v>
      </c>
      <c r="H45" s="38">
        <v>1415.89</v>
      </c>
      <c r="I45" s="39">
        <v>4075.6</v>
      </c>
      <c r="J45" s="42">
        <v>44020</v>
      </c>
    </row>
    <row r="46" spans="1:10" x14ac:dyDescent="0.25">
      <c r="A46" s="34">
        <v>42</v>
      </c>
      <c r="B46" s="35" t="s">
        <v>19</v>
      </c>
      <c r="C46" s="41" t="s">
        <v>74</v>
      </c>
      <c r="D46" s="37">
        <v>1.33</v>
      </c>
      <c r="E46" s="37">
        <v>4770.59</v>
      </c>
      <c r="F46" s="38">
        <v>840</v>
      </c>
      <c r="G46" s="38">
        <v>109.2</v>
      </c>
      <c r="H46" s="38">
        <v>949.2</v>
      </c>
      <c r="I46" s="39">
        <v>2715.13</v>
      </c>
      <c r="J46" s="42">
        <v>44020</v>
      </c>
    </row>
    <row r="47" spans="1:10" x14ac:dyDescent="0.25">
      <c r="A47" s="34">
        <v>43</v>
      </c>
      <c r="B47" s="35" t="s">
        <v>48</v>
      </c>
      <c r="C47" s="41" t="s">
        <v>74</v>
      </c>
      <c r="D47" s="37">
        <v>0</v>
      </c>
      <c r="E47" s="37">
        <v>2571</v>
      </c>
      <c r="F47" s="38">
        <v>387</v>
      </c>
      <c r="G47" s="38">
        <v>50.31</v>
      </c>
      <c r="H47" s="38">
        <v>437.31</v>
      </c>
      <c r="I47" s="39">
        <v>981</v>
      </c>
      <c r="J47" s="42">
        <v>44020</v>
      </c>
    </row>
    <row r="48" spans="1:10" x14ac:dyDescent="0.25">
      <c r="A48" s="34">
        <v>44</v>
      </c>
      <c r="B48" s="36" t="s">
        <v>19</v>
      </c>
      <c r="C48" s="41" t="s">
        <v>74</v>
      </c>
      <c r="D48" s="37">
        <v>4.59</v>
      </c>
      <c r="E48" s="37">
        <v>125701.8</v>
      </c>
      <c r="F48" s="38">
        <v>10795</v>
      </c>
      <c r="G48" s="38">
        <v>1403.3500000000001</v>
      </c>
      <c r="H48" s="38">
        <v>12198.35</v>
      </c>
      <c r="I48" s="39">
        <v>83614.66</v>
      </c>
      <c r="J48" s="42">
        <v>44020</v>
      </c>
    </row>
    <row r="49" spans="1:10" x14ac:dyDescent="0.25">
      <c r="A49" s="34">
        <v>45</v>
      </c>
      <c r="B49" s="36" t="s">
        <v>75</v>
      </c>
      <c r="C49" s="41" t="s">
        <v>74</v>
      </c>
      <c r="D49" s="37">
        <v>5.4</v>
      </c>
      <c r="E49" s="37">
        <v>36623</v>
      </c>
      <c r="F49" s="38">
        <v>2160</v>
      </c>
      <c r="G49" s="38">
        <v>280.8</v>
      </c>
      <c r="H49" s="38">
        <v>2440.8000000000002</v>
      </c>
      <c r="I49" s="39">
        <v>16600</v>
      </c>
      <c r="J49" s="42">
        <v>44053</v>
      </c>
    </row>
    <row r="50" spans="1:10" x14ac:dyDescent="0.25">
      <c r="A50" s="34">
        <v>46</v>
      </c>
      <c r="B50" s="43" t="s">
        <v>75</v>
      </c>
      <c r="C50" s="41" t="s">
        <v>74</v>
      </c>
      <c r="D50" s="37">
        <v>23.6</v>
      </c>
      <c r="E50" s="37">
        <v>146932</v>
      </c>
      <c r="F50" s="38">
        <v>9440</v>
      </c>
      <c r="G50" s="38">
        <v>1227.2</v>
      </c>
      <c r="H50" s="38">
        <v>10667.2</v>
      </c>
      <c r="I50" s="39">
        <v>27030.28</v>
      </c>
      <c r="J50" s="42">
        <v>44053</v>
      </c>
    </row>
    <row r="51" spans="1:10" x14ac:dyDescent="0.25">
      <c r="A51" s="34">
        <v>47</v>
      </c>
      <c r="B51" s="35" t="s">
        <v>19</v>
      </c>
      <c r="C51" s="41" t="s">
        <v>74</v>
      </c>
      <c r="D51" s="37">
        <v>2.5</v>
      </c>
      <c r="E51" s="37">
        <v>24626.799999999999</v>
      </c>
      <c r="F51" s="38">
        <v>2150</v>
      </c>
      <c r="G51" s="38">
        <v>279.5</v>
      </c>
      <c r="H51" s="38">
        <v>2429.5</v>
      </c>
      <c r="I51" s="39">
        <v>4245.5</v>
      </c>
      <c r="J51" s="42">
        <v>44053</v>
      </c>
    </row>
    <row r="52" spans="1:10" x14ac:dyDescent="0.25">
      <c r="A52" s="34">
        <v>48</v>
      </c>
      <c r="B52" s="35" t="s">
        <v>75</v>
      </c>
      <c r="C52" s="41" t="s">
        <v>74</v>
      </c>
      <c r="D52" s="37">
        <v>1.1099999999999999</v>
      </c>
      <c r="E52" s="37">
        <v>4882.58</v>
      </c>
      <c r="F52" s="38">
        <v>675</v>
      </c>
      <c r="G52" s="38">
        <v>87.75</v>
      </c>
      <c r="H52" s="38">
        <v>762.75</v>
      </c>
      <c r="I52" s="39">
        <v>11000</v>
      </c>
      <c r="J52" s="42"/>
    </row>
    <row r="53" spans="1:10" x14ac:dyDescent="0.25">
      <c r="A53" s="34">
        <v>49</v>
      </c>
      <c r="B53" s="35" t="s">
        <v>75</v>
      </c>
      <c r="C53" s="41" t="s">
        <v>74</v>
      </c>
      <c r="D53" s="37">
        <v>28.8</v>
      </c>
      <c r="E53" s="37">
        <v>132307</v>
      </c>
      <c r="F53" s="38">
        <v>20111</v>
      </c>
      <c r="G53" s="38">
        <v>2614.4300000000003</v>
      </c>
      <c r="H53" s="38">
        <v>22725.43</v>
      </c>
      <c r="I53" s="39">
        <v>27360</v>
      </c>
      <c r="J53" s="42"/>
    </row>
    <row r="54" spans="1:10" x14ac:dyDescent="0.25">
      <c r="A54" s="34">
        <v>50</v>
      </c>
      <c r="B54" s="35" t="s">
        <v>19</v>
      </c>
      <c r="C54" s="41" t="s">
        <v>74</v>
      </c>
      <c r="D54" s="37">
        <v>2.2999999999999998</v>
      </c>
      <c r="E54" s="37">
        <v>8276</v>
      </c>
      <c r="F54" s="38">
        <v>920</v>
      </c>
      <c r="G54" s="38">
        <v>119.60000000000001</v>
      </c>
      <c r="H54" s="38">
        <v>1039.5999999999999</v>
      </c>
      <c r="I54" s="39">
        <v>3237.08</v>
      </c>
      <c r="J54" s="42"/>
    </row>
    <row r="55" spans="1:10" x14ac:dyDescent="0.25">
      <c r="A55" s="34">
        <v>51</v>
      </c>
      <c r="B55" s="36" t="s">
        <v>48</v>
      </c>
      <c r="C55" s="41" t="s">
        <v>74</v>
      </c>
      <c r="D55" s="37">
        <v>7.3</v>
      </c>
      <c r="E55" s="37">
        <v>39003</v>
      </c>
      <c r="F55" s="38">
        <v>1584</v>
      </c>
      <c r="G55" s="38">
        <v>205.92000000000002</v>
      </c>
      <c r="H55" s="38">
        <v>1789.92</v>
      </c>
      <c r="I55" s="39">
        <v>29527.87</v>
      </c>
      <c r="J55" s="42"/>
    </row>
    <row r="56" spans="1:10" x14ac:dyDescent="0.25">
      <c r="A56" s="34">
        <v>52</v>
      </c>
      <c r="B56" s="36" t="s">
        <v>19</v>
      </c>
      <c r="C56" s="41" t="s">
        <v>74</v>
      </c>
      <c r="D56" s="37">
        <v>18.760000000000002</v>
      </c>
      <c r="E56" s="37">
        <v>77132</v>
      </c>
      <c r="F56" s="38">
        <v>8780</v>
      </c>
      <c r="G56" s="38">
        <v>1141.4000000000001</v>
      </c>
      <c r="H56" s="38">
        <v>9921.4</v>
      </c>
      <c r="I56" s="39">
        <v>42830</v>
      </c>
      <c r="J56" s="42"/>
    </row>
    <row r="57" spans="1:10" x14ac:dyDescent="0.25">
      <c r="A57" s="34">
        <v>53</v>
      </c>
      <c r="B57" s="43" t="s">
        <v>19</v>
      </c>
      <c r="C57" s="41" t="s">
        <v>81</v>
      </c>
      <c r="D57" s="37">
        <v>2.2999999999999998</v>
      </c>
      <c r="E57" s="37">
        <v>1385</v>
      </c>
      <c r="F57" s="38">
        <v>3040.75</v>
      </c>
      <c r="G57" s="38">
        <v>395.29750000000001</v>
      </c>
      <c r="H57" s="38">
        <v>3436.0475000000001</v>
      </c>
      <c r="I57" s="39"/>
      <c r="J57" s="42"/>
    </row>
    <row r="58" spans="1:10" x14ac:dyDescent="0.25">
      <c r="A58" s="34">
        <v>54</v>
      </c>
      <c r="B58" s="43" t="s">
        <v>19</v>
      </c>
      <c r="C58" s="41" t="s">
        <v>74</v>
      </c>
      <c r="D58" s="37">
        <v>0.31</v>
      </c>
      <c r="E58" s="37">
        <v>1433.33</v>
      </c>
      <c r="F58" s="38">
        <v>500</v>
      </c>
      <c r="G58" s="38">
        <v>65</v>
      </c>
      <c r="H58" s="38">
        <v>565</v>
      </c>
      <c r="I58" s="39">
        <v>1390</v>
      </c>
      <c r="J58" s="42">
        <v>44083</v>
      </c>
    </row>
    <row r="59" spans="1:10" x14ac:dyDescent="0.25">
      <c r="A59" s="34">
        <v>55</v>
      </c>
      <c r="B59" s="36" t="s">
        <v>48</v>
      </c>
      <c r="C59" s="41" t="s">
        <v>74</v>
      </c>
      <c r="D59" s="37">
        <v>0.83</v>
      </c>
      <c r="E59" s="37">
        <v>3822.21</v>
      </c>
      <c r="F59" s="38">
        <v>1320</v>
      </c>
      <c r="G59" s="38">
        <v>171.6</v>
      </c>
      <c r="H59" s="38">
        <v>1491.6</v>
      </c>
      <c r="I59" s="39">
        <v>2506.84</v>
      </c>
      <c r="J59" s="42">
        <v>44083</v>
      </c>
    </row>
    <row r="60" spans="1:10" x14ac:dyDescent="0.25">
      <c r="A60" s="34">
        <v>56</v>
      </c>
      <c r="B60" s="43" t="s">
        <v>19</v>
      </c>
      <c r="C60" s="41" t="s">
        <v>74</v>
      </c>
      <c r="D60" s="37">
        <v>1.7</v>
      </c>
      <c r="E60" s="37">
        <v>7313</v>
      </c>
      <c r="F60" s="38">
        <v>680</v>
      </c>
      <c r="G60" s="38">
        <v>88.4</v>
      </c>
      <c r="H60" s="38">
        <v>768.4</v>
      </c>
      <c r="I60" s="39">
        <v>3067.06</v>
      </c>
      <c r="J60" s="42">
        <v>44083</v>
      </c>
    </row>
    <row r="61" spans="1:10" x14ac:dyDescent="0.25">
      <c r="A61" s="34">
        <v>57</v>
      </c>
      <c r="B61" s="43" t="s">
        <v>75</v>
      </c>
      <c r="C61" s="41" t="s">
        <v>74</v>
      </c>
      <c r="D61" s="37">
        <v>110.3</v>
      </c>
      <c r="E61" s="37">
        <v>953559.95</v>
      </c>
      <c r="F61" s="38">
        <v>50870</v>
      </c>
      <c r="G61" s="38">
        <v>6613.1</v>
      </c>
      <c r="H61" s="38">
        <v>57483.1</v>
      </c>
      <c r="I61" s="39">
        <v>172810</v>
      </c>
      <c r="J61" s="42">
        <v>44103</v>
      </c>
    </row>
    <row r="62" spans="1:10" x14ac:dyDescent="0.25">
      <c r="A62" s="34">
        <v>58</v>
      </c>
      <c r="B62" s="36" t="s">
        <v>19</v>
      </c>
      <c r="C62" s="41" t="s">
        <v>74</v>
      </c>
      <c r="D62" s="37">
        <v>3.2</v>
      </c>
      <c r="E62" s="37">
        <v>18194.41</v>
      </c>
      <c r="F62" s="38">
        <v>5540</v>
      </c>
      <c r="G62" s="38">
        <v>720.2</v>
      </c>
      <c r="H62" s="38">
        <v>6260.2</v>
      </c>
      <c r="I62" s="39">
        <v>21912.78</v>
      </c>
      <c r="J62" s="42">
        <v>44123</v>
      </c>
    </row>
    <row r="63" spans="1:10" x14ac:dyDescent="0.25">
      <c r="A63" s="34">
        <v>59</v>
      </c>
      <c r="B63" s="43" t="s">
        <v>48</v>
      </c>
      <c r="C63" s="41" t="s">
        <v>74</v>
      </c>
      <c r="D63" s="37">
        <v>6.17</v>
      </c>
      <c r="E63" s="37">
        <v>18812.11</v>
      </c>
      <c r="F63" s="38">
        <v>5790</v>
      </c>
      <c r="G63" s="38">
        <v>0</v>
      </c>
      <c r="H63" s="38">
        <v>5790</v>
      </c>
      <c r="I63" s="39">
        <v>18452</v>
      </c>
      <c r="J63" s="42">
        <v>44123</v>
      </c>
    </row>
    <row r="64" spans="1:10" x14ac:dyDescent="0.25">
      <c r="A64" s="34">
        <v>60</v>
      </c>
      <c r="B64" s="36" t="s">
        <v>19</v>
      </c>
      <c r="C64" s="41" t="s">
        <v>74</v>
      </c>
      <c r="D64" s="37">
        <v>0.53</v>
      </c>
      <c r="E64" s="37">
        <v>2436.66</v>
      </c>
      <c r="F64" s="38">
        <v>850</v>
      </c>
      <c r="G64" s="38">
        <v>110.5</v>
      </c>
      <c r="H64" s="38">
        <v>960.5</v>
      </c>
      <c r="I64" s="39">
        <v>3320</v>
      </c>
      <c r="J64" s="42">
        <v>44124</v>
      </c>
    </row>
    <row r="65" spans="1:10" x14ac:dyDescent="0.25">
      <c r="A65" s="34">
        <v>61</v>
      </c>
      <c r="B65" s="43" t="s">
        <v>75</v>
      </c>
      <c r="C65" s="41" t="s">
        <v>74</v>
      </c>
      <c r="D65" s="37">
        <v>52.8</v>
      </c>
      <c r="E65" s="37">
        <v>486102.04</v>
      </c>
      <c r="F65" s="38">
        <v>26460</v>
      </c>
      <c r="G65" s="38">
        <v>3439.8</v>
      </c>
      <c r="H65" s="38">
        <v>29899.8</v>
      </c>
      <c r="I65" s="39">
        <v>114445</v>
      </c>
      <c r="J65" s="42">
        <v>44124</v>
      </c>
    </row>
    <row r="66" spans="1:10" x14ac:dyDescent="0.25">
      <c r="A66" s="34">
        <v>62</v>
      </c>
      <c r="B66" s="43" t="s">
        <v>75</v>
      </c>
      <c r="C66" s="41" t="s">
        <v>82</v>
      </c>
      <c r="D66" s="37">
        <v>27.99</v>
      </c>
      <c r="E66" s="37">
        <v>250473.45</v>
      </c>
      <c r="F66" s="38">
        <v>10527</v>
      </c>
      <c r="G66" s="38">
        <v>1368.51</v>
      </c>
      <c r="H66" s="38">
        <v>11895.51</v>
      </c>
      <c r="I66" s="39">
        <v>22159.5</v>
      </c>
      <c r="J66" s="42">
        <v>44124</v>
      </c>
    </row>
    <row r="67" spans="1:10" x14ac:dyDescent="0.25">
      <c r="A67" s="34">
        <v>63</v>
      </c>
      <c r="B67" s="43" t="s">
        <v>19</v>
      </c>
      <c r="C67" s="41" t="s">
        <v>74</v>
      </c>
      <c r="D67" s="37">
        <v>0</v>
      </c>
      <c r="E67" s="37">
        <v>8383</v>
      </c>
      <c r="F67" s="38">
        <v>419.15</v>
      </c>
      <c r="G67" s="38">
        <v>54.4895</v>
      </c>
      <c r="H67" s="38">
        <v>473.6395</v>
      </c>
      <c r="I67" s="39">
        <v>2382</v>
      </c>
      <c r="J67" s="42">
        <v>44124</v>
      </c>
    </row>
    <row r="68" spans="1:10" x14ac:dyDescent="0.25">
      <c r="A68" s="34">
        <v>64</v>
      </c>
      <c r="B68" s="43" t="s">
        <v>48</v>
      </c>
      <c r="C68" s="41" t="s">
        <v>74</v>
      </c>
      <c r="D68" s="37">
        <v>0.75</v>
      </c>
      <c r="E68" s="37">
        <v>3439.99</v>
      </c>
      <c r="F68" s="38">
        <v>1200</v>
      </c>
      <c r="G68" s="38">
        <v>156</v>
      </c>
      <c r="H68" s="38">
        <v>1356</v>
      </c>
      <c r="I68" s="39">
        <v>1680</v>
      </c>
      <c r="J68" s="42">
        <v>44146</v>
      </c>
    </row>
    <row r="69" spans="1:10" x14ac:dyDescent="0.25">
      <c r="A69" s="34">
        <v>65</v>
      </c>
      <c r="B69" s="43" t="s">
        <v>48</v>
      </c>
      <c r="C69" s="41" t="s">
        <v>74</v>
      </c>
      <c r="D69" s="37">
        <v>3.92</v>
      </c>
      <c r="E69" s="37">
        <v>17689.07</v>
      </c>
      <c r="F69" s="38">
        <v>4440</v>
      </c>
      <c r="G69" s="38">
        <v>577.20000000000005</v>
      </c>
      <c r="H69" s="38">
        <v>5017.2</v>
      </c>
      <c r="I69" s="39">
        <v>13166.72</v>
      </c>
      <c r="J69" s="42">
        <v>44146</v>
      </c>
    </row>
    <row r="70" spans="1:10" x14ac:dyDescent="0.25">
      <c r="A70" s="34">
        <v>66</v>
      </c>
      <c r="B70" s="43" t="s">
        <v>48</v>
      </c>
      <c r="C70" s="41" t="s">
        <v>74</v>
      </c>
      <c r="D70" s="37">
        <v>0</v>
      </c>
      <c r="E70" s="37">
        <v>7560</v>
      </c>
      <c r="F70" s="38">
        <v>675</v>
      </c>
      <c r="G70" s="38">
        <v>87.75</v>
      </c>
      <c r="H70" s="38">
        <v>762.75</v>
      </c>
      <c r="I70" s="39">
        <v>5112.7</v>
      </c>
      <c r="J70" s="42">
        <v>44152</v>
      </c>
    </row>
    <row r="71" spans="1:10" x14ac:dyDescent="0.25">
      <c r="A71" s="34">
        <v>67</v>
      </c>
      <c r="B71" s="35" t="s">
        <v>75</v>
      </c>
      <c r="C71" s="41" t="s">
        <v>74</v>
      </c>
      <c r="D71" s="37">
        <v>4.17</v>
      </c>
      <c r="E71" s="37">
        <v>11657.64</v>
      </c>
      <c r="F71" s="38">
        <v>4189.8999999999996</v>
      </c>
      <c r="G71" s="38">
        <v>544.68700000000001</v>
      </c>
      <c r="H71" s="38">
        <v>4734.5869999999995</v>
      </c>
      <c r="I71" s="39">
        <v>12195.68</v>
      </c>
      <c r="J71" s="42">
        <v>44152</v>
      </c>
    </row>
    <row r="72" spans="1:10" x14ac:dyDescent="0.25">
      <c r="A72" s="34">
        <v>68</v>
      </c>
      <c r="B72" s="35" t="s">
        <v>19</v>
      </c>
      <c r="C72" s="41" t="s">
        <v>74</v>
      </c>
      <c r="D72" s="37">
        <v>2.11</v>
      </c>
      <c r="E72" s="37">
        <v>17944.5</v>
      </c>
      <c r="F72" s="38">
        <v>1208.8499999999999</v>
      </c>
      <c r="G72" s="38">
        <v>157.15049999999999</v>
      </c>
      <c r="H72" s="38">
        <v>1366.0004999999999</v>
      </c>
      <c r="I72" s="39">
        <v>4534.8</v>
      </c>
      <c r="J72" s="42">
        <v>44152</v>
      </c>
    </row>
    <row r="73" spans="1:10" x14ac:dyDescent="0.25">
      <c r="A73" s="34">
        <v>69</v>
      </c>
      <c r="B73" s="35" t="s">
        <v>75</v>
      </c>
      <c r="C73" s="41" t="s">
        <v>83</v>
      </c>
      <c r="D73" s="37">
        <v>76.5</v>
      </c>
      <c r="E73" s="37">
        <v>612141</v>
      </c>
      <c r="F73" s="38">
        <v>41628.949999999997</v>
      </c>
      <c r="G73" s="38">
        <v>5411.7635</v>
      </c>
      <c r="H73" s="38">
        <v>47040.713499999998</v>
      </c>
      <c r="I73" s="39">
        <v>97482</v>
      </c>
      <c r="J73" s="42">
        <v>44152</v>
      </c>
    </row>
    <row r="74" spans="1:10" x14ac:dyDescent="0.25">
      <c r="A74" s="34">
        <v>70</v>
      </c>
      <c r="B74" s="35" t="s">
        <v>48</v>
      </c>
      <c r="C74" s="41" t="s">
        <v>74</v>
      </c>
      <c r="D74" s="37">
        <v>0.59</v>
      </c>
      <c r="E74" s="37">
        <v>2719.65</v>
      </c>
      <c r="F74" s="38">
        <v>814</v>
      </c>
      <c r="G74" s="38">
        <v>105.82000000000001</v>
      </c>
      <c r="H74" s="38">
        <v>919.82</v>
      </c>
      <c r="I74" s="39">
        <v>5217.8900000000003</v>
      </c>
      <c r="J74" s="42">
        <v>44152</v>
      </c>
    </row>
    <row r="75" spans="1:10" x14ac:dyDescent="0.25">
      <c r="A75" s="34">
        <v>71</v>
      </c>
      <c r="B75" s="35" t="s">
        <v>75</v>
      </c>
      <c r="C75" s="41" t="s">
        <v>74</v>
      </c>
      <c r="D75" s="37">
        <v>35.4</v>
      </c>
      <c r="E75" s="37">
        <v>257075</v>
      </c>
      <c r="F75" s="38">
        <v>9251.01</v>
      </c>
      <c r="G75" s="38">
        <v>1202.6313</v>
      </c>
      <c r="H75" s="38">
        <v>10453.641299999999</v>
      </c>
      <c r="I75" s="39">
        <v>18502.02</v>
      </c>
      <c r="J75" s="42">
        <v>44152</v>
      </c>
    </row>
    <row r="76" spans="1:10" x14ac:dyDescent="0.25">
      <c r="A76" s="34">
        <v>72</v>
      </c>
      <c r="B76" s="43" t="s">
        <v>48</v>
      </c>
      <c r="C76" s="41" t="s">
        <v>74</v>
      </c>
      <c r="D76" s="37">
        <v>16850</v>
      </c>
      <c r="E76" s="37">
        <v>8648480.4000000004</v>
      </c>
      <c r="F76" s="38">
        <v>754400</v>
      </c>
      <c r="G76" s="38">
        <v>98072</v>
      </c>
      <c r="H76" s="38">
        <v>852472</v>
      </c>
      <c r="I76" s="39">
        <v>3455230.5</v>
      </c>
      <c r="J76" s="42">
        <v>44162</v>
      </c>
    </row>
    <row r="77" spans="1:10" x14ac:dyDescent="0.25">
      <c r="A77" s="34">
        <v>73</v>
      </c>
      <c r="B77" s="43" t="s">
        <v>75</v>
      </c>
      <c r="C77" s="41" t="s">
        <v>74</v>
      </c>
      <c r="D77" s="37">
        <v>0.75</v>
      </c>
      <c r="E77" s="37">
        <v>3439.99</v>
      </c>
      <c r="F77" s="38">
        <v>1250</v>
      </c>
      <c r="G77" s="38">
        <v>162.5</v>
      </c>
      <c r="H77" s="38">
        <v>1412.5</v>
      </c>
      <c r="I77" s="39">
        <v>2396.17</v>
      </c>
      <c r="J77" s="42">
        <v>44175</v>
      </c>
    </row>
    <row r="78" spans="1:10" x14ac:dyDescent="0.25">
      <c r="A78" s="34">
        <v>74</v>
      </c>
      <c r="B78" s="35" t="s">
        <v>48</v>
      </c>
      <c r="C78" s="41" t="s">
        <v>74</v>
      </c>
      <c r="D78" s="37">
        <v>1.78</v>
      </c>
      <c r="E78" s="37">
        <v>16853.669999999998</v>
      </c>
      <c r="F78" s="38">
        <v>1881.45</v>
      </c>
      <c r="G78" s="38">
        <v>244.58850000000001</v>
      </c>
      <c r="H78" s="38">
        <v>2126.0385000000001</v>
      </c>
      <c r="I78" s="39">
        <v>7125</v>
      </c>
      <c r="J78" s="42">
        <v>44175</v>
      </c>
    </row>
    <row r="79" spans="1:10" x14ac:dyDescent="0.25">
      <c r="A79" s="34">
        <v>75</v>
      </c>
      <c r="B79" s="43" t="s">
        <v>75</v>
      </c>
      <c r="C79" s="41" t="s">
        <v>74</v>
      </c>
      <c r="D79" s="37">
        <v>2.64</v>
      </c>
      <c r="E79" s="37">
        <v>85070.9</v>
      </c>
      <c r="F79" s="38">
        <v>4725.59</v>
      </c>
      <c r="G79" s="38">
        <v>614.32670000000007</v>
      </c>
      <c r="H79" s="38">
        <v>5339.9166999999998</v>
      </c>
      <c r="I79" s="39">
        <v>25652</v>
      </c>
      <c r="J79" s="42">
        <v>44176</v>
      </c>
    </row>
    <row r="80" spans="1:10" x14ac:dyDescent="0.25">
      <c r="A80" s="34">
        <v>76</v>
      </c>
      <c r="B80" s="35" t="s">
        <v>19</v>
      </c>
      <c r="C80" s="41" t="s">
        <v>74</v>
      </c>
      <c r="D80" s="37">
        <v>0</v>
      </c>
      <c r="E80" s="37">
        <v>43134</v>
      </c>
      <c r="F80" s="38">
        <v>3880</v>
      </c>
      <c r="G80" s="38">
        <v>0</v>
      </c>
      <c r="H80" s="38">
        <v>3880</v>
      </c>
      <c r="I80" s="39">
        <v>23330.32</v>
      </c>
      <c r="J80" s="42">
        <v>44176</v>
      </c>
    </row>
    <row r="81" spans="1:10" x14ac:dyDescent="0.25">
      <c r="A81" s="34">
        <v>77</v>
      </c>
      <c r="B81" s="43" t="s">
        <v>48</v>
      </c>
      <c r="C81" s="41" t="s">
        <v>83</v>
      </c>
      <c r="D81" s="37">
        <v>5.52</v>
      </c>
      <c r="E81" s="37">
        <v>40430</v>
      </c>
      <c r="F81" s="38">
        <v>2145</v>
      </c>
      <c r="G81" s="38">
        <v>278.85000000000002</v>
      </c>
      <c r="H81" s="38">
        <v>2423.85</v>
      </c>
      <c r="I81" s="39">
        <v>5857.8</v>
      </c>
      <c r="J81" s="42">
        <v>44179</v>
      </c>
    </row>
    <row r="82" spans="1:10" x14ac:dyDescent="0.25">
      <c r="A82" s="34">
        <v>78</v>
      </c>
      <c r="B82" s="35" t="s">
        <v>19</v>
      </c>
      <c r="C82" s="41" t="s">
        <v>74</v>
      </c>
      <c r="D82" s="37">
        <v>0.8</v>
      </c>
      <c r="E82" s="37">
        <v>2003</v>
      </c>
      <c r="F82" s="38">
        <v>320</v>
      </c>
      <c r="G82" s="38">
        <v>41.6</v>
      </c>
      <c r="H82" s="38">
        <v>361.6</v>
      </c>
      <c r="I82" s="39">
        <v>1112.96</v>
      </c>
      <c r="J82" s="42">
        <v>44179</v>
      </c>
    </row>
    <row r="83" spans="1:10" x14ac:dyDescent="0.25">
      <c r="A83" s="34">
        <v>79</v>
      </c>
      <c r="B83" s="35" t="s">
        <v>19</v>
      </c>
      <c r="C83" s="41" t="s">
        <v>74</v>
      </c>
      <c r="D83" s="37">
        <v>3.1</v>
      </c>
      <c r="E83" s="37">
        <v>11289</v>
      </c>
      <c r="F83" s="38">
        <v>1240</v>
      </c>
      <c r="G83" s="38">
        <v>161.20000000000002</v>
      </c>
      <c r="H83" s="38">
        <v>1401.2</v>
      </c>
      <c r="I83" s="39">
        <v>6726</v>
      </c>
      <c r="J83" s="42">
        <v>43913</v>
      </c>
    </row>
    <row r="84" spans="1:10" x14ac:dyDescent="0.25">
      <c r="A84" s="34"/>
      <c r="B84" s="36"/>
      <c r="C84" s="41"/>
      <c r="D84" s="37"/>
      <c r="E84" s="37"/>
      <c r="F84" s="38"/>
      <c r="G84" s="38"/>
      <c r="H84" s="38"/>
      <c r="I84" s="39"/>
      <c r="J84" s="42"/>
    </row>
    <row r="85" spans="1:10" x14ac:dyDescent="0.25">
      <c r="A85" s="34"/>
      <c r="B85" s="43"/>
      <c r="C85" s="41" t="s">
        <v>122</v>
      </c>
      <c r="D85" s="37">
        <f>SUM(D6:D84)</f>
        <v>18247.679999999997</v>
      </c>
      <c r="E85" s="37">
        <f>SUM(E6:E84)</f>
        <v>19806447.249999996</v>
      </c>
      <c r="F85" s="38"/>
      <c r="G85" s="38"/>
      <c r="H85" s="38"/>
      <c r="I85" s="39"/>
      <c r="J85" s="42"/>
    </row>
    <row r="86" spans="1:10" x14ac:dyDescent="0.25">
      <c r="A86" s="34"/>
      <c r="B86" s="35"/>
      <c r="C86" s="41"/>
      <c r="D86" s="37"/>
      <c r="E86" s="37"/>
      <c r="F86" s="38"/>
      <c r="G86" s="38"/>
      <c r="H86" s="38"/>
      <c r="I86" s="39"/>
      <c r="J86" s="42"/>
    </row>
    <row r="87" spans="1:10" x14ac:dyDescent="0.25">
      <c r="A87" s="34"/>
      <c r="B87" s="35"/>
      <c r="C87" s="41"/>
      <c r="D87" s="37"/>
      <c r="E87" s="37"/>
      <c r="F87" s="38"/>
      <c r="G87" s="38"/>
      <c r="H87" s="38"/>
      <c r="I87" s="39"/>
      <c r="J87" s="42"/>
    </row>
    <row r="88" spans="1:10" x14ac:dyDescent="0.25">
      <c r="A88" s="34"/>
      <c r="B88" s="43"/>
      <c r="C88" s="41"/>
      <c r="D88" s="37"/>
      <c r="E88" s="37"/>
      <c r="F88" s="38"/>
      <c r="G88" s="38"/>
      <c r="H88" s="38"/>
      <c r="I88" s="39"/>
      <c r="J88" s="42"/>
    </row>
    <row r="89" spans="1:10" x14ac:dyDescent="0.25">
      <c r="A89" s="34"/>
      <c r="B89" s="35"/>
      <c r="C89" s="41"/>
      <c r="D89" s="37"/>
      <c r="E89" s="37"/>
      <c r="F89" s="38"/>
      <c r="G89" s="38"/>
      <c r="H89" s="38"/>
      <c r="I89" s="39"/>
      <c r="J89" s="42"/>
    </row>
    <row r="90" spans="1:10" x14ac:dyDescent="0.25">
      <c r="A90" s="34"/>
      <c r="B90" s="43"/>
      <c r="C90" s="41"/>
      <c r="D90" s="37"/>
      <c r="E90" s="37"/>
      <c r="F90" s="38"/>
      <c r="G90" s="38"/>
      <c r="H90" s="38"/>
      <c r="I90" s="39"/>
      <c r="J90" s="42"/>
    </row>
    <row r="91" spans="1:10" x14ac:dyDescent="0.25">
      <c r="A91" s="34"/>
      <c r="B91" s="35"/>
      <c r="C91" s="41"/>
      <c r="D91" s="37"/>
      <c r="E91" s="37"/>
      <c r="F91" s="38"/>
      <c r="G91" s="38"/>
      <c r="H91" s="38"/>
      <c r="I91" s="39"/>
      <c r="J91" s="42"/>
    </row>
    <row r="92" spans="1:10" x14ac:dyDescent="0.25">
      <c r="A92" s="34"/>
      <c r="B92" s="43"/>
      <c r="C92" s="41"/>
      <c r="D92" s="37"/>
      <c r="E92" s="37"/>
      <c r="F92" s="38"/>
      <c r="G92" s="38"/>
      <c r="H92" s="38"/>
      <c r="I92" s="39"/>
      <c r="J92" s="42"/>
    </row>
    <row r="93" spans="1:10" x14ac:dyDescent="0.25">
      <c r="A93" s="34"/>
      <c r="B93" s="43"/>
      <c r="C93" s="41"/>
      <c r="D93" s="37"/>
      <c r="E93" s="37"/>
      <c r="F93" s="38"/>
      <c r="G93" s="38"/>
      <c r="H93" s="38"/>
      <c r="I93" s="39"/>
      <c r="J93" s="42"/>
    </row>
    <row r="94" spans="1:10" x14ac:dyDescent="0.25">
      <c r="A94" s="34"/>
      <c r="B94" s="35"/>
      <c r="C94" s="41"/>
      <c r="D94" s="37"/>
      <c r="E94" s="37"/>
      <c r="F94" s="38"/>
      <c r="G94" s="38"/>
      <c r="H94" s="38"/>
      <c r="I94" s="39"/>
      <c r="J94" s="42"/>
    </row>
    <row r="95" spans="1:10" x14ac:dyDescent="0.25">
      <c r="A95" s="34"/>
      <c r="B95" s="35"/>
      <c r="C95" s="41"/>
      <c r="D95" s="37"/>
      <c r="E95" s="37"/>
      <c r="F95" s="38"/>
      <c r="G95" s="38"/>
      <c r="H95" s="38"/>
      <c r="I95" s="39"/>
      <c r="J95" s="42"/>
    </row>
    <row r="96" spans="1:10" x14ac:dyDescent="0.25">
      <c r="A96" s="34"/>
      <c r="B96" s="35"/>
      <c r="C96" s="41"/>
      <c r="D96" s="37"/>
      <c r="E96" s="37"/>
      <c r="F96" s="38"/>
      <c r="G96" s="38"/>
      <c r="H96" s="38"/>
      <c r="I96" s="39"/>
      <c r="J96" s="42"/>
    </row>
    <row r="97" spans="1:10" x14ac:dyDescent="0.25">
      <c r="A97" s="34"/>
      <c r="B97" s="35"/>
      <c r="C97" s="41"/>
      <c r="D97" s="37"/>
      <c r="E97" s="37"/>
      <c r="F97" s="38"/>
      <c r="G97" s="38"/>
      <c r="H97" s="38"/>
      <c r="I97" s="39"/>
      <c r="J97" s="42"/>
    </row>
    <row r="98" spans="1:10" x14ac:dyDescent="0.25">
      <c r="A98" s="34"/>
      <c r="B98" s="35"/>
      <c r="C98" s="41"/>
      <c r="D98" s="37"/>
      <c r="E98" s="37"/>
      <c r="F98" s="38"/>
      <c r="G98" s="38"/>
      <c r="H98" s="38"/>
      <c r="I98" s="39"/>
      <c r="J98" s="42"/>
    </row>
    <row r="99" spans="1:10" x14ac:dyDescent="0.25">
      <c r="A99" s="34"/>
      <c r="B99" s="35"/>
      <c r="C99" s="41"/>
      <c r="D99" s="37"/>
      <c r="E99" s="37"/>
      <c r="F99" s="38"/>
      <c r="G99" s="38"/>
      <c r="H99" s="38"/>
      <c r="I99" s="39"/>
      <c r="J99" s="42"/>
    </row>
    <row r="100" spans="1:10" x14ac:dyDescent="0.25">
      <c r="A100" s="34"/>
      <c r="B100" s="36"/>
      <c r="C100" s="41"/>
      <c r="D100" s="37"/>
      <c r="E100" s="37"/>
      <c r="F100" s="38"/>
      <c r="G100" s="38"/>
      <c r="H100" s="38"/>
      <c r="I100" s="39"/>
      <c r="J100" s="42"/>
    </row>
    <row r="101" spans="1:10" x14ac:dyDescent="0.25">
      <c r="A101" s="34"/>
      <c r="B101" s="36"/>
      <c r="C101" s="41"/>
      <c r="D101" s="37"/>
      <c r="E101" s="37"/>
      <c r="F101" s="38"/>
      <c r="G101" s="38"/>
      <c r="H101" s="38"/>
      <c r="I101" s="39"/>
      <c r="J101" s="42"/>
    </row>
    <row r="102" spans="1:10" x14ac:dyDescent="0.25">
      <c r="A102" s="34"/>
      <c r="B102" s="35"/>
      <c r="C102" s="41"/>
      <c r="D102" s="37"/>
      <c r="E102" s="37"/>
      <c r="F102" s="38"/>
      <c r="G102" s="38"/>
      <c r="H102" s="38"/>
      <c r="I102" s="39"/>
      <c r="J102" s="42"/>
    </row>
    <row r="103" spans="1:10" x14ac:dyDescent="0.25">
      <c r="A103" s="34"/>
      <c r="B103" s="35"/>
      <c r="C103" s="41"/>
      <c r="D103" s="37"/>
      <c r="E103" s="37"/>
      <c r="F103" s="38"/>
      <c r="G103" s="38"/>
      <c r="H103" s="38"/>
      <c r="I103" s="39"/>
      <c r="J103" s="42"/>
    </row>
    <row r="104" spans="1:10" x14ac:dyDescent="0.25">
      <c r="A104" s="34"/>
      <c r="B104" s="36"/>
      <c r="C104" s="41"/>
      <c r="D104" s="37"/>
      <c r="E104" s="37"/>
      <c r="F104" s="38"/>
      <c r="G104" s="38"/>
      <c r="H104" s="38"/>
      <c r="I104" s="39"/>
      <c r="J104" s="42"/>
    </row>
    <row r="105" spans="1:10" x14ac:dyDescent="0.25">
      <c r="A105" s="34"/>
      <c r="B105" s="43"/>
      <c r="C105" s="41"/>
      <c r="D105" s="37"/>
      <c r="E105" s="37"/>
      <c r="F105" s="38"/>
      <c r="G105" s="38"/>
      <c r="H105" s="38"/>
      <c r="I105" s="39"/>
      <c r="J105" s="42"/>
    </row>
    <row r="106" spans="1:10" x14ac:dyDescent="0.25">
      <c r="A106" s="34"/>
      <c r="B106" s="43"/>
      <c r="C106" s="41"/>
      <c r="D106" s="37"/>
      <c r="E106" s="37"/>
      <c r="F106" s="38"/>
      <c r="G106" s="38"/>
      <c r="H106" s="38"/>
      <c r="I106" s="39"/>
      <c r="J106" s="42"/>
    </row>
    <row r="107" spans="1:10" x14ac:dyDescent="0.25">
      <c r="A107" s="34"/>
      <c r="B107" s="35"/>
      <c r="C107" s="41"/>
      <c r="D107" s="37"/>
      <c r="E107" s="37"/>
      <c r="F107" s="38"/>
      <c r="G107" s="38"/>
      <c r="H107" s="38"/>
      <c r="I107" s="39"/>
      <c r="J107" s="42"/>
    </row>
    <row r="108" spans="1:10" x14ac:dyDescent="0.25">
      <c r="A108" s="34"/>
      <c r="B108" s="36"/>
      <c r="C108" s="41"/>
      <c r="D108" s="44"/>
      <c r="E108" s="44"/>
      <c r="F108" s="38"/>
      <c r="G108" s="38"/>
      <c r="H108" s="38"/>
      <c r="I108" s="39"/>
      <c r="J108" s="42"/>
    </row>
    <row r="109" spans="1:10" x14ac:dyDescent="0.25">
      <c r="A109" s="34"/>
      <c r="B109" s="36"/>
      <c r="C109" s="41"/>
      <c r="D109" s="44"/>
      <c r="E109" s="44"/>
      <c r="F109" s="38"/>
      <c r="G109" s="38"/>
      <c r="H109" s="38"/>
      <c r="I109" s="39"/>
      <c r="J109" s="42"/>
    </row>
    <row r="110" spans="1:10" x14ac:dyDescent="0.25">
      <c r="A110" s="34"/>
      <c r="B110" s="35"/>
      <c r="C110" s="41"/>
      <c r="D110" s="44"/>
      <c r="E110" s="44"/>
      <c r="F110" s="38"/>
      <c r="G110" s="38"/>
      <c r="H110" s="38"/>
      <c r="I110" s="39"/>
      <c r="J110" s="42"/>
    </row>
    <row r="111" spans="1:10" x14ac:dyDescent="0.25">
      <c r="A111" s="34"/>
      <c r="B111" s="35"/>
      <c r="C111" s="41"/>
      <c r="D111" s="44"/>
      <c r="E111" s="44"/>
      <c r="F111" s="38"/>
      <c r="G111" s="38"/>
      <c r="H111" s="38"/>
      <c r="I111" s="39"/>
      <c r="J111" s="42"/>
    </row>
    <row r="112" spans="1:10" x14ac:dyDescent="0.25">
      <c r="A112" s="34"/>
      <c r="B112" s="36"/>
      <c r="C112" s="41"/>
      <c r="D112" s="44"/>
      <c r="E112" s="44"/>
      <c r="F112" s="38"/>
      <c r="G112" s="38"/>
      <c r="H112" s="38"/>
      <c r="I112" s="39"/>
      <c r="J112" s="42"/>
    </row>
    <row r="113" spans="1:10" x14ac:dyDescent="0.25">
      <c r="A113" s="34"/>
      <c r="B113" s="36"/>
      <c r="C113" s="41"/>
      <c r="D113" s="44"/>
      <c r="E113" s="44"/>
      <c r="F113" s="38"/>
      <c r="G113" s="38"/>
      <c r="H113" s="38"/>
      <c r="I113" s="39"/>
      <c r="J113" s="42"/>
    </row>
    <row r="114" spans="1:10" x14ac:dyDescent="0.25">
      <c r="A114" s="34"/>
      <c r="B114" s="36"/>
      <c r="C114" s="41"/>
      <c r="D114" s="44"/>
      <c r="E114" s="44"/>
      <c r="F114" s="38"/>
      <c r="G114" s="38"/>
      <c r="H114" s="38"/>
      <c r="I114" s="39"/>
      <c r="J114" s="42"/>
    </row>
    <row r="115" spans="1:10" x14ac:dyDescent="0.25">
      <c r="A115" s="34"/>
      <c r="B115" s="35"/>
      <c r="C115" s="41"/>
      <c r="D115" s="44"/>
      <c r="E115" s="44"/>
      <c r="F115" s="38"/>
      <c r="G115" s="38"/>
      <c r="H115" s="38"/>
      <c r="I115" s="39"/>
      <c r="J115" s="42"/>
    </row>
    <row r="116" spans="1:10" x14ac:dyDescent="0.25">
      <c r="A116" s="34"/>
      <c r="B116" s="43"/>
      <c r="C116" s="41"/>
      <c r="D116" s="44"/>
      <c r="E116" s="44"/>
      <c r="F116" s="38"/>
      <c r="G116" s="38"/>
      <c r="H116" s="38"/>
      <c r="I116" s="39"/>
      <c r="J116" s="42"/>
    </row>
    <row r="117" spans="1:10" x14ac:dyDescent="0.25">
      <c r="A117" s="34"/>
      <c r="B117" s="36"/>
      <c r="C117" s="41"/>
      <c r="D117" s="37"/>
      <c r="E117" s="37"/>
      <c r="F117" s="38"/>
      <c r="G117" s="38"/>
      <c r="H117" s="38"/>
      <c r="I117" s="39"/>
      <c r="J117" s="42"/>
    </row>
    <row r="118" spans="1:10" x14ac:dyDescent="0.25">
      <c r="A118" s="34"/>
      <c r="B118" s="36"/>
      <c r="C118" s="41"/>
      <c r="D118" s="37"/>
      <c r="E118" s="37"/>
      <c r="F118" s="38"/>
      <c r="G118" s="38"/>
      <c r="H118" s="38"/>
      <c r="I118" s="39"/>
      <c r="J118" s="42"/>
    </row>
    <row r="119" spans="1:10" x14ac:dyDescent="0.25">
      <c r="A119" s="34"/>
      <c r="B119" s="43"/>
      <c r="C119" s="41"/>
      <c r="D119" s="37"/>
      <c r="E119" s="37"/>
      <c r="F119" s="38"/>
      <c r="G119" s="38"/>
      <c r="H119" s="38"/>
      <c r="I119" s="39"/>
      <c r="J119" s="42"/>
    </row>
    <row r="120" spans="1:10" x14ac:dyDescent="0.25">
      <c r="A120" s="34"/>
      <c r="B120" s="35"/>
      <c r="C120" s="41"/>
      <c r="D120" s="37"/>
      <c r="E120" s="37"/>
      <c r="F120" s="38"/>
      <c r="G120" s="38"/>
      <c r="H120" s="38"/>
      <c r="I120" s="39"/>
      <c r="J120" s="42"/>
    </row>
    <row r="121" spans="1:10" x14ac:dyDescent="0.25">
      <c r="A121" s="34"/>
      <c r="B121" s="36"/>
      <c r="C121" s="41"/>
      <c r="D121" s="37"/>
      <c r="E121" s="37"/>
      <c r="F121" s="38"/>
      <c r="G121" s="38"/>
      <c r="H121" s="38"/>
      <c r="I121" s="39"/>
      <c r="J121" s="42"/>
    </row>
    <row r="122" spans="1:10" x14ac:dyDescent="0.25">
      <c r="A122" s="34"/>
      <c r="B122" s="43"/>
      <c r="C122" s="41"/>
      <c r="D122" s="37"/>
      <c r="E122" s="37"/>
      <c r="F122" s="38"/>
      <c r="G122" s="38"/>
      <c r="H122" s="38"/>
      <c r="I122" s="39"/>
      <c r="J122" s="42"/>
    </row>
    <row r="123" spans="1:10" x14ac:dyDescent="0.25">
      <c r="A123" s="34"/>
      <c r="B123" s="43"/>
      <c r="C123" s="41"/>
      <c r="D123" s="37"/>
      <c r="E123" s="37"/>
      <c r="F123" s="38"/>
      <c r="G123" s="38"/>
      <c r="H123" s="38"/>
      <c r="I123" s="39"/>
      <c r="J123" s="42"/>
    </row>
    <row r="124" spans="1:10" x14ac:dyDescent="0.25">
      <c r="A124" s="34"/>
      <c r="B124" s="36"/>
      <c r="C124" s="41"/>
      <c r="D124" s="37"/>
      <c r="E124" s="37"/>
      <c r="F124" s="38"/>
      <c r="G124" s="38"/>
      <c r="H124" s="38"/>
      <c r="I124" s="39"/>
      <c r="J124" s="42"/>
    </row>
    <row r="125" spans="1:10" x14ac:dyDescent="0.25">
      <c r="A125" s="34"/>
      <c r="B125" s="36"/>
      <c r="C125" s="41"/>
      <c r="D125" s="37"/>
      <c r="E125" s="37"/>
      <c r="F125" s="38"/>
      <c r="G125" s="38"/>
      <c r="H125" s="38"/>
      <c r="I125" s="39"/>
      <c r="J125" s="42"/>
    </row>
    <row r="126" spans="1:10" x14ac:dyDescent="0.25">
      <c r="A126" s="34"/>
      <c r="B126" s="36"/>
      <c r="C126" s="41"/>
      <c r="D126" s="37"/>
      <c r="E126" s="37"/>
      <c r="F126" s="38"/>
      <c r="G126" s="38"/>
      <c r="H126" s="38"/>
      <c r="I126" s="39"/>
      <c r="J126" s="42"/>
    </row>
    <row r="127" spans="1:10" x14ac:dyDescent="0.25">
      <c r="A127" s="34"/>
      <c r="B127" s="36"/>
      <c r="C127" s="41"/>
      <c r="D127" s="37"/>
      <c r="E127" s="37"/>
      <c r="F127" s="38"/>
      <c r="G127" s="38"/>
      <c r="H127" s="38"/>
      <c r="I127" s="39"/>
      <c r="J127" s="42"/>
    </row>
    <row r="128" spans="1:10" x14ac:dyDescent="0.25">
      <c r="A128" s="34"/>
      <c r="B128" s="36"/>
      <c r="C128" s="41"/>
      <c r="D128" s="37"/>
      <c r="E128" s="37"/>
      <c r="F128" s="38"/>
      <c r="G128" s="38"/>
      <c r="H128" s="38"/>
      <c r="I128" s="39"/>
      <c r="J128" s="42"/>
    </row>
    <row r="129" spans="1:10" x14ac:dyDescent="0.25">
      <c r="A129" s="34"/>
      <c r="B129" s="36"/>
      <c r="C129" s="41"/>
      <c r="D129" s="37"/>
      <c r="E129" s="37"/>
      <c r="F129" s="38"/>
      <c r="G129" s="38"/>
      <c r="H129" s="38"/>
      <c r="I129" s="39"/>
      <c r="J129" s="42"/>
    </row>
    <row r="130" spans="1:10" x14ac:dyDescent="0.25">
      <c r="A130" s="34"/>
      <c r="B130" s="36"/>
      <c r="C130" s="41"/>
      <c r="D130" s="37"/>
      <c r="E130" s="37"/>
      <c r="F130" s="38"/>
      <c r="G130" s="38"/>
      <c r="H130" s="38"/>
      <c r="I130" s="39"/>
      <c r="J130" s="42"/>
    </row>
    <row r="131" spans="1:10" x14ac:dyDescent="0.25">
      <c r="A131" s="34"/>
      <c r="B131" s="36"/>
      <c r="C131" s="41"/>
      <c r="D131" s="37"/>
      <c r="E131" s="37"/>
      <c r="F131" s="38"/>
      <c r="G131" s="38"/>
      <c r="H131" s="38"/>
      <c r="I131" s="39"/>
      <c r="J131" s="42"/>
    </row>
    <row r="132" spans="1:10" x14ac:dyDescent="0.25">
      <c r="A132" s="34"/>
      <c r="B132" s="43"/>
      <c r="C132" s="41"/>
      <c r="D132" s="37"/>
      <c r="E132" s="37"/>
      <c r="F132" s="38"/>
      <c r="G132" s="38"/>
      <c r="H132" s="38"/>
      <c r="I132" s="39"/>
      <c r="J132" s="42"/>
    </row>
    <row r="133" spans="1:10" x14ac:dyDescent="0.25">
      <c r="A133" s="34"/>
      <c r="B133" s="43"/>
      <c r="C133" s="41"/>
      <c r="D133" s="37"/>
      <c r="E133" s="37"/>
      <c r="F133" s="38"/>
      <c r="G133" s="38"/>
      <c r="H133" s="38"/>
      <c r="I133" s="39"/>
      <c r="J133" s="42"/>
    </row>
    <row r="134" spans="1:10" x14ac:dyDescent="0.25">
      <c r="A134" s="34"/>
      <c r="B134" s="36"/>
      <c r="C134" s="41"/>
      <c r="D134" s="37"/>
      <c r="E134" s="37"/>
      <c r="F134" s="38"/>
      <c r="G134" s="38"/>
      <c r="H134" s="38"/>
      <c r="I134" s="39"/>
      <c r="J134" s="42"/>
    </row>
    <row r="135" spans="1:10" x14ac:dyDescent="0.25">
      <c r="A135" s="34"/>
      <c r="B135" s="36"/>
      <c r="C135" s="41"/>
      <c r="D135" s="37"/>
      <c r="E135" s="37"/>
      <c r="F135" s="38"/>
      <c r="G135" s="38"/>
      <c r="H135" s="38"/>
      <c r="I135" s="39"/>
      <c r="J135" s="42"/>
    </row>
    <row r="136" spans="1:10" x14ac:dyDescent="0.25">
      <c r="A136" s="34"/>
      <c r="B136" s="43"/>
      <c r="C136" s="41"/>
      <c r="D136" s="37"/>
      <c r="E136" s="37"/>
      <c r="F136" s="38"/>
      <c r="G136" s="38"/>
      <c r="H136" s="38"/>
      <c r="I136" s="39"/>
      <c r="J136" s="42"/>
    </row>
    <row r="137" spans="1:10" x14ac:dyDescent="0.25">
      <c r="A137" s="34"/>
      <c r="B137" s="35"/>
      <c r="C137" s="41"/>
      <c r="D137" s="37"/>
      <c r="E137" s="37"/>
      <c r="F137" s="38"/>
      <c r="G137" s="38"/>
      <c r="H137" s="38"/>
      <c r="I137" s="39"/>
      <c r="J137" s="42"/>
    </row>
    <row r="138" spans="1:10" x14ac:dyDescent="0.25">
      <c r="A138" s="34"/>
      <c r="B138" s="36"/>
      <c r="C138" s="41"/>
      <c r="D138" s="37"/>
      <c r="E138" s="37"/>
      <c r="F138" s="38"/>
      <c r="G138" s="38"/>
      <c r="H138" s="38"/>
      <c r="I138" s="39"/>
      <c r="J138" s="42"/>
    </row>
    <row r="139" spans="1:10" x14ac:dyDescent="0.25">
      <c r="A139" s="34"/>
      <c r="B139" s="35"/>
      <c r="C139" s="41"/>
      <c r="D139" s="37"/>
      <c r="E139" s="37"/>
      <c r="F139" s="38"/>
      <c r="G139" s="38"/>
      <c r="H139" s="38"/>
      <c r="I139" s="39"/>
      <c r="J139" s="42"/>
    </row>
    <row r="140" spans="1:10" x14ac:dyDescent="0.25">
      <c r="A140" s="34"/>
      <c r="B140" s="36"/>
      <c r="C140" s="41"/>
      <c r="D140" s="37"/>
      <c r="E140" s="37"/>
      <c r="F140" s="38"/>
      <c r="G140" s="38"/>
      <c r="H140" s="38"/>
      <c r="I140" s="39"/>
      <c r="J140" s="42"/>
    </row>
    <row r="141" spans="1:10" x14ac:dyDescent="0.25">
      <c r="A141" s="34"/>
      <c r="B141" s="43"/>
      <c r="C141" s="41"/>
      <c r="D141" s="37"/>
      <c r="E141" s="37"/>
      <c r="F141" s="38"/>
      <c r="G141" s="38"/>
      <c r="H141" s="38"/>
      <c r="I141" s="39"/>
      <c r="J141" s="42"/>
    </row>
    <row r="142" spans="1:10" x14ac:dyDescent="0.25">
      <c r="A142" s="34"/>
      <c r="B142" s="36"/>
      <c r="C142" s="41"/>
      <c r="D142" s="37"/>
      <c r="E142" s="37"/>
      <c r="F142" s="38"/>
      <c r="G142" s="38"/>
      <c r="H142" s="38"/>
      <c r="I142" s="39"/>
      <c r="J142" s="42"/>
    </row>
    <row r="143" spans="1:10" x14ac:dyDescent="0.25">
      <c r="A143" s="34"/>
      <c r="B143" s="36"/>
      <c r="C143" s="41"/>
      <c r="D143" s="37"/>
      <c r="E143" s="37"/>
      <c r="F143" s="38"/>
      <c r="G143" s="38"/>
      <c r="H143" s="38"/>
      <c r="I143" s="39"/>
      <c r="J143" s="42"/>
    </row>
    <row r="144" spans="1:10" x14ac:dyDescent="0.25">
      <c r="A144" s="34"/>
      <c r="B144" s="43"/>
      <c r="C144" s="41"/>
      <c r="D144" s="37"/>
      <c r="E144" s="37"/>
      <c r="F144" s="38"/>
      <c r="G144" s="38"/>
      <c r="H144" s="38"/>
      <c r="I144" s="39"/>
      <c r="J144" s="42"/>
    </row>
    <row r="145" spans="1:10" x14ac:dyDescent="0.25">
      <c r="A145" s="34"/>
      <c r="B145" s="43"/>
      <c r="C145" s="41"/>
      <c r="D145" s="37"/>
      <c r="E145" s="37"/>
      <c r="F145" s="38"/>
      <c r="G145" s="38"/>
      <c r="H145" s="38"/>
      <c r="I145" s="39"/>
      <c r="J145" s="42"/>
    </row>
    <row r="146" spans="1:10" x14ac:dyDescent="0.25">
      <c r="A146" s="34"/>
      <c r="B146" s="35"/>
      <c r="C146" s="41"/>
      <c r="D146" s="37"/>
      <c r="E146" s="37"/>
      <c r="F146" s="38"/>
      <c r="G146" s="38"/>
      <c r="H146" s="38"/>
      <c r="I146" s="39"/>
      <c r="J146" s="42"/>
    </row>
    <row r="147" spans="1:10" x14ac:dyDescent="0.25">
      <c r="A147" s="34"/>
      <c r="B147" s="35"/>
      <c r="C147" s="41"/>
      <c r="D147" s="37"/>
      <c r="E147" s="37"/>
      <c r="F147" s="38"/>
      <c r="G147" s="38"/>
      <c r="H147" s="38"/>
      <c r="I147" s="39"/>
      <c r="J147" s="42"/>
    </row>
    <row r="148" spans="1:10" x14ac:dyDescent="0.25">
      <c r="A148" s="34"/>
      <c r="B148" s="36"/>
      <c r="C148" s="41"/>
      <c r="D148" s="37"/>
      <c r="E148" s="37"/>
      <c r="F148" s="38"/>
      <c r="G148" s="38"/>
      <c r="H148" s="38"/>
      <c r="I148" s="39"/>
      <c r="J148" s="42"/>
    </row>
    <row r="149" spans="1:10" x14ac:dyDescent="0.25">
      <c r="A149" s="34"/>
      <c r="B149" s="35"/>
      <c r="C149" s="41"/>
      <c r="D149" s="37"/>
      <c r="E149" s="37"/>
      <c r="F149" s="38"/>
      <c r="G149" s="38"/>
      <c r="H149" s="38"/>
      <c r="I149" s="39"/>
      <c r="J149" s="42"/>
    </row>
    <row r="150" spans="1:10" x14ac:dyDescent="0.25">
      <c r="A150" s="34"/>
      <c r="B150" s="35"/>
      <c r="C150" s="41"/>
      <c r="D150" s="37"/>
      <c r="E150" s="37"/>
      <c r="F150" s="38"/>
      <c r="G150" s="38"/>
      <c r="H150" s="38"/>
      <c r="I150" s="39"/>
      <c r="J150" s="42"/>
    </row>
    <row r="151" spans="1:10" ht="15.75" thickBot="1" x14ac:dyDescent="0.3"/>
    <row r="152" spans="1:10" ht="15.75" thickBot="1" x14ac:dyDescent="0.3">
      <c r="D152" s="45">
        <f>SUM(D6:D151)</f>
        <v>36495.359999999993</v>
      </c>
      <c r="E152" s="46">
        <f>SUM(E6:E151)</f>
        <v>39612894.499999993</v>
      </c>
    </row>
    <row r="153" spans="1:10" x14ac:dyDescent="0.25">
      <c r="G153" s="47"/>
    </row>
    <row r="154" spans="1:10" x14ac:dyDescent="0.25">
      <c r="H154" s="47"/>
    </row>
  </sheetData>
  <printOptions horizontalCentered="1"/>
  <pageMargins left="0.7" right="0.7" top="0.75" bottom="0.75" header="0.3" footer="0.3"/>
  <pageSetup paperSize="17" scale="52" fitToHeight="0" orientation="portrait" r:id="rId1"/>
  <headerFooter alignWithMargins="0">
    <oddFooter>&amp;F&amp;RPage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55F9-B039-4B74-B927-C350FE4B6CBC}">
  <dimension ref="A1:Q11"/>
  <sheetViews>
    <sheetView workbookViewId="0">
      <selection activeCell="D11" sqref="D11"/>
    </sheetView>
  </sheetViews>
  <sheetFormatPr defaultRowHeight="15" x14ac:dyDescent="0.25"/>
  <cols>
    <col min="1" max="1" width="19.42578125" customWidth="1"/>
    <col min="2" max="2" width="13.5703125" customWidth="1"/>
    <col min="3" max="3" width="16.140625" customWidth="1"/>
    <col min="4" max="4" width="20.5703125" customWidth="1"/>
    <col min="5" max="5" width="37.85546875" customWidth="1"/>
    <col min="6" max="6" width="21" customWidth="1"/>
    <col min="7" max="17" width="12.7109375" customWidth="1"/>
  </cols>
  <sheetData>
    <row r="1" spans="1:17" s="1" customFormat="1" ht="18.75" x14ac:dyDescent="0.3">
      <c r="A1" s="76" t="s">
        <v>96</v>
      </c>
      <c r="C1" s="77"/>
      <c r="E1" s="77"/>
      <c r="G1" s="78"/>
      <c r="H1" s="78"/>
      <c r="P1" s="77"/>
      <c r="Q1" s="79"/>
    </row>
    <row r="2" spans="1:17" s="1" customFormat="1" ht="18" x14ac:dyDescent="0.25">
      <c r="B2" s="77"/>
      <c r="C2" s="77"/>
      <c r="E2" s="77"/>
      <c r="G2" s="78"/>
      <c r="H2" s="78"/>
      <c r="L2" s="80"/>
      <c r="M2" s="80"/>
      <c r="O2" s="81"/>
      <c r="P2" s="77"/>
      <c r="Q2" s="79"/>
    </row>
    <row r="3" spans="1:17" s="82" customFormat="1" ht="63" x14ac:dyDescent="0.25">
      <c r="A3" s="72" t="s">
        <v>85</v>
      </c>
      <c r="B3" s="72" t="s">
        <v>68</v>
      </c>
      <c r="C3" s="83" t="s">
        <v>97</v>
      </c>
      <c r="D3" s="83" t="s">
        <v>98</v>
      </c>
      <c r="E3" s="72" t="s">
        <v>100</v>
      </c>
      <c r="F3" s="72" t="s">
        <v>101</v>
      </c>
      <c r="G3" s="72" t="s">
        <v>102</v>
      </c>
      <c r="H3" s="72" t="s">
        <v>103</v>
      </c>
      <c r="I3" s="84" t="s">
        <v>104</v>
      </c>
    </row>
    <row r="4" spans="1:17" ht="15.75" x14ac:dyDescent="0.25">
      <c r="A4" s="85" t="s">
        <v>99</v>
      </c>
      <c r="B4" s="86" t="s">
        <v>19</v>
      </c>
      <c r="C4" s="90">
        <v>4.0823225801379381</v>
      </c>
      <c r="D4" s="90">
        <v>31000</v>
      </c>
      <c r="E4" s="87" t="s">
        <v>105</v>
      </c>
      <c r="F4" s="136">
        <v>123600</v>
      </c>
      <c r="G4" s="136">
        <v>16068</v>
      </c>
      <c r="H4" s="136">
        <f t="shared" ref="H4:H9" si="0">SUM(F4:G4)</f>
        <v>139668</v>
      </c>
      <c r="I4" s="139">
        <v>44174</v>
      </c>
    </row>
    <row r="5" spans="1:17" ht="15.75" x14ac:dyDescent="0.25">
      <c r="A5" s="85" t="s">
        <v>99</v>
      </c>
      <c r="B5" s="86" t="s">
        <v>19</v>
      </c>
      <c r="C5" s="90">
        <v>1.975317377486099</v>
      </c>
      <c r="D5" s="90">
        <v>15000</v>
      </c>
      <c r="E5" s="87" t="s">
        <v>105</v>
      </c>
      <c r="F5" s="137"/>
      <c r="G5" s="137"/>
      <c r="H5" s="137"/>
      <c r="I5" s="140"/>
    </row>
    <row r="6" spans="1:17" ht="15.75" x14ac:dyDescent="0.25">
      <c r="A6" s="85" t="s">
        <v>99</v>
      </c>
      <c r="B6" s="86" t="s">
        <v>19</v>
      </c>
      <c r="C6" s="90">
        <v>10.930089488756416</v>
      </c>
      <c r="D6" s="90">
        <v>83000</v>
      </c>
      <c r="E6" s="87" t="s">
        <v>105</v>
      </c>
      <c r="F6" s="137"/>
      <c r="G6" s="137"/>
      <c r="H6" s="137"/>
      <c r="I6" s="140"/>
    </row>
    <row r="7" spans="1:17" ht="15.75" x14ac:dyDescent="0.25">
      <c r="A7" s="85" t="s">
        <v>99</v>
      </c>
      <c r="B7" s="86" t="s">
        <v>48</v>
      </c>
      <c r="C7" s="90">
        <v>52</v>
      </c>
      <c r="D7" s="90">
        <v>236000</v>
      </c>
      <c r="E7" s="87" t="s">
        <v>105</v>
      </c>
      <c r="F7" s="137"/>
      <c r="G7" s="137"/>
      <c r="H7" s="137"/>
      <c r="I7" s="140"/>
    </row>
    <row r="8" spans="1:17" ht="15.75" x14ac:dyDescent="0.25">
      <c r="A8" s="85" t="s">
        <v>99</v>
      </c>
      <c r="B8" s="86" t="s">
        <v>19</v>
      </c>
      <c r="C8" s="90">
        <v>0.26337565033147986</v>
      </c>
      <c r="D8" s="90">
        <v>2000</v>
      </c>
      <c r="E8" s="87" t="s">
        <v>105</v>
      </c>
      <c r="F8" s="138"/>
      <c r="G8" s="138"/>
      <c r="H8" s="138"/>
      <c r="I8" s="141"/>
    </row>
    <row r="9" spans="1:17" ht="15.75" x14ac:dyDescent="0.25">
      <c r="A9" s="85" t="s">
        <v>99</v>
      </c>
      <c r="B9" s="86" t="s">
        <v>52</v>
      </c>
      <c r="C9" s="90">
        <v>103.72</v>
      </c>
      <c r="D9" s="90">
        <v>761000</v>
      </c>
      <c r="E9" s="87" t="s">
        <v>106</v>
      </c>
      <c r="F9" s="88">
        <v>100000</v>
      </c>
      <c r="G9" s="88">
        <v>13000</v>
      </c>
      <c r="H9" s="88">
        <f t="shared" si="0"/>
        <v>113000</v>
      </c>
      <c r="I9" s="89">
        <v>43901</v>
      </c>
    </row>
    <row r="10" spans="1:17" x14ac:dyDescent="0.25">
      <c r="C10" s="2"/>
    </row>
    <row r="11" spans="1:17" x14ac:dyDescent="0.25">
      <c r="B11" s="91" t="s">
        <v>107</v>
      </c>
      <c r="C11" s="2">
        <f>SUM(C4:C9)</f>
        <v>172.97110509671194</v>
      </c>
      <c r="D11" s="2">
        <f>SUM(D4:D9)</f>
        <v>1128000</v>
      </c>
    </row>
  </sheetData>
  <mergeCells count="4">
    <mergeCell ref="F4:F8"/>
    <mergeCell ref="G4:G8"/>
    <mergeCell ref="H4:H8"/>
    <mergeCell ref="I4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59F7-AC2B-4F0F-9996-5BCEDDEA5607}">
  <dimension ref="A1:O35"/>
  <sheetViews>
    <sheetView tabSelected="1" zoomScale="85" zoomScaleNormal="85" workbookViewId="0">
      <selection activeCell="L3" sqref="L3"/>
    </sheetView>
  </sheetViews>
  <sheetFormatPr defaultRowHeight="14.25" x14ac:dyDescent="0.2"/>
  <cols>
    <col min="1" max="1" width="17" style="55" customWidth="1"/>
    <col min="2" max="2" width="17.28515625" style="51" customWidth="1"/>
    <col min="3" max="3" width="27" style="51" customWidth="1"/>
    <col min="4" max="4" width="16.7109375" style="51" customWidth="1"/>
    <col min="5" max="5" width="22.28515625" style="51" customWidth="1"/>
    <col min="6" max="6" width="30.42578125" style="51" customWidth="1"/>
    <col min="7" max="7" width="21.5703125" style="51" customWidth="1"/>
    <col min="8" max="8" width="12" style="51" customWidth="1"/>
    <col min="9" max="11" width="13.42578125" style="51" customWidth="1"/>
    <col min="12" max="12" width="15" style="51" bestFit="1" customWidth="1"/>
    <col min="13" max="14" width="16.140625" style="51" bestFit="1" customWidth="1"/>
    <col min="15" max="15" width="14.140625" style="54" customWidth="1"/>
    <col min="16" max="16384" width="9.140625" style="51"/>
  </cols>
  <sheetData>
    <row r="1" spans="1:15" ht="23.25" x14ac:dyDescent="0.35">
      <c r="A1" s="50" t="s">
        <v>84</v>
      </c>
      <c r="C1" s="52"/>
      <c r="D1" s="53"/>
    </row>
    <row r="2" spans="1:15" ht="18" x14ac:dyDescent="0.25">
      <c r="C2" s="53"/>
      <c r="D2" s="53"/>
      <c r="H2" s="56"/>
      <c r="I2" s="56"/>
      <c r="J2" s="56"/>
      <c r="K2" s="56"/>
    </row>
    <row r="3" spans="1:15" s="59" customFormat="1" ht="129" customHeight="1" x14ac:dyDescent="0.25">
      <c r="A3" s="73" t="s">
        <v>85</v>
      </c>
      <c r="B3" s="73" t="s">
        <v>68</v>
      </c>
      <c r="C3" s="73" t="s">
        <v>86</v>
      </c>
      <c r="D3" s="74" t="s">
        <v>87</v>
      </c>
      <c r="E3" s="74" t="s">
        <v>88</v>
      </c>
      <c r="F3" s="74" t="s">
        <v>89</v>
      </c>
      <c r="G3" s="74" t="s">
        <v>90</v>
      </c>
      <c r="H3" s="74" t="s">
        <v>91</v>
      </c>
      <c r="I3" s="73" t="s">
        <v>92</v>
      </c>
      <c r="J3" s="75" t="s">
        <v>93</v>
      </c>
    </row>
    <row r="4" spans="1:15" ht="15" x14ac:dyDescent="0.2">
      <c r="A4" s="60" t="s">
        <v>94</v>
      </c>
      <c r="B4" s="61" t="s">
        <v>48</v>
      </c>
      <c r="C4" s="62">
        <v>128.80000000000001</v>
      </c>
      <c r="D4" s="63">
        <v>425359</v>
      </c>
      <c r="E4" s="64"/>
      <c r="F4" s="65">
        <v>915000</v>
      </c>
      <c r="G4" s="66">
        <f>51520+6050</f>
        <v>57570</v>
      </c>
      <c r="H4" s="67">
        <v>7484.1</v>
      </c>
      <c r="I4" s="67">
        <f>SUM(G4:H4)</f>
        <v>65054.1</v>
      </c>
      <c r="J4" s="68">
        <v>43886</v>
      </c>
      <c r="K4" s="59"/>
      <c r="O4" s="51"/>
    </row>
    <row r="5" spans="1:15" ht="15" x14ac:dyDescent="0.2">
      <c r="A5" s="60" t="s">
        <v>94</v>
      </c>
      <c r="B5" s="61" t="s">
        <v>48</v>
      </c>
      <c r="C5" s="69" t="s">
        <v>26</v>
      </c>
      <c r="D5" s="69" t="s">
        <v>26</v>
      </c>
      <c r="E5" s="69" t="s">
        <v>26</v>
      </c>
      <c r="F5" s="69" t="s">
        <v>26</v>
      </c>
      <c r="G5" s="66">
        <f>6440</f>
        <v>6440</v>
      </c>
      <c r="H5" s="67">
        <v>837.2</v>
      </c>
      <c r="I5" s="67">
        <f>SUM(G5:H5)</f>
        <v>7277.2</v>
      </c>
      <c r="J5" s="68">
        <v>43886</v>
      </c>
      <c r="K5" s="59"/>
      <c r="O5" s="51"/>
    </row>
    <row r="6" spans="1:15" x14ac:dyDescent="0.2">
      <c r="A6" s="51"/>
      <c r="B6" s="166"/>
      <c r="C6" s="167"/>
      <c r="D6" s="167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ht="15" x14ac:dyDescent="0.25">
      <c r="A7" s="51"/>
      <c r="B7" s="168" t="s">
        <v>95</v>
      </c>
      <c r="C7" s="169">
        <f>SUM(C4:C5)</f>
        <v>128.80000000000001</v>
      </c>
      <c r="D7" s="169">
        <f>SUM(D4:D5)</f>
        <v>425359</v>
      </c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</row>
    <row r="8" spans="1:15" x14ac:dyDescent="0.2">
      <c r="A8" s="5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1"/>
    </row>
    <row r="9" spans="1:15" x14ac:dyDescent="0.2">
      <c r="A9" s="5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1:15" x14ac:dyDescent="0.2">
      <c r="A10" s="5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</row>
    <row r="11" spans="1:15" x14ac:dyDescent="0.2">
      <c r="A11" s="5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x14ac:dyDescent="0.2">
      <c r="A12" s="5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</row>
    <row r="13" spans="1:15" x14ac:dyDescent="0.2">
      <c r="A13" s="5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</row>
    <row r="14" spans="1:15" x14ac:dyDescent="0.2">
      <c r="A14" s="51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x14ac:dyDescent="0.2">
      <c r="A15" s="51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1"/>
    </row>
    <row r="16" spans="1:15" x14ac:dyDescent="0.2">
      <c r="A16" s="51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</row>
    <row r="17" spans="3:15" s="51" customFormat="1" x14ac:dyDescent="0.2"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</row>
    <row r="18" spans="3:15" s="51" customFormat="1" x14ac:dyDescent="0.2"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</row>
    <row r="19" spans="3:15" s="51" customFormat="1" x14ac:dyDescent="0.2"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</row>
    <row r="20" spans="3:15" s="51" customFormat="1" x14ac:dyDescent="0.2"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3:15" s="51" customFormat="1" x14ac:dyDescent="0.2"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</row>
    <row r="22" spans="3:15" s="51" customFormat="1" x14ac:dyDescent="0.2"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1"/>
    </row>
    <row r="23" spans="3:15" s="51" customFormat="1" x14ac:dyDescent="0.2"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1"/>
    </row>
    <row r="24" spans="3:15" s="51" customFormat="1" x14ac:dyDescent="0.2"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1"/>
    </row>
    <row r="25" spans="3:15" s="51" customFormat="1" x14ac:dyDescent="0.2"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</row>
    <row r="26" spans="3:15" s="51" customFormat="1" x14ac:dyDescent="0.2"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</row>
    <row r="27" spans="3:15" s="51" customFormat="1" x14ac:dyDescent="0.2"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3:15" s="51" customFormat="1" x14ac:dyDescent="0.2"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</row>
    <row r="29" spans="3:15" s="51" customFormat="1" x14ac:dyDescent="0.2"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</row>
    <row r="30" spans="3:15" s="51" customFormat="1" x14ac:dyDescent="0.2"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/>
    </row>
    <row r="31" spans="3:15" s="51" customFormat="1" x14ac:dyDescent="0.2"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</row>
    <row r="32" spans="3:15" s="51" customFormat="1" x14ac:dyDescent="0.2"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</row>
    <row r="33" spans="3:15" s="51" customFormat="1" x14ac:dyDescent="0.2"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</row>
    <row r="34" spans="3:15" s="51" customFormat="1" x14ac:dyDescent="0.2"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1"/>
    </row>
    <row r="35" spans="3:15" s="51" customFormat="1" x14ac:dyDescent="0.2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7887E-A480-43C3-8772-C66778909526}">
  <dimension ref="A1:U35"/>
  <sheetViews>
    <sheetView zoomScaleNormal="100" workbookViewId="0">
      <pane xSplit="1" topLeftCell="M1" activePane="topRight" state="frozen"/>
      <selection pane="topRight" activeCell="P33" sqref="P33:P34"/>
    </sheetView>
  </sheetViews>
  <sheetFormatPr defaultRowHeight="15" x14ac:dyDescent="0.25"/>
  <cols>
    <col min="1" max="1" width="72.85546875" style="145" customWidth="1"/>
    <col min="2" max="9" width="11.85546875" style="145" customWidth="1"/>
    <col min="10" max="10" width="11.85546875" style="156" customWidth="1"/>
    <col min="11" max="11" width="12.5703125" style="144" customWidth="1"/>
    <col min="12" max="12" width="12.5703125" style="144" bestFit="1" customWidth="1"/>
    <col min="13" max="13" width="12.5703125" style="144" customWidth="1"/>
    <col min="14" max="14" width="12.7109375" style="144" customWidth="1"/>
    <col min="15" max="15" width="12.5703125" style="145" customWidth="1"/>
    <col min="16" max="16" width="12.5703125" style="145" bestFit="1" customWidth="1"/>
    <col min="17" max="17" width="12.5703125" style="145" customWidth="1"/>
    <col min="18" max="18" width="12.5703125" style="145" bestFit="1" customWidth="1"/>
    <col min="19" max="20" width="12.5703125" style="145" customWidth="1"/>
    <col min="21" max="21" width="15.7109375" style="145" customWidth="1"/>
    <col min="22" max="16384" width="9.140625" style="145"/>
  </cols>
  <sheetData>
    <row r="1" spans="1:21" x14ac:dyDescent="0.25">
      <c r="A1" s="142" t="s">
        <v>108</v>
      </c>
      <c r="B1" s="142"/>
      <c r="C1" s="142"/>
      <c r="D1" s="142"/>
      <c r="E1" s="142"/>
      <c r="F1" s="142"/>
      <c r="G1" s="142"/>
      <c r="H1" s="142"/>
      <c r="I1" s="142"/>
      <c r="J1" s="143"/>
    </row>
    <row r="2" spans="1:21" ht="60" x14ac:dyDescent="0.25">
      <c r="B2" s="133" t="s">
        <v>1</v>
      </c>
      <c r="C2" s="134"/>
      <c r="D2" s="135"/>
      <c r="E2" s="133" t="s">
        <v>2</v>
      </c>
      <c r="F2" s="134"/>
      <c r="G2" s="135"/>
      <c r="H2" s="133" t="s">
        <v>3</v>
      </c>
      <c r="I2" s="134"/>
      <c r="J2" s="135"/>
      <c r="K2" s="3" t="s">
        <v>109</v>
      </c>
      <c r="L2" s="3" t="s">
        <v>110</v>
      </c>
      <c r="M2" s="3" t="s">
        <v>111</v>
      </c>
      <c r="N2" s="3" t="s">
        <v>112</v>
      </c>
      <c r="O2" s="3" t="s">
        <v>111</v>
      </c>
      <c r="P2" s="3" t="s">
        <v>113</v>
      </c>
      <c r="Q2" s="3" t="s">
        <v>114</v>
      </c>
      <c r="R2" s="3" t="s">
        <v>115</v>
      </c>
      <c r="S2" s="3" t="s">
        <v>116</v>
      </c>
      <c r="T2" s="147" t="s">
        <v>13</v>
      </c>
      <c r="U2" s="147" t="s">
        <v>14</v>
      </c>
    </row>
    <row r="3" spans="1:21" ht="15.75" x14ac:dyDescent="0.25">
      <c r="A3" s="49" t="s">
        <v>117</v>
      </c>
      <c r="B3" s="48" t="s">
        <v>16</v>
      </c>
      <c r="C3" s="49" t="s">
        <v>17</v>
      </c>
      <c r="D3" s="10" t="s">
        <v>18</v>
      </c>
      <c r="E3" s="48" t="s">
        <v>16</v>
      </c>
      <c r="F3" s="49" t="s">
        <v>17</v>
      </c>
      <c r="G3" s="10" t="s">
        <v>18</v>
      </c>
      <c r="H3" s="48" t="s">
        <v>16</v>
      </c>
      <c r="I3" s="49" t="s">
        <v>17</v>
      </c>
      <c r="J3" s="10" t="s">
        <v>18</v>
      </c>
      <c r="K3" s="4" t="s">
        <v>19</v>
      </c>
      <c r="L3" s="4" t="s">
        <v>19</v>
      </c>
      <c r="M3" s="4" t="s">
        <v>20</v>
      </c>
      <c r="N3" s="4" t="s">
        <v>20</v>
      </c>
      <c r="O3" s="4" t="s">
        <v>21</v>
      </c>
      <c r="P3" s="4" t="s">
        <v>21</v>
      </c>
      <c r="Q3" s="5" t="s">
        <v>22</v>
      </c>
      <c r="R3" s="5" t="s">
        <v>22</v>
      </c>
      <c r="S3" s="5" t="s">
        <v>23</v>
      </c>
      <c r="T3" s="148" t="s">
        <v>24</v>
      </c>
      <c r="U3" s="148" t="s">
        <v>24</v>
      </c>
    </row>
    <row r="4" spans="1:21" ht="15.75" x14ac:dyDescent="0.25">
      <c r="A4" s="145" t="s">
        <v>25</v>
      </c>
      <c r="B4" s="11" t="s">
        <v>26</v>
      </c>
      <c r="C4" s="12" t="s">
        <v>26</v>
      </c>
      <c r="D4" s="13"/>
      <c r="E4" s="11" t="s">
        <v>26</v>
      </c>
      <c r="F4" s="12" t="s">
        <v>26</v>
      </c>
      <c r="G4" s="12" t="s">
        <v>26</v>
      </c>
      <c r="H4" s="11" t="s">
        <v>26</v>
      </c>
      <c r="I4" s="12" t="s">
        <v>26</v>
      </c>
      <c r="J4" s="14">
        <v>1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1817000</v>
      </c>
      <c r="R4" s="6">
        <v>1817000</v>
      </c>
      <c r="S4" s="6"/>
      <c r="T4" s="149">
        <f t="shared" ref="T4:T10" si="0">Q4+O4+M4+K4</f>
        <v>1817000</v>
      </c>
      <c r="U4" s="149">
        <f t="shared" ref="U4:U10" si="1">P4+N4+L4+R4+S4</f>
        <v>1817000</v>
      </c>
    </row>
    <row r="5" spans="1:21" ht="15.75" x14ac:dyDescent="0.25">
      <c r="A5" s="145" t="s">
        <v>28</v>
      </c>
      <c r="B5" s="15">
        <f>91.6355578179611/100</f>
        <v>0.916355578179611</v>
      </c>
      <c r="C5" s="16">
        <f>99.5902617195912/100</f>
        <v>0.995902617195912</v>
      </c>
      <c r="D5" s="14">
        <f t="shared" ref="D5:D10" si="2">B5*C5</f>
        <v>0.91260091859114778</v>
      </c>
      <c r="E5" s="15">
        <f>88.4077753593972/100</f>
        <v>0.88407775359397212</v>
      </c>
      <c r="F5" s="16">
        <f>101.628940905675/100</f>
        <v>1.01628940905675</v>
      </c>
      <c r="G5" s="14">
        <f t="shared" ref="G5:G10" si="3">E5*F5</f>
        <v>0.89847885776023695</v>
      </c>
      <c r="H5" s="15">
        <f>95.4217090994883/100</f>
        <v>0.95421709099488294</v>
      </c>
      <c r="I5" s="16">
        <f>97.4620441443042/100</f>
        <v>0.97462044144304205</v>
      </c>
      <c r="J5" s="14">
        <f t="shared" ref="J5" si="4">H5*I5</f>
        <v>0.92999948245792829</v>
      </c>
      <c r="K5" s="6">
        <v>221507</v>
      </c>
      <c r="L5" s="6">
        <v>206001.3953608083</v>
      </c>
      <c r="M5" s="6">
        <v>62668</v>
      </c>
      <c r="N5" s="6">
        <v>58281.207566673445</v>
      </c>
      <c r="O5" s="6">
        <v>4440578</v>
      </c>
      <c r="P5" s="6">
        <v>4129735.241814062</v>
      </c>
      <c r="Q5" s="6">
        <v>554624</v>
      </c>
      <c r="R5" s="6">
        <v>515800.03295874601</v>
      </c>
      <c r="S5" s="6">
        <v>0</v>
      </c>
      <c r="T5" s="149">
        <f t="shared" si="0"/>
        <v>5279377</v>
      </c>
      <c r="U5" s="149">
        <f t="shared" si="1"/>
        <v>4909817.8777002897</v>
      </c>
    </row>
    <row r="6" spans="1:21" ht="15.75" x14ac:dyDescent="0.25">
      <c r="A6" s="145" t="s">
        <v>29</v>
      </c>
      <c r="B6" s="15">
        <f>94.1287856782451/100</f>
        <v>0.94128785678245097</v>
      </c>
      <c r="C6" s="16">
        <f>100/100</f>
        <v>1</v>
      </c>
      <c r="D6" s="14">
        <f t="shared" si="2"/>
        <v>0.94128785678245097</v>
      </c>
      <c r="E6" s="15">
        <f>94.12878905157/100</f>
        <v>0.94128789051569994</v>
      </c>
      <c r="F6" s="16">
        <f>100/100</f>
        <v>1</v>
      </c>
      <c r="G6" s="14">
        <f t="shared" si="3"/>
        <v>0.94128789051569994</v>
      </c>
      <c r="H6" s="18" t="s">
        <v>26</v>
      </c>
      <c r="I6" s="19" t="s">
        <v>26</v>
      </c>
      <c r="J6" s="17" t="s">
        <v>26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/>
      <c r="T6" s="149">
        <f t="shared" si="0"/>
        <v>0</v>
      </c>
      <c r="U6" s="149">
        <f t="shared" si="1"/>
        <v>0</v>
      </c>
    </row>
    <row r="7" spans="1:21" ht="15.75" x14ac:dyDescent="0.25">
      <c r="A7" s="145" t="s">
        <v>30</v>
      </c>
      <c r="B7" s="15">
        <f>71.5790475094142/100</f>
        <v>0.71579047509414195</v>
      </c>
      <c r="C7" s="16">
        <f>94.3521526442189/100</f>
        <v>0.94352152644218901</v>
      </c>
      <c r="D7" s="14">
        <f t="shared" si="2"/>
        <v>0.67536372167360448</v>
      </c>
      <c r="E7" s="15">
        <f>71.5790479667689/100</f>
        <v>0.71579047966768894</v>
      </c>
      <c r="F7" s="16">
        <f>94.3453044054252/100</f>
        <v>0.94345304405425201</v>
      </c>
      <c r="G7" s="14">
        <f t="shared" si="3"/>
        <v>0.67531470694753426</v>
      </c>
      <c r="H7" s="15">
        <f>71.5817694369973/100</f>
        <v>0.715817694369973</v>
      </c>
      <c r="I7" s="16">
        <f>95.3222222222222/100</f>
        <v>0.95322222222222197</v>
      </c>
      <c r="J7" s="14">
        <f t="shared" ref="J7:J8" si="5">H7*I7</f>
        <v>0.68233333333333301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/>
      <c r="T7" s="149">
        <f t="shared" si="0"/>
        <v>0</v>
      </c>
      <c r="U7" s="149">
        <f t="shared" si="1"/>
        <v>0</v>
      </c>
    </row>
    <row r="8" spans="1:21" ht="15.75" x14ac:dyDescent="0.25">
      <c r="A8" s="145" t="s">
        <v>31</v>
      </c>
      <c r="B8" s="15">
        <f>56.6187218789087/100</f>
        <v>0.56618721878908707</v>
      </c>
      <c r="C8" s="16">
        <f>102.345168006917/100</f>
        <v>1.02345168006917</v>
      </c>
      <c r="D8" s="14">
        <f t="shared" si="2"/>
        <v>0.57946526030338186</v>
      </c>
      <c r="E8" s="15">
        <f>56.6446350333497/100</f>
        <v>0.566446350333497</v>
      </c>
      <c r="F8" s="16">
        <f>109.975522865141/100</f>
        <v>1.0997552286514101</v>
      </c>
      <c r="G8" s="14">
        <f t="shared" si="3"/>
        <v>0.62295233552977169</v>
      </c>
      <c r="H8" s="15">
        <f>56.6186546247275/100</f>
        <v>0.56618654624727494</v>
      </c>
      <c r="I8" s="16">
        <f>114.145552464829/100</f>
        <v>1.14145552464829</v>
      </c>
      <c r="J8" s="14">
        <f t="shared" si="5"/>
        <v>0.64627676119548649</v>
      </c>
      <c r="K8" s="6">
        <v>9663</v>
      </c>
      <c r="L8" s="6">
        <v>6244.9723434319858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/>
      <c r="T8" s="149">
        <f t="shared" si="0"/>
        <v>9663</v>
      </c>
      <c r="U8" s="149">
        <f t="shared" si="1"/>
        <v>6244.9723434319858</v>
      </c>
    </row>
    <row r="9" spans="1:21" ht="15.75" x14ac:dyDescent="0.25">
      <c r="A9" s="145" t="s">
        <v>32</v>
      </c>
      <c r="B9" s="15">
        <f>99.8647354051409/100</f>
        <v>0.99864735405140903</v>
      </c>
      <c r="C9" s="16">
        <f>86.6764870412701/100</f>
        <v>0.86676487041270089</v>
      </c>
      <c r="D9" s="14">
        <f t="shared" si="2"/>
        <v>0.86559244442235617</v>
      </c>
      <c r="E9" s="15">
        <f>94.2617885249844/100</f>
        <v>0.94261788524984391</v>
      </c>
      <c r="F9" s="16">
        <f>86.6764925586958/100</f>
        <v>0.86676492558695795</v>
      </c>
      <c r="G9" s="14">
        <f t="shared" si="3"/>
        <v>0.8170281211655166</v>
      </c>
      <c r="H9" s="18" t="s">
        <v>26</v>
      </c>
      <c r="I9" s="19" t="s">
        <v>26</v>
      </c>
      <c r="J9" s="17" t="s">
        <v>26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/>
      <c r="T9" s="149">
        <f t="shared" si="0"/>
        <v>0</v>
      </c>
      <c r="U9" s="149">
        <f t="shared" si="1"/>
        <v>0</v>
      </c>
    </row>
    <row r="10" spans="1:21" ht="15.75" x14ac:dyDescent="0.25">
      <c r="A10" s="150" t="s">
        <v>33</v>
      </c>
      <c r="B10" s="20">
        <f>78.5411718681552/100</f>
        <v>0.78541171868155202</v>
      </c>
      <c r="C10" s="21">
        <f>109.643694772933/100</f>
        <v>1.0964369477293301</v>
      </c>
      <c r="D10" s="14">
        <f t="shared" si="2"/>
        <v>0.86115442754204818</v>
      </c>
      <c r="E10" s="20">
        <f>78.1322237553607/100</f>
        <v>0.78132223755360697</v>
      </c>
      <c r="F10" s="21">
        <f>107.311695184877/100</f>
        <v>1.07311695184877</v>
      </c>
      <c r="G10" s="14">
        <f t="shared" si="3"/>
        <v>0.8384501379751873</v>
      </c>
      <c r="H10" s="20">
        <f>78.1484258483332/100</f>
        <v>0.78148425848333203</v>
      </c>
      <c r="I10" s="21">
        <f>108.188577275788/100</f>
        <v>1.0818857727578801</v>
      </c>
      <c r="J10" s="22">
        <f t="shared" ref="J10" si="6">H10*I10</f>
        <v>0.8454767008873586</v>
      </c>
      <c r="K10" s="7">
        <v>0</v>
      </c>
      <c r="L10" s="7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/>
      <c r="T10" s="149">
        <f t="shared" si="0"/>
        <v>0</v>
      </c>
      <c r="U10" s="149">
        <f t="shared" si="1"/>
        <v>0</v>
      </c>
    </row>
    <row r="11" spans="1:21" x14ac:dyDescent="0.25">
      <c r="A11" s="23" t="s">
        <v>24</v>
      </c>
      <c r="B11" s="23"/>
      <c r="C11" s="23"/>
      <c r="D11" s="23"/>
      <c r="E11" s="23"/>
      <c r="F11" s="23"/>
      <c r="G11" s="23"/>
      <c r="H11" s="23"/>
      <c r="I11" s="23"/>
      <c r="J11" s="24"/>
      <c r="K11" s="8">
        <f t="shared" ref="K11:R11" si="7">SUM(K4:K10)</f>
        <v>231170</v>
      </c>
      <c r="L11" s="8">
        <f t="shared" si="7"/>
        <v>212246.36770424029</v>
      </c>
      <c r="M11" s="8">
        <f t="shared" si="7"/>
        <v>62668</v>
      </c>
      <c r="N11" s="8">
        <f t="shared" si="7"/>
        <v>58281.207566673445</v>
      </c>
      <c r="O11" s="8">
        <f t="shared" si="7"/>
        <v>4440578</v>
      </c>
      <c r="P11" s="8">
        <f t="shared" si="7"/>
        <v>4129735.241814062</v>
      </c>
      <c r="Q11" s="8">
        <f t="shared" si="7"/>
        <v>2371624</v>
      </c>
      <c r="R11" s="8">
        <f t="shared" si="7"/>
        <v>2332800.032958746</v>
      </c>
      <c r="S11" s="8"/>
      <c r="T11" s="151">
        <f>SUM(T4:T10)</f>
        <v>7106040</v>
      </c>
      <c r="U11" s="151">
        <f>SUM(U4:U10)</f>
        <v>6733062.8500437215</v>
      </c>
    </row>
    <row r="12" spans="1:21" ht="60" x14ac:dyDescent="0.25">
      <c r="A12" s="152"/>
      <c r="B12" s="133" t="s">
        <v>1</v>
      </c>
      <c r="C12" s="134"/>
      <c r="D12" s="135"/>
      <c r="E12" s="133" t="s">
        <v>2</v>
      </c>
      <c r="F12" s="134"/>
      <c r="G12" s="135"/>
      <c r="H12" s="133" t="s">
        <v>3</v>
      </c>
      <c r="I12" s="134"/>
      <c r="J12" s="135"/>
      <c r="K12" s="3" t="s">
        <v>109</v>
      </c>
      <c r="L12" s="3" t="s">
        <v>110</v>
      </c>
      <c r="M12" s="3" t="s">
        <v>111</v>
      </c>
      <c r="N12" s="3" t="s">
        <v>112</v>
      </c>
      <c r="O12" s="3" t="s">
        <v>111</v>
      </c>
      <c r="P12" s="3" t="s">
        <v>113</v>
      </c>
      <c r="Q12" s="3" t="s">
        <v>114</v>
      </c>
      <c r="R12" s="3" t="s">
        <v>115</v>
      </c>
      <c r="S12" s="3" t="s">
        <v>116</v>
      </c>
      <c r="T12" s="147" t="s">
        <v>13</v>
      </c>
      <c r="U12" s="147" t="s">
        <v>14</v>
      </c>
    </row>
    <row r="13" spans="1:21" ht="15.75" x14ac:dyDescent="0.25">
      <c r="A13" s="49" t="s">
        <v>118</v>
      </c>
      <c r="B13" s="48" t="s">
        <v>16</v>
      </c>
      <c r="C13" s="49" t="s">
        <v>17</v>
      </c>
      <c r="D13" s="10" t="s">
        <v>18</v>
      </c>
      <c r="E13" s="48" t="s">
        <v>16</v>
      </c>
      <c r="F13" s="49" t="s">
        <v>17</v>
      </c>
      <c r="G13" s="10" t="s">
        <v>18</v>
      </c>
      <c r="H13" s="48" t="s">
        <v>16</v>
      </c>
      <c r="I13" s="49" t="s">
        <v>17</v>
      </c>
      <c r="J13" s="10" t="s">
        <v>18</v>
      </c>
      <c r="K13" s="4" t="s">
        <v>19</v>
      </c>
      <c r="L13" s="4" t="s">
        <v>19</v>
      </c>
      <c r="M13" s="4" t="s">
        <v>20</v>
      </c>
      <c r="N13" s="4" t="s">
        <v>20</v>
      </c>
      <c r="O13" s="9" t="s">
        <v>21</v>
      </c>
      <c r="P13" s="9" t="s">
        <v>21</v>
      </c>
      <c r="Q13" s="4" t="s">
        <v>22</v>
      </c>
      <c r="R13" s="4" t="s">
        <v>22</v>
      </c>
      <c r="S13" s="5" t="s">
        <v>23</v>
      </c>
      <c r="T13" s="153" t="s">
        <v>24</v>
      </c>
      <c r="U13" s="153" t="s">
        <v>24</v>
      </c>
    </row>
    <row r="14" spans="1:21" ht="15.75" x14ac:dyDescent="0.25">
      <c r="A14" s="145" t="s">
        <v>25</v>
      </c>
      <c r="B14" s="11" t="s">
        <v>26</v>
      </c>
      <c r="C14" s="12" t="s">
        <v>26</v>
      </c>
      <c r="D14" s="13"/>
      <c r="E14" s="11" t="s">
        <v>26</v>
      </c>
      <c r="F14" s="12" t="s">
        <v>26</v>
      </c>
      <c r="G14" s="12" t="s">
        <v>26</v>
      </c>
      <c r="H14" s="11" t="s">
        <v>26</v>
      </c>
      <c r="I14" s="12" t="s">
        <v>26</v>
      </c>
      <c r="J14" s="14">
        <v>1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144</v>
      </c>
      <c r="R14" s="6">
        <v>144</v>
      </c>
      <c r="S14" s="6"/>
      <c r="T14" s="149">
        <f t="shared" ref="T14:T20" si="8">Q14+O14+M14+K14</f>
        <v>144</v>
      </c>
      <c r="U14" s="149">
        <f t="shared" ref="U14:U20" si="9">P14+N14+L14+R14+S14</f>
        <v>144</v>
      </c>
    </row>
    <row r="15" spans="1:21" ht="15.75" x14ac:dyDescent="0.25">
      <c r="A15" s="145" t="s">
        <v>28</v>
      </c>
      <c r="B15" s="15">
        <f>94.2756680731364/100</f>
        <v>0.94275668073136398</v>
      </c>
      <c r="C15" s="16">
        <f>109.767393989296/100</f>
        <v>1.09767393989296</v>
      </c>
      <c r="D15" s="14">
        <f t="shared" ref="D15:D20" si="10">B15*C15</f>
        <v>1.0348394400988057</v>
      </c>
      <c r="E15" s="15">
        <f>94.8206914937626/100</f>
        <v>0.94820691493762599</v>
      </c>
      <c r="F15" s="16">
        <f>107.746785792112/100</f>
        <v>1.0774678579211199</v>
      </c>
      <c r="G15" s="14">
        <f t="shared" ref="G15:G20" si="11">E15*F15</f>
        <v>1.0216624735038373</v>
      </c>
      <c r="H15" s="15">
        <f>101.237113402062/100</f>
        <v>1.0123711340206198</v>
      </c>
      <c r="I15" s="16">
        <f>104.04004290311/100</f>
        <v>1.0404004290311</v>
      </c>
      <c r="J15" s="14">
        <f t="shared" ref="J15" si="12">H15*I15</f>
        <v>1.0532713621737542</v>
      </c>
      <c r="K15" s="6">
        <v>16.29</v>
      </c>
      <c r="L15" s="6">
        <v>17.157790489810456</v>
      </c>
      <c r="M15" s="6">
        <v>8.3000000000000007</v>
      </c>
      <c r="N15" s="6">
        <v>8.7421523060421595</v>
      </c>
      <c r="O15" s="6">
        <v>442.38</v>
      </c>
      <c r="P15" s="6">
        <v>465.94618519842538</v>
      </c>
      <c r="Q15" s="6">
        <v>42.33</v>
      </c>
      <c r="R15" s="6">
        <v>44.58497676081501</v>
      </c>
      <c r="S15" s="6">
        <v>0</v>
      </c>
      <c r="T15" s="149">
        <f t="shared" si="8"/>
        <v>509.3</v>
      </c>
      <c r="U15" s="149">
        <f t="shared" si="9"/>
        <v>536.43110475509297</v>
      </c>
    </row>
    <row r="16" spans="1:21" ht="15.75" x14ac:dyDescent="0.25">
      <c r="A16" s="145" t="s">
        <v>29</v>
      </c>
      <c r="B16" s="15">
        <f>94.0766550522648/100</f>
        <v>0.94076655052264802</v>
      </c>
      <c r="C16" s="16">
        <f>100/100</f>
        <v>1</v>
      </c>
      <c r="D16" s="14">
        <f t="shared" si="10"/>
        <v>0.94076655052264802</v>
      </c>
      <c r="E16" s="15">
        <f>94.1449814126394/100</f>
        <v>0.94144981412639395</v>
      </c>
      <c r="F16" s="16">
        <f>100/100</f>
        <v>1</v>
      </c>
      <c r="G16" s="14">
        <f t="shared" si="11"/>
        <v>0.94144981412639395</v>
      </c>
      <c r="H16" s="18" t="s">
        <v>26</v>
      </c>
      <c r="I16" s="19" t="s">
        <v>26</v>
      </c>
      <c r="J16" s="17" t="s">
        <v>26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/>
      <c r="T16" s="149">
        <f t="shared" si="8"/>
        <v>0</v>
      </c>
      <c r="U16" s="149">
        <f t="shared" si="9"/>
        <v>0</v>
      </c>
    </row>
    <row r="17" spans="1:21" ht="15.75" x14ac:dyDescent="0.25">
      <c r="A17" s="145" t="s">
        <v>30</v>
      </c>
      <c r="B17" s="15">
        <f>71.5393133997785/100</f>
        <v>0.71539313399778492</v>
      </c>
      <c r="C17" s="16">
        <f>113.299874529486/100</f>
        <v>1.13299874529486</v>
      </c>
      <c r="D17" s="14">
        <f t="shared" si="10"/>
        <v>0.81053952321204792</v>
      </c>
      <c r="E17" s="15">
        <f>71.575772807238/100</f>
        <v>0.71575772807237992</v>
      </c>
      <c r="F17" s="16">
        <f>111.08319374651/100</f>
        <v>1.1108319374651001</v>
      </c>
      <c r="G17" s="14">
        <f t="shared" si="11"/>
        <v>0.79508654383026012</v>
      </c>
      <c r="H17" s="18" t="s">
        <v>26</v>
      </c>
      <c r="I17" s="19" t="s">
        <v>26</v>
      </c>
      <c r="J17" s="17" t="s">
        <v>26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/>
      <c r="T17" s="149">
        <f t="shared" si="8"/>
        <v>0</v>
      </c>
      <c r="U17" s="149">
        <f t="shared" si="9"/>
        <v>0</v>
      </c>
    </row>
    <row r="18" spans="1:21" ht="15.75" x14ac:dyDescent="0.25">
      <c r="A18" s="145" t="s">
        <v>31</v>
      </c>
      <c r="B18" s="15">
        <f>56.6091409065048/100</f>
        <v>0.56609140906504796</v>
      </c>
      <c r="C18" s="16">
        <f>101.697203471553/100</f>
        <v>1.01697203471553</v>
      </c>
      <c r="D18" s="14">
        <f t="shared" si="10"/>
        <v>0.57569913211186319</v>
      </c>
      <c r="E18" s="15">
        <f>56.6193344807803/100</f>
        <v>0.56619334480780303</v>
      </c>
      <c r="F18" s="16">
        <f>106.14295501256/100</f>
        <v>1.0614295501255999</v>
      </c>
      <c r="G18" s="14">
        <f t="shared" si="11"/>
        <v>0.600974347263455</v>
      </c>
      <c r="H18" s="15">
        <f>55.1724137931034/100</f>
        <v>0.55172413793103403</v>
      </c>
      <c r="I18" s="16">
        <f>116/100</f>
        <v>1.1599999999999999</v>
      </c>
      <c r="J18" s="14">
        <f>H18*I18</f>
        <v>0.63999999999999946</v>
      </c>
      <c r="K18" s="6">
        <v>18</v>
      </c>
      <c r="L18" s="6">
        <v>11.519999999999991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/>
      <c r="T18" s="149">
        <f t="shared" si="8"/>
        <v>18</v>
      </c>
      <c r="U18" s="149">
        <f t="shared" si="9"/>
        <v>11.519999999999991</v>
      </c>
    </row>
    <row r="19" spans="1:21" ht="15.75" x14ac:dyDescent="0.25">
      <c r="A19" s="145" t="s">
        <v>32</v>
      </c>
      <c r="B19" s="15">
        <f>97.1231300345224/100</f>
        <v>0.97123130034522409</v>
      </c>
      <c r="C19" s="16">
        <f>67.3382409918636/100</f>
        <v>0.67338240991863596</v>
      </c>
      <c r="D19" s="14">
        <f t="shared" si="10"/>
        <v>0.65401007361487751</v>
      </c>
      <c r="E19" s="15">
        <f>93.5914203505101/100</f>
        <v>0.93591420350510102</v>
      </c>
      <c r="F19" s="16">
        <f>67.3260933372468/100</f>
        <v>0.67326093337246806</v>
      </c>
      <c r="G19" s="14">
        <f t="shared" si="11"/>
        <v>0.63011447020839428</v>
      </c>
      <c r="H19" s="18" t="s">
        <v>26</v>
      </c>
      <c r="I19" s="19" t="s">
        <v>26</v>
      </c>
      <c r="J19" s="17" t="s">
        <v>26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/>
      <c r="T19" s="149">
        <f t="shared" si="8"/>
        <v>0</v>
      </c>
      <c r="U19" s="149">
        <f t="shared" si="9"/>
        <v>0</v>
      </c>
    </row>
    <row r="20" spans="1:21" ht="15.75" x14ac:dyDescent="0.25">
      <c r="A20" s="145" t="s">
        <v>33</v>
      </c>
      <c r="B20" s="20">
        <f>82.4209575429088/100</f>
        <v>0.8242095754290879</v>
      </c>
      <c r="C20" s="21">
        <f>77.2613065326633/100</f>
        <v>0.77261306532663299</v>
      </c>
      <c r="D20" s="14">
        <f t="shared" si="10"/>
        <v>0.63679508654383032</v>
      </c>
      <c r="E20" s="20">
        <f>81.1138833678691/100</f>
        <v>0.81113883367869088</v>
      </c>
      <c r="F20" s="21">
        <f>71.8600905582399/100</f>
        <v>0.71860090558239909</v>
      </c>
      <c r="G20" s="14">
        <f t="shared" si="11"/>
        <v>0.58288510043455821</v>
      </c>
      <c r="H20" s="20">
        <f>81.0650887573965/100</f>
        <v>0.81065088757396497</v>
      </c>
      <c r="I20" s="21">
        <f>76.8181818181818/100</f>
        <v>0.76818181818181797</v>
      </c>
      <c r="J20" s="22">
        <f t="shared" ref="J20" si="13">H20*I20</f>
        <v>0.62272727272727291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/>
      <c r="T20" s="149">
        <f t="shared" si="8"/>
        <v>0</v>
      </c>
      <c r="U20" s="149">
        <f t="shared" si="9"/>
        <v>0</v>
      </c>
    </row>
    <row r="21" spans="1:21" x14ac:dyDescent="0.25">
      <c r="A21" s="23" t="s">
        <v>24</v>
      </c>
      <c r="B21" s="23"/>
      <c r="C21" s="23"/>
      <c r="D21" s="23"/>
      <c r="E21" s="23"/>
      <c r="F21" s="23"/>
      <c r="G21" s="23"/>
      <c r="H21" s="23"/>
      <c r="I21" s="23"/>
      <c r="J21" s="24"/>
      <c r="K21" s="8">
        <f t="shared" ref="K21:R21" si="14">SUM(K14:K20)</f>
        <v>34.29</v>
      </c>
      <c r="L21" s="8">
        <f t="shared" si="14"/>
        <v>28.677790489810448</v>
      </c>
      <c r="M21" s="8">
        <f t="shared" si="14"/>
        <v>8.3000000000000007</v>
      </c>
      <c r="N21" s="8">
        <f t="shared" si="14"/>
        <v>8.7421523060421595</v>
      </c>
      <c r="O21" s="8">
        <f t="shared" si="14"/>
        <v>442.38</v>
      </c>
      <c r="P21" s="8">
        <f t="shared" si="14"/>
        <v>465.94618519842538</v>
      </c>
      <c r="Q21" s="8">
        <f t="shared" si="14"/>
        <v>186.32999999999998</v>
      </c>
      <c r="R21" s="8">
        <f t="shared" si="14"/>
        <v>188.58497676081501</v>
      </c>
      <c r="S21" s="8"/>
      <c r="T21" s="151">
        <f>SUM(T14:T20)</f>
        <v>671.3</v>
      </c>
      <c r="U21" s="151">
        <f>SUM(U14:U20)</f>
        <v>691.95110475509296</v>
      </c>
    </row>
    <row r="23" spans="1:21" x14ac:dyDescent="0.25">
      <c r="A23" s="154" t="s">
        <v>35</v>
      </c>
      <c r="B23" s="154" t="s">
        <v>36</v>
      </c>
      <c r="C23" s="154" t="s">
        <v>37</v>
      </c>
      <c r="K23" s="157"/>
      <c r="L23" s="157"/>
      <c r="M23" s="157"/>
      <c r="N23" s="157"/>
    </row>
    <row r="24" spans="1:21" x14ac:dyDescent="0.25">
      <c r="A24" s="159" t="s">
        <v>38</v>
      </c>
      <c r="B24" s="160" t="s">
        <v>19</v>
      </c>
      <c r="C24" s="160" t="s">
        <v>39</v>
      </c>
      <c r="L24" s="157"/>
      <c r="M24" s="157"/>
      <c r="N24" s="157"/>
    </row>
    <row r="25" spans="1:21" x14ac:dyDescent="0.25">
      <c r="A25" s="159" t="s">
        <v>40</v>
      </c>
      <c r="B25" s="160" t="s">
        <v>20</v>
      </c>
      <c r="C25" s="160" t="s">
        <v>41</v>
      </c>
      <c r="L25" s="157"/>
      <c r="M25" s="157"/>
      <c r="N25" s="157"/>
    </row>
    <row r="26" spans="1:21" x14ac:dyDescent="0.25">
      <c r="A26" s="159" t="s">
        <v>42</v>
      </c>
      <c r="B26" s="160" t="s">
        <v>21</v>
      </c>
      <c r="C26" s="160" t="s">
        <v>41</v>
      </c>
      <c r="L26" s="157"/>
      <c r="M26" s="157"/>
      <c r="N26" s="157"/>
    </row>
    <row r="27" spans="1:21" x14ac:dyDescent="0.25">
      <c r="A27" s="159" t="s">
        <v>43</v>
      </c>
      <c r="B27" s="160" t="s">
        <v>22</v>
      </c>
      <c r="C27" s="160" t="s">
        <v>41</v>
      </c>
      <c r="L27" s="157"/>
      <c r="M27" s="157"/>
      <c r="N27" s="157"/>
    </row>
    <row r="28" spans="1:21" x14ac:dyDescent="0.25">
      <c r="A28" s="159" t="s">
        <v>44</v>
      </c>
      <c r="B28" s="160" t="s">
        <v>45</v>
      </c>
      <c r="C28" s="160" t="s">
        <v>39</v>
      </c>
      <c r="L28" s="157"/>
      <c r="M28" s="157"/>
      <c r="N28" s="157"/>
    </row>
    <row r="29" spans="1:21" x14ac:dyDescent="0.25">
      <c r="A29" s="159" t="s">
        <v>46</v>
      </c>
      <c r="B29" s="160" t="s">
        <v>47</v>
      </c>
      <c r="C29" s="160" t="s">
        <v>41</v>
      </c>
      <c r="L29" s="157"/>
      <c r="M29" s="157"/>
      <c r="N29" s="157"/>
    </row>
    <row r="30" spans="1:21" x14ac:dyDescent="0.25">
      <c r="A30" s="159" t="s">
        <v>49</v>
      </c>
      <c r="B30" s="160" t="s">
        <v>23</v>
      </c>
      <c r="C30" s="160" t="s">
        <v>41</v>
      </c>
      <c r="K30" s="157"/>
      <c r="L30" s="157"/>
      <c r="M30" s="157"/>
      <c r="N30" s="157"/>
    </row>
    <row r="31" spans="1:21" x14ac:dyDescent="0.25">
      <c r="A31" s="159" t="s">
        <v>50</v>
      </c>
      <c r="B31" s="160" t="s">
        <v>51</v>
      </c>
      <c r="C31" s="160" t="s">
        <v>39</v>
      </c>
      <c r="K31" s="157"/>
      <c r="L31" s="157"/>
      <c r="M31" s="157"/>
      <c r="N31" s="157"/>
    </row>
    <row r="32" spans="1:21" x14ac:dyDescent="0.25">
      <c r="K32" s="157"/>
      <c r="L32" s="157"/>
      <c r="M32" s="157"/>
      <c r="N32" s="157"/>
    </row>
    <row r="33" spans="1:12" x14ac:dyDescent="0.25">
      <c r="A33" s="152" t="s">
        <v>53</v>
      </c>
      <c r="B33" s="152"/>
      <c r="C33" s="152"/>
      <c r="D33" s="152"/>
      <c r="E33" s="152"/>
      <c r="F33" s="152"/>
      <c r="G33" s="152"/>
      <c r="H33" s="152"/>
      <c r="I33" s="152"/>
      <c r="J33" s="143"/>
      <c r="K33" s="152"/>
      <c r="L33" s="152"/>
    </row>
    <row r="34" spans="1:12" x14ac:dyDescent="0.25">
      <c r="A34" s="165" t="s">
        <v>54</v>
      </c>
      <c r="B34" s="165"/>
      <c r="C34" s="165"/>
      <c r="D34" s="165"/>
      <c r="E34" s="165"/>
      <c r="F34" s="165"/>
      <c r="G34" s="165"/>
      <c r="H34" s="165"/>
      <c r="I34" s="165"/>
    </row>
    <row r="35" spans="1:12" x14ac:dyDescent="0.25">
      <c r="A35" s="165" t="s">
        <v>55</v>
      </c>
    </row>
  </sheetData>
  <mergeCells count="6">
    <mergeCell ref="B2:D2"/>
    <mergeCell ref="E2:G2"/>
    <mergeCell ref="H2:J2"/>
    <mergeCell ref="B12:D12"/>
    <mergeCell ref="E12:G12"/>
    <mergeCell ref="H12:J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CE8B1-34F0-4C78-BE04-148658F9FB9E}">
  <sheetPr>
    <pageSetUpPr fitToPage="1"/>
  </sheetPr>
  <dimension ref="A1:J154"/>
  <sheetViews>
    <sheetView zoomScale="85" zoomScaleNormal="85" workbookViewId="0">
      <pane xSplit="1" ySplit="1" topLeftCell="C20" activePane="bottomRight" state="frozen"/>
      <selection activeCell="T2" sqref="T2"/>
      <selection pane="topRight" activeCell="T2" sqref="T2"/>
      <selection pane="bottomLeft" activeCell="T2" sqref="T2"/>
      <selection pane="bottomRight" activeCell="C41" sqref="C41:E41"/>
    </sheetView>
  </sheetViews>
  <sheetFormatPr defaultColWidth="9.140625" defaultRowHeight="15" x14ac:dyDescent="0.25"/>
  <cols>
    <col min="1" max="1" width="14.28515625" style="29" customWidth="1"/>
    <col min="2" max="2" width="18" style="27" customWidth="1"/>
    <col min="3" max="3" width="19.28515625" style="27" customWidth="1"/>
    <col min="4" max="4" width="13.85546875" style="28" customWidth="1"/>
    <col min="5" max="5" width="15.7109375" style="28" customWidth="1"/>
    <col min="6" max="6" width="19.5703125" style="29" customWidth="1"/>
    <col min="7" max="7" width="16" style="29" customWidth="1"/>
    <col min="8" max="8" width="17.140625" style="29" customWidth="1"/>
    <col min="9" max="9" width="20.140625" style="29" customWidth="1"/>
    <col min="10" max="10" width="14.7109375" style="30" customWidth="1"/>
    <col min="11" max="17" width="20.7109375" style="29" customWidth="1"/>
    <col min="18" max="16384" width="9.140625" style="29"/>
  </cols>
  <sheetData>
    <row r="1" spans="1:10" ht="18.75" x14ac:dyDescent="0.3">
      <c r="A1" s="25" t="s">
        <v>119</v>
      </c>
      <c r="B1" s="26"/>
    </row>
    <row r="2" spans="1:10" ht="45" x14ac:dyDescent="0.25">
      <c r="A2" s="31"/>
      <c r="B2" s="31"/>
      <c r="C2" s="31" t="s">
        <v>56</v>
      </c>
      <c r="D2" s="32" t="s">
        <v>57</v>
      </c>
      <c r="E2" s="32" t="s">
        <v>58</v>
      </c>
      <c r="F2" s="31" t="s">
        <v>59</v>
      </c>
      <c r="G2" s="31" t="s">
        <v>60</v>
      </c>
      <c r="H2" s="31" t="s">
        <v>61</v>
      </c>
      <c r="I2" s="31" t="s">
        <v>62</v>
      </c>
      <c r="J2" s="33" t="s">
        <v>63</v>
      </c>
    </row>
    <row r="3" spans="1:10" x14ac:dyDescent="0.25">
      <c r="A3" s="31"/>
      <c r="B3" s="31"/>
      <c r="C3" s="31"/>
      <c r="D3" s="32" t="s">
        <v>64</v>
      </c>
      <c r="E3" s="32" t="s">
        <v>65</v>
      </c>
      <c r="F3" s="31" t="s">
        <v>66</v>
      </c>
      <c r="G3" s="31" t="s">
        <v>66</v>
      </c>
      <c r="H3" s="31"/>
      <c r="I3" s="31"/>
      <c r="J3" s="33"/>
    </row>
    <row r="4" spans="1:10" ht="60" x14ac:dyDescent="0.25">
      <c r="A4" s="31" t="s">
        <v>67</v>
      </c>
      <c r="B4" s="31" t="s">
        <v>68</v>
      </c>
      <c r="C4" s="31" t="s">
        <v>69</v>
      </c>
      <c r="D4" s="31" t="s">
        <v>70</v>
      </c>
      <c r="E4" s="31" t="s">
        <v>71</v>
      </c>
      <c r="F4" s="31" t="s">
        <v>72</v>
      </c>
      <c r="G4" s="31" t="s">
        <v>73</v>
      </c>
      <c r="H4" s="31" t="s">
        <v>61</v>
      </c>
      <c r="I4" s="31" t="s">
        <v>62</v>
      </c>
      <c r="J4" s="33" t="s">
        <v>63</v>
      </c>
    </row>
    <row r="5" spans="1:10" x14ac:dyDescent="0.25">
      <c r="A5" s="31"/>
      <c r="B5" s="31"/>
      <c r="C5" s="31"/>
      <c r="D5" s="32"/>
      <c r="E5" s="32"/>
      <c r="F5" s="31"/>
      <c r="G5" s="31"/>
      <c r="H5" s="31"/>
      <c r="I5" s="31"/>
      <c r="J5" s="33"/>
    </row>
    <row r="6" spans="1:10" x14ac:dyDescent="0.25">
      <c r="A6" s="34">
        <v>1</v>
      </c>
      <c r="B6" s="35" t="s">
        <v>75</v>
      </c>
      <c r="C6" s="36" t="s">
        <v>74</v>
      </c>
      <c r="D6" s="37">
        <v>0.5</v>
      </c>
      <c r="E6" s="37">
        <v>3423.45</v>
      </c>
      <c r="F6" s="38">
        <v>860</v>
      </c>
      <c r="G6" s="38">
        <v>111.8</v>
      </c>
      <c r="H6" s="38">
        <v>971.8</v>
      </c>
      <c r="I6" s="39">
        <v>1770</v>
      </c>
      <c r="J6" s="40">
        <v>44209</v>
      </c>
    </row>
    <row r="7" spans="1:10" x14ac:dyDescent="0.25">
      <c r="A7" s="34">
        <v>2</v>
      </c>
      <c r="B7" s="36" t="s">
        <v>75</v>
      </c>
      <c r="C7" s="41" t="s">
        <v>74</v>
      </c>
      <c r="D7" s="37">
        <v>53.1</v>
      </c>
      <c r="E7" s="37">
        <v>432130.8</v>
      </c>
      <c r="F7" s="38">
        <v>23640</v>
      </c>
      <c r="G7" s="38">
        <v>3073.2000000000003</v>
      </c>
      <c r="H7" s="38">
        <v>26713.200000000001</v>
      </c>
      <c r="I7" s="39">
        <v>117112.81</v>
      </c>
      <c r="J7" s="42">
        <v>44209</v>
      </c>
    </row>
    <row r="8" spans="1:10" x14ac:dyDescent="0.25">
      <c r="A8" s="34">
        <v>3</v>
      </c>
      <c r="B8" s="35" t="s">
        <v>48</v>
      </c>
      <c r="C8" s="41" t="s">
        <v>80</v>
      </c>
      <c r="D8" s="37">
        <v>7.21</v>
      </c>
      <c r="E8" s="37">
        <v>57720</v>
      </c>
      <c r="F8" s="38">
        <v>5772</v>
      </c>
      <c r="G8" s="38">
        <v>750.36</v>
      </c>
      <c r="H8" s="38">
        <v>6522.36</v>
      </c>
      <c r="I8" s="39">
        <v>85273</v>
      </c>
      <c r="J8" s="42">
        <v>44209</v>
      </c>
    </row>
    <row r="9" spans="1:10" x14ac:dyDescent="0.25">
      <c r="A9" s="34">
        <v>4</v>
      </c>
      <c r="B9" s="43" t="s">
        <v>75</v>
      </c>
      <c r="C9" s="41" t="s">
        <v>83</v>
      </c>
      <c r="D9" s="37">
        <v>0</v>
      </c>
      <c r="E9" s="37">
        <v>418886.1</v>
      </c>
      <c r="F9" s="38">
        <v>9505.42</v>
      </c>
      <c r="G9" s="38">
        <v>1235.7046</v>
      </c>
      <c r="H9" s="38">
        <v>10741.124599999999</v>
      </c>
      <c r="I9" s="39">
        <v>19010.830000000002</v>
      </c>
      <c r="J9" s="42">
        <v>44209</v>
      </c>
    </row>
    <row r="10" spans="1:10" x14ac:dyDescent="0.25">
      <c r="A10" s="34">
        <v>5</v>
      </c>
      <c r="B10" s="43" t="s">
        <v>75</v>
      </c>
      <c r="C10" s="41" t="s">
        <v>78</v>
      </c>
      <c r="D10" s="37">
        <v>28</v>
      </c>
      <c r="E10" s="37">
        <v>244390</v>
      </c>
      <c r="F10" s="38">
        <v>24439</v>
      </c>
      <c r="G10" s="38">
        <v>3177.07</v>
      </c>
      <c r="H10" s="38">
        <v>27616.07</v>
      </c>
      <c r="I10" s="39">
        <v>724579.24</v>
      </c>
      <c r="J10" s="42">
        <v>44209</v>
      </c>
    </row>
    <row r="11" spans="1:10" x14ac:dyDescent="0.25">
      <c r="A11" s="34">
        <v>6</v>
      </c>
      <c r="B11" s="36" t="s">
        <v>75</v>
      </c>
      <c r="C11" s="41" t="s">
        <v>74</v>
      </c>
      <c r="D11" s="37">
        <v>4.5999999999999996</v>
      </c>
      <c r="E11" s="37">
        <v>24506</v>
      </c>
      <c r="F11" s="38">
        <v>1840</v>
      </c>
      <c r="G11" s="38">
        <v>239.20000000000002</v>
      </c>
      <c r="H11" s="38">
        <v>2079.1999999999998</v>
      </c>
      <c r="I11" s="39">
        <v>5854.27</v>
      </c>
      <c r="J11" s="42">
        <v>44225</v>
      </c>
    </row>
    <row r="12" spans="1:10" x14ac:dyDescent="0.25">
      <c r="A12" s="34">
        <v>7</v>
      </c>
      <c r="B12" s="35" t="s">
        <v>75</v>
      </c>
      <c r="C12" s="41" t="s">
        <v>74</v>
      </c>
      <c r="D12" s="37">
        <v>37.39</v>
      </c>
      <c r="E12" s="37">
        <v>223684.1</v>
      </c>
      <c r="F12" s="38">
        <v>15583.15</v>
      </c>
      <c r="G12" s="38">
        <v>2025.8095000000001</v>
      </c>
      <c r="H12" s="38">
        <v>17608.959500000001</v>
      </c>
      <c r="I12" s="39">
        <v>115851.02</v>
      </c>
      <c r="J12" s="42">
        <v>44237</v>
      </c>
    </row>
    <row r="13" spans="1:10" x14ac:dyDescent="0.25">
      <c r="A13" s="34">
        <v>8</v>
      </c>
      <c r="B13" s="35" t="s">
        <v>75</v>
      </c>
      <c r="C13" s="41" t="s">
        <v>74</v>
      </c>
      <c r="D13" s="37">
        <v>4</v>
      </c>
      <c r="E13" s="37">
        <v>20711.2</v>
      </c>
      <c r="F13" s="38">
        <v>2200</v>
      </c>
      <c r="G13" s="38">
        <v>286</v>
      </c>
      <c r="H13" s="38">
        <v>2486</v>
      </c>
      <c r="I13" s="39">
        <v>6249.48</v>
      </c>
      <c r="J13" s="42">
        <v>44237</v>
      </c>
    </row>
    <row r="14" spans="1:10" x14ac:dyDescent="0.25">
      <c r="A14" s="34">
        <v>9</v>
      </c>
      <c r="B14" s="43" t="s">
        <v>19</v>
      </c>
      <c r="C14" s="41" t="s">
        <v>74</v>
      </c>
      <c r="D14" s="37">
        <v>1.92</v>
      </c>
      <c r="E14" s="37">
        <v>8819.1</v>
      </c>
      <c r="F14" s="38">
        <v>2782</v>
      </c>
      <c r="G14" s="38">
        <v>361.66</v>
      </c>
      <c r="H14" s="38">
        <v>3143.66</v>
      </c>
      <c r="I14" s="39">
        <v>4211</v>
      </c>
      <c r="J14" s="42">
        <v>44237</v>
      </c>
    </row>
    <row r="15" spans="1:10" x14ac:dyDescent="0.25">
      <c r="A15" s="34">
        <v>10</v>
      </c>
      <c r="B15" s="43" t="s">
        <v>19</v>
      </c>
      <c r="C15" s="41" t="s">
        <v>74</v>
      </c>
      <c r="D15" s="37">
        <v>0</v>
      </c>
      <c r="E15" s="37">
        <v>13440</v>
      </c>
      <c r="F15" s="38">
        <v>1200</v>
      </c>
      <c r="G15" s="38">
        <v>0</v>
      </c>
      <c r="H15" s="38">
        <v>1200</v>
      </c>
      <c r="I15" s="39">
        <v>7520.8</v>
      </c>
      <c r="J15" s="42">
        <v>44237</v>
      </c>
    </row>
    <row r="16" spans="1:10" x14ac:dyDescent="0.25">
      <c r="A16" s="34">
        <v>11</v>
      </c>
      <c r="B16" s="43" t="s">
        <v>75</v>
      </c>
      <c r="C16" s="41" t="s">
        <v>121</v>
      </c>
      <c r="D16" s="37">
        <v>0</v>
      </c>
      <c r="E16" s="37">
        <v>118209</v>
      </c>
      <c r="F16" s="38">
        <v>11820.9</v>
      </c>
      <c r="G16" s="38">
        <v>1536.7170000000001</v>
      </c>
      <c r="H16" s="38">
        <v>13357.617</v>
      </c>
      <c r="I16" s="39">
        <v>24800</v>
      </c>
      <c r="J16" s="42">
        <v>44237</v>
      </c>
    </row>
    <row r="17" spans="1:10" x14ac:dyDescent="0.25">
      <c r="A17" s="34">
        <v>12</v>
      </c>
      <c r="B17" s="35" t="s">
        <v>75</v>
      </c>
      <c r="C17" s="41" t="s">
        <v>74</v>
      </c>
      <c r="D17" s="37">
        <v>5.96</v>
      </c>
      <c r="E17" s="37">
        <v>27376.57</v>
      </c>
      <c r="F17" s="38">
        <v>9710</v>
      </c>
      <c r="G17" s="38">
        <v>1262.3</v>
      </c>
      <c r="H17" s="38">
        <v>10972.3</v>
      </c>
      <c r="I17" s="39">
        <v>24970</v>
      </c>
      <c r="J17" s="42">
        <v>44237</v>
      </c>
    </row>
    <row r="18" spans="1:10" x14ac:dyDescent="0.25">
      <c r="A18" s="34">
        <v>13</v>
      </c>
      <c r="B18" s="36" t="s">
        <v>75</v>
      </c>
      <c r="C18" s="41" t="s">
        <v>78</v>
      </c>
      <c r="D18" s="37">
        <v>0.05</v>
      </c>
      <c r="E18" s="37">
        <v>19344.75</v>
      </c>
      <c r="F18" s="38">
        <v>1551.92</v>
      </c>
      <c r="G18" s="38">
        <v>201.74960000000002</v>
      </c>
      <c r="H18" s="38">
        <v>1753.6696000000002</v>
      </c>
      <c r="I18" s="39">
        <v>5000</v>
      </c>
      <c r="J18" s="42">
        <v>44278</v>
      </c>
    </row>
    <row r="19" spans="1:10" x14ac:dyDescent="0.25">
      <c r="A19" s="34">
        <v>14</v>
      </c>
      <c r="B19" s="36" t="s">
        <v>75</v>
      </c>
      <c r="C19" s="41" t="s">
        <v>74</v>
      </c>
      <c r="D19" s="37">
        <v>7</v>
      </c>
      <c r="E19" s="37">
        <v>32158</v>
      </c>
      <c r="F19" s="38">
        <v>4100</v>
      </c>
      <c r="G19" s="38">
        <v>533</v>
      </c>
      <c r="H19" s="38">
        <v>4633</v>
      </c>
      <c r="I19" s="39">
        <v>8780</v>
      </c>
      <c r="J19" s="42">
        <v>44278</v>
      </c>
    </row>
    <row r="20" spans="1:10" x14ac:dyDescent="0.25">
      <c r="A20" s="34">
        <v>15</v>
      </c>
      <c r="B20" s="43" t="s">
        <v>75</v>
      </c>
      <c r="C20" s="41" t="s">
        <v>74</v>
      </c>
      <c r="D20" s="37">
        <v>32.090000000000003</v>
      </c>
      <c r="E20" s="37">
        <v>252187.84</v>
      </c>
      <c r="F20" s="38">
        <v>11904.81</v>
      </c>
      <c r="G20" s="38">
        <v>1547.6252999999999</v>
      </c>
      <c r="H20" s="38">
        <v>13452.435299999999</v>
      </c>
      <c r="I20" s="39">
        <v>61065.5</v>
      </c>
      <c r="J20" s="42">
        <v>44305</v>
      </c>
    </row>
    <row r="21" spans="1:10" x14ac:dyDescent="0.25">
      <c r="A21" s="34">
        <v>16</v>
      </c>
      <c r="B21" s="35" t="s">
        <v>75</v>
      </c>
      <c r="C21" s="41" t="s">
        <v>74</v>
      </c>
      <c r="D21" s="37">
        <v>0</v>
      </c>
      <c r="E21" s="37">
        <v>13141.8</v>
      </c>
      <c r="F21" s="38">
        <v>962.5</v>
      </c>
      <c r="G21" s="38">
        <v>125.125</v>
      </c>
      <c r="H21" s="38">
        <v>1087.625</v>
      </c>
      <c r="I21" s="39">
        <v>7476.65</v>
      </c>
      <c r="J21" s="42">
        <v>44305</v>
      </c>
    </row>
    <row r="22" spans="1:10" x14ac:dyDescent="0.25">
      <c r="A22" s="34">
        <v>17</v>
      </c>
      <c r="B22" s="35" t="s">
        <v>120</v>
      </c>
      <c r="C22" s="41" t="s">
        <v>78</v>
      </c>
      <c r="D22" s="37">
        <v>0</v>
      </c>
      <c r="E22" s="37">
        <v>175622</v>
      </c>
      <c r="F22" s="38">
        <v>17562.2</v>
      </c>
      <c r="G22" s="38">
        <v>2283.0860000000002</v>
      </c>
      <c r="H22" s="38">
        <v>19845.286</v>
      </c>
      <c r="I22" s="39">
        <v>254780</v>
      </c>
      <c r="J22" s="42">
        <v>44305</v>
      </c>
    </row>
    <row r="23" spans="1:10" x14ac:dyDescent="0.25">
      <c r="A23" s="34">
        <v>18</v>
      </c>
      <c r="B23" s="43" t="s">
        <v>75</v>
      </c>
      <c r="C23" s="41" t="s">
        <v>74</v>
      </c>
      <c r="D23" s="37">
        <v>0.47</v>
      </c>
      <c r="E23" s="37">
        <v>26592</v>
      </c>
      <c r="F23" s="38">
        <v>2321</v>
      </c>
      <c r="G23" s="38">
        <v>301.73</v>
      </c>
      <c r="H23" s="38">
        <v>2622.73</v>
      </c>
      <c r="I23" s="39">
        <v>8075.04</v>
      </c>
      <c r="J23" s="42">
        <v>44305</v>
      </c>
    </row>
    <row r="24" spans="1:10" x14ac:dyDescent="0.25">
      <c r="A24" s="34">
        <v>19</v>
      </c>
      <c r="B24" s="43" t="s">
        <v>75</v>
      </c>
      <c r="C24" s="41" t="s">
        <v>74</v>
      </c>
      <c r="D24" s="37">
        <v>33.1</v>
      </c>
      <c r="E24" s="37">
        <v>241862</v>
      </c>
      <c r="F24" s="38">
        <v>13240</v>
      </c>
      <c r="G24" s="38">
        <v>1721.2</v>
      </c>
      <c r="H24" s="38">
        <v>14961.2</v>
      </c>
      <c r="I24" s="39">
        <v>42800</v>
      </c>
      <c r="J24" s="42">
        <v>44305</v>
      </c>
    </row>
    <row r="25" spans="1:10" x14ac:dyDescent="0.25">
      <c r="A25" s="34">
        <v>20</v>
      </c>
      <c r="B25" s="36" t="s">
        <v>75</v>
      </c>
      <c r="C25" s="41" t="s">
        <v>74</v>
      </c>
      <c r="D25" s="37">
        <v>2.2999999999999998</v>
      </c>
      <c r="E25" s="37">
        <v>20652</v>
      </c>
      <c r="F25" s="38">
        <v>1032.5999999999999</v>
      </c>
      <c r="G25" s="38">
        <v>134.238</v>
      </c>
      <c r="H25" s="38">
        <v>1166.838</v>
      </c>
      <c r="I25" s="39">
        <v>14770.61</v>
      </c>
      <c r="J25" s="42">
        <v>44349</v>
      </c>
    </row>
    <row r="26" spans="1:10" x14ac:dyDescent="0.25">
      <c r="A26" s="34">
        <v>21</v>
      </c>
      <c r="B26" s="43" t="s">
        <v>48</v>
      </c>
      <c r="C26" s="41" t="s">
        <v>74</v>
      </c>
      <c r="D26" s="37">
        <v>1.0900000000000001</v>
      </c>
      <c r="E26" s="37">
        <v>4947.6000000000004</v>
      </c>
      <c r="F26" s="38">
        <v>1413.5</v>
      </c>
      <c r="G26" s="38">
        <v>183.755</v>
      </c>
      <c r="H26" s="38">
        <v>1597.2550000000001</v>
      </c>
      <c r="I26" s="39">
        <v>3245.18</v>
      </c>
      <c r="J26" s="42">
        <v>44349</v>
      </c>
    </row>
    <row r="27" spans="1:10" x14ac:dyDescent="0.25">
      <c r="A27" s="34">
        <v>22</v>
      </c>
      <c r="B27" s="36" t="s">
        <v>75</v>
      </c>
      <c r="C27" s="41" t="s">
        <v>80</v>
      </c>
      <c r="D27" s="37">
        <v>58.22</v>
      </c>
      <c r="E27" s="37">
        <v>556609.63</v>
      </c>
      <c r="F27" s="38">
        <v>34522.07</v>
      </c>
      <c r="G27" s="38">
        <v>4487.8690999999999</v>
      </c>
      <c r="H27" s="38">
        <v>39009.939100000003</v>
      </c>
      <c r="I27" s="39">
        <v>132000</v>
      </c>
      <c r="J27" s="42">
        <v>44349</v>
      </c>
    </row>
    <row r="28" spans="1:10" x14ac:dyDescent="0.25">
      <c r="A28" s="34">
        <v>23</v>
      </c>
      <c r="B28" s="35" t="s">
        <v>75</v>
      </c>
      <c r="C28" s="41" t="s">
        <v>74</v>
      </c>
      <c r="D28" s="37">
        <v>39.1</v>
      </c>
      <c r="E28" s="37">
        <v>317988.47999999998</v>
      </c>
      <c r="F28" s="38">
        <v>17380</v>
      </c>
      <c r="G28" s="38">
        <v>2259.4</v>
      </c>
      <c r="H28" s="38">
        <v>19639.400000000001</v>
      </c>
      <c r="I28" s="39">
        <v>93516</v>
      </c>
      <c r="J28" s="42">
        <v>44358</v>
      </c>
    </row>
    <row r="29" spans="1:10" x14ac:dyDescent="0.25">
      <c r="A29" s="34">
        <v>24</v>
      </c>
      <c r="B29" s="43" t="s">
        <v>19</v>
      </c>
      <c r="C29" s="41" t="s">
        <v>74</v>
      </c>
      <c r="D29" s="37">
        <v>7.165</v>
      </c>
      <c r="E29" s="37">
        <v>138622.495</v>
      </c>
      <c r="F29" s="38">
        <v>17509</v>
      </c>
      <c r="G29" s="38">
        <v>0</v>
      </c>
      <c r="H29" s="38">
        <v>17509</v>
      </c>
      <c r="I29" s="39">
        <v>62866.39</v>
      </c>
      <c r="J29" s="42">
        <v>44358</v>
      </c>
    </row>
    <row r="30" spans="1:10" x14ac:dyDescent="0.25">
      <c r="A30" s="34">
        <v>25</v>
      </c>
      <c r="B30" s="35" t="s">
        <v>75</v>
      </c>
      <c r="C30" s="41" t="s">
        <v>80</v>
      </c>
      <c r="D30" s="37">
        <v>32.89</v>
      </c>
      <c r="E30" s="37">
        <v>640425</v>
      </c>
      <c r="F30" s="38">
        <v>26662.9</v>
      </c>
      <c r="G30" s="38">
        <v>3466.1770000000001</v>
      </c>
      <c r="H30" s="38">
        <v>30129.077000000001</v>
      </c>
      <c r="I30" s="39">
        <v>125000</v>
      </c>
      <c r="J30" s="42">
        <v>44358</v>
      </c>
    </row>
    <row r="31" spans="1:10" x14ac:dyDescent="0.25">
      <c r="A31" s="34">
        <v>26</v>
      </c>
      <c r="B31" s="35" t="s">
        <v>75</v>
      </c>
      <c r="C31" s="41" t="s">
        <v>78</v>
      </c>
      <c r="D31" s="37">
        <v>23.61</v>
      </c>
      <c r="E31" s="37">
        <v>315223.92</v>
      </c>
      <c r="F31" s="38">
        <v>31522.39</v>
      </c>
      <c r="G31" s="38">
        <v>4097.9107000000004</v>
      </c>
      <c r="H31" s="38">
        <v>35620.3007</v>
      </c>
      <c r="I31" s="39">
        <v>171513.03</v>
      </c>
      <c r="J31" s="42">
        <v>44358</v>
      </c>
    </row>
    <row r="32" spans="1:10" x14ac:dyDescent="0.25">
      <c r="A32" s="34">
        <v>27</v>
      </c>
      <c r="B32" s="43" t="s">
        <v>120</v>
      </c>
      <c r="C32" s="41" t="s">
        <v>83</v>
      </c>
      <c r="D32" s="37">
        <v>4.22</v>
      </c>
      <c r="E32" s="37">
        <v>30948</v>
      </c>
      <c r="F32" s="38">
        <v>1610</v>
      </c>
      <c r="G32" s="38">
        <v>209.3</v>
      </c>
      <c r="H32" s="38">
        <v>1819.3</v>
      </c>
      <c r="I32" s="39">
        <v>3975.34</v>
      </c>
      <c r="J32" s="42">
        <v>44372</v>
      </c>
    </row>
    <row r="33" spans="1:10" x14ac:dyDescent="0.25">
      <c r="A33" s="34">
        <v>28</v>
      </c>
      <c r="B33" s="36" t="s">
        <v>19</v>
      </c>
      <c r="C33" s="41" t="s">
        <v>74</v>
      </c>
      <c r="D33" s="37">
        <v>0</v>
      </c>
      <c r="E33" s="37">
        <v>19320</v>
      </c>
      <c r="F33" s="38">
        <v>1725</v>
      </c>
      <c r="G33" s="38">
        <v>0</v>
      </c>
      <c r="H33" s="38">
        <v>1725</v>
      </c>
      <c r="I33" s="39">
        <v>39591.9</v>
      </c>
      <c r="J33" s="42">
        <v>44424</v>
      </c>
    </row>
    <row r="34" spans="1:10" x14ac:dyDescent="0.25">
      <c r="A34" s="34">
        <v>29</v>
      </c>
      <c r="B34" s="35" t="s">
        <v>120</v>
      </c>
      <c r="C34" s="41" t="s">
        <v>81</v>
      </c>
      <c r="D34" s="37">
        <v>0.11</v>
      </c>
      <c r="E34" s="37">
        <v>66.7</v>
      </c>
      <c r="F34" s="38">
        <v>2371.12</v>
      </c>
      <c r="G34" s="38">
        <v>308.24560000000002</v>
      </c>
      <c r="H34" s="38">
        <v>2679.3656000000001</v>
      </c>
      <c r="I34" s="39">
        <v>23479.63</v>
      </c>
      <c r="J34" s="42">
        <v>44447</v>
      </c>
    </row>
    <row r="35" spans="1:10" x14ac:dyDescent="0.25">
      <c r="A35" s="34">
        <v>30</v>
      </c>
      <c r="B35" s="36" t="s">
        <v>120</v>
      </c>
      <c r="C35" s="41" t="s">
        <v>74</v>
      </c>
      <c r="D35" s="37">
        <v>0</v>
      </c>
      <c r="E35" s="37">
        <v>71374.8</v>
      </c>
      <c r="F35" s="38">
        <v>6390</v>
      </c>
      <c r="G35" s="38">
        <v>830.7</v>
      </c>
      <c r="H35" s="38">
        <v>7220.7</v>
      </c>
      <c r="I35" s="39">
        <v>487535.25</v>
      </c>
      <c r="J35" s="42">
        <v>44447</v>
      </c>
    </row>
    <row r="36" spans="1:10" x14ac:dyDescent="0.25">
      <c r="A36" s="34">
        <v>31</v>
      </c>
      <c r="B36" s="43" t="s">
        <v>19</v>
      </c>
      <c r="C36" s="41" t="s">
        <v>74</v>
      </c>
      <c r="D36" s="37">
        <v>7.2</v>
      </c>
      <c r="E36" s="37">
        <v>41305.54</v>
      </c>
      <c r="F36" s="38">
        <v>9272</v>
      </c>
      <c r="G36" s="38">
        <v>1205.3600000000001</v>
      </c>
      <c r="H36" s="38">
        <v>10477.36</v>
      </c>
      <c r="I36" s="39">
        <v>28599.1</v>
      </c>
      <c r="J36" s="42">
        <v>44447</v>
      </c>
    </row>
    <row r="37" spans="1:10" x14ac:dyDescent="0.25">
      <c r="A37" s="34">
        <v>32</v>
      </c>
      <c r="B37" s="35" t="s">
        <v>75</v>
      </c>
      <c r="C37" s="41" t="s">
        <v>74</v>
      </c>
      <c r="D37" s="37">
        <v>5.72</v>
      </c>
      <c r="E37" s="37">
        <v>42527.6</v>
      </c>
      <c r="F37" s="38">
        <v>6402</v>
      </c>
      <c r="G37" s="38">
        <v>832.26</v>
      </c>
      <c r="H37" s="38">
        <v>7234.26</v>
      </c>
      <c r="I37" s="39">
        <v>34237</v>
      </c>
      <c r="J37" s="42">
        <v>44505</v>
      </c>
    </row>
    <row r="38" spans="1:10" x14ac:dyDescent="0.25">
      <c r="A38" s="34">
        <v>33</v>
      </c>
      <c r="B38" s="36" t="s">
        <v>120</v>
      </c>
      <c r="C38" s="41" t="s">
        <v>74</v>
      </c>
      <c r="D38" s="37">
        <v>37.770000000000003</v>
      </c>
      <c r="E38" s="37">
        <v>276611.59999999998</v>
      </c>
      <c r="F38" s="38">
        <v>24180.86</v>
      </c>
      <c r="G38" s="38">
        <v>3143.5118000000002</v>
      </c>
      <c r="H38" s="38">
        <v>27324.371800000001</v>
      </c>
      <c r="I38" s="39">
        <v>361713</v>
      </c>
      <c r="J38" s="42">
        <v>44523</v>
      </c>
    </row>
    <row r="39" spans="1:10" x14ac:dyDescent="0.25">
      <c r="A39" s="34">
        <v>34</v>
      </c>
      <c r="B39" s="36" t="s">
        <v>75</v>
      </c>
      <c r="C39" s="41" t="s">
        <v>74</v>
      </c>
      <c r="D39" s="37">
        <v>74.5</v>
      </c>
      <c r="E39" s="37">
        <v>448547</v>
      </c>
      <c r="F39" s="38">
        <v>29800</v>
      </c>
      <c r="G39" s="38">
        <v>3874</v>
      </c>
      <c r="H39" s="38">
        <v>33674</v>
      </c>
      <c r="I39" s="39">
        <v>77964</v>
      </c>
      <c r="J39" s="42">
        <v>44540</v>
      </c>
    </row>
    <row r="40" spans="1:10" x14ac:dyDescent="0.25">
      <c r="A40" s="34"/>
      <c r="B40" s="36"/>
      <c r="C40" s="41"/>
      <c r="D40" s="37"/>
      <c r="E40" s="37"/>
      <c r="F40" s="38"/>
      <c r="G40" s="38"/>
      <c r="H40" s="38"/>
      <c r="I40" s="39"/>
      <c r="J40" s="42"/>
    </row>
    <row r="41" spans="1:10" x14ac:dyDescent="0.25">
      <c r="A41" s="34"/>
      <c r="B41" s="36"/>
      <c r="C41" s="41" t="s">
        <v>122</v>
      </c>
      <c r="D41" s="37">
        <f>SUM(D6:D40)</f>
        <v>509.28500000000008</v>
      </c>
      <c r="E41" s="37">
        <f>SUM(E6:E40)</f>
        <v>5279375.0750000002</v>
      </c>
      <c r="F41" s="38"/>
      <c r="G41" s="38"/>
      <c r="H41" s="38"/>
      <c r="I41" s="39"/>
      <c r="J41" s="42"/>
    </row>
    <row r="42" spans="1:10" x14ac:dyDescent="0.25">
      <c r="A42" s="34"/>
      <c r="B42" s="36"/>
      <c r="C42" s="41"/>
      <c r="D42" s="37"/>
      <c r="E42" s="37"/>
      <c r="F42" s="38"/>
      <c r="G42" s="38"/>
      <c r="H42" s="38"/>
      <c r="I42" s="39"/>
      <c r="J42" s="42"/>
    </row>
    <row r="43" spans="1:10" x14ac:dyDescent="0.25">
      <c r="A43" s="34"/>
      <c r="B43" s="36"/>
      <c r="C43" s="41"/>
      <c r="D43" s="37"/>
      <c r="E43" s="37"/>
      <c r="F43" s="38"/>
      <c r="G43" s="38"/>
      <c r="H43" s="38"/>
      <c r="I43" s="39"/>
      <c r="J43" s="42"/>
    </row>
    <row r="44" spans="1:10" x14ac:dyDescent="0.25">
      <c r="A44" s="34"/>
      <c r="B44" s="35"/>
      <c r="C44" s="41"/>
      <c r="D44" s="37"/>
      <c r="E44" s="37"/>
      <c r="F44" s="38"/>
      <c r="G44" s="38"/>
      <c r="H44" s="38"/>
      <c r="I44" s="39"/>
      <c r="J44" s="42"/>
    </row>
    <row r="45" spans="1:10" x14ac:dyDescent="0.25">
      <c r="A45" s="34"/>
      <c r="B45" s="36"/>
      <c r="C45" s="41"/>
      <c r="D45" s="37"/>
      <c r="E45" s="37"/>
      <c r="F45" s="38"/>
      <c r="G45" s="38"/>
      <c r="H45" s="38"/>
      <c r="I45" s="39"/>
      <c r="J45" s="42"/>
    </row>
    <row r="46" spans="1:10" x14ac:dyDescent="0.25">
      <c r="A46" s="34"/>
      <c r="B46" s="35"/>
      <c r="C46" s="41"/>
      <c r="D46" s="37"/>
      <c r="E46" s="37"/>
      <c r="F46" s="38"/>
      <c r="G46" s="38"/>
      <c r="H46" s="38"/>
      <c r="I46" s="39"/>
      <c r="J46" s="42"/>
    </row>
    <row r="47" spans="1:10" x14ac:dyDescent="0.25">
      <c r="A47" s="34"/>
      <c r="B47" s="35"/>
      <c r="C47" s="41"/>
      <c r="D47" s="37"/>
      <c r="E47" s="37"/>
      <c r="F47" s="38"/>
      <c r="G47" s="38"/>
      <c r="H47" s="38"/>
      <c r="I47" s="39"/>
      <c r="J47" s="42"/>
    </row>
    <row r="48" spans="1:10" x14ac:dyDescent="0.25">
      <c r="A48" s="34"/>
      <c r="B48" s="36"/>
      <c r="C48" s="41"/>
      <c r="D48" s="37"/>
      <c r="E48" s="37"/>
      <c r="F48" s="38"/>
      <c r="G48" s="38"/>
      <c r="H48" s="38"/>
      <c r="I48" s="39"/>
      <c r="J48" s="42"/>
    </row>
    <row r="49" spans="1:10" x14ac:dyDescent="0.25">
      <c r="A49" s="34"/>
      <c r="B49" s="36"/>
      <c r="C49" s="41"/>
      <c r="D49" s="37"/>
      <c r="E49" s="37"/>
      <c r="F49" s="38"/>
      <c r="G49" s="38"/>
      <c r="H49" s="38"/>
      <c r="I49" s="39"/>
      <c r="J49" s="42"/>
    </row>
    <row r="50" spans="1:10" x14ac:dyDescent="0.25">
      <c r="A50" s="34"/>
      <c r="B50" s="43"/>
      <c r="C50" s="41"/>
      <c r="D50" s="37"/>
      <c r="E50" s="37"/>
      <c r="F50" s="38"/>
      <c r="G50" s="38"/>
      <c r="H50" s="38"/>
      <c r="I50" s="39"/>
      <c r="J50" s="42"/>
    </row>
    <row r="51" spans="1:10" x14ac:dyDescent="0.25">
      <c r="A51" s="34"/>
      <c r="B51" s="35"/>
      <c r="C51" s="41"/>
      <c r="D51" s="37"/>
      <c r="E51" s="37"/>
      <c r="F51" s="38"/>
      <c r="G51" s="38"/>
      <c r="H51" s="38"/>
      <c r="I51" s="39"/>
      <c r="J51" s="42"/>
    </row>
    <row r="52" spans="1:10" x14ac:dyDescent="0.25">
      <c r="A52" s="34"/>
      <c r="B52" s="35"/>
      <c r="C52" s="41"/>
      <c r="D52" s="37"/>
      <c r="E52" s="37"/>
      <c r="F52" s="38"/>
      <c r="G52" s="38"/>
      <c r="H52" s="38"/>
      <c r="I52" s="39"/>
      <c r="J52" s="42"/>
    </row>
    <row r="53" spans="1:10" x14ac:dyDescent="0.25">
      <c r="A53" s="34"/>
      <c r="B53" s="35"/>
      <c r="C53" s="41"/>
      <c r="D53" s="37"/>
      <c r="E53" s="37"/>
      <c r="F53" s="38"/>
      <c r="G53" s="38"/>
      <c r="H53" s="38"/>
      <c r="I53" s="39"/>
      <c r="J53" s="42"/>
    </row>
    <row r="54" spans="1:10" x14ac:dyDescent="0.25">
      <c r="A54" s="34"/>
      <c r="B54" s="35"/>
      <c r="C54" s="41"/>
      <c r="D54" s="37"/>
      <c r="E54" s="37"/>
      <c r="F54" s="38"/>
      <c r="G54" s="38"/>
      <c r="H54" s="38"/>
      <c r="I54" s="39"/>
      <c r="J54" s="42"/>
    </row>
    <row r="55" spans="1:10" x14ac:dyDescent="0.25">
      <c r="A55" s="34"/>
      <c r="B55" s="36"/>
      <c r="C55" s="41"/>
      <c r="D55" s="37"/>
      <c r="E55" s="37"/>
      <c r="F55" s="38"/>
      <c r="G55" s="38"/>
      <c r="H55" s="38"/>
      <c r="I55" s="39"/>
      <c r="J55" s="42"/>
    </row>
    <row r="56" spans="1:10" x14ac:dyDescent="0.25">
      <c r="A56" s="34"/>
      <c r="B56" s="36"/>
      <c r="C56" s="41"/>
      <c r="D56" s="37"/>
      <c r="E56" s="37"/>
      <c r="F56" s="38"/>
      <c r="G56" s="38"/>
      <c r="H56" s="38"/>
      <c r="I56" s="39"/>
      <c r="J56" s="42"/>
    </row>
    <row r="57" spans="1:10" x14ac:dyDescent="0.25">
      <c r="A57" s="34"/>
      <c r="B57" s="43"/>
      <c r="C57" s="41"/>
      <c r="D57" s="37"/>
      <c r="E57" s="37"/>
      <c r="F57" s="38"/>
      <c r="G57" s="38"/>
      <c r="H57" s="38"/>
      <c r="I57" s="39"/>
      <c r="J57" s="42"/>
    </row>
    <row r="58" spans="1:10" x14ac:dyDescent="0.25">
      <c r="A58" s="34"/>
      <c r="B58" s="43"/>
      <c r="C58" s="41"/>
      <c r="D58" s="37"/>
      <c r="E58" s="37"/>
      <c r="F58" s="38"/>
      <c r="G58" s="38"/>
      <c r="H58" s="38"/>
      <c r="I58" s="39"/>
      <c r="J58" s="42"/>
    </row>
    <row r="59" spans="1:10" x14ac:dyDescent="0.25">
      <c r="A59" s="34"/>
      <c r="B59" s="36"/>
      <c r="C59" s="41"/>
      <c r="D59" s="37"/>
      <c r="E59" s="37"/>
      <c r="F59" s="38"/>
      <c r="G59" s="38"/>
      <c r="H59" s="38"/>
      <c r="I59" s="39"/>
      <c r="J59" s="42"/>
    </row>
    <row r="60" spans="1:10" x14ac:dyDescent="0.25">
      <c r="A60" s="34"/>
      <c r="B60" s="43"/>
      <c r="C60" s="41"/>
      <c r="D60" s="37"/>
      <c r="E60" s="37"/>
      <c r="F60" s="38"/>
      <c r="G60" s="38"/>
      <c r="H60" s="38"/>
      <c r="I60" s="39"/>
      <c r="J60" s="42"/>
    </row>
    <row r="61" spans="1:10" x14ac:dyDescent="0.25">
      <c r="A61" s="34"/>
      <c r="B61" s="43"/>
      <c r="C61" s="41"/>
      <c r="D61" s="37"/>
      <c r="E61" s="37"/>
      <c r="F61" s="38"/>
      <c r="G61" s="38"/>
      <c r="H61" s="38"/>
      <c r="I61" s="39"/>
      <c r="J61" s="42"/>
    </row>
    <row r="62" spans="1:10" x14ac:dyDescent="0.25">
      <c r="A62" s="34"/>
      <c r="B62" s="36"/>
      <c r="C62" s="41"/>
      <c r="D62" s="37"/>
      <c r="E62" s="37"/>
      <c r="F62" s="38"/>
      <c r="G62" s="38"/>
      <c r="H62" s="38"/>
      <c r="I62" s="39"/>
      <c r="J62" s="42"/>
    </row>
    <row r="63" spans="1:10" x14ac:dyDescent="0.25">
      <c r="A63" s="34"/>
      <c r="B63" s="43"/>
      <c r="C63" s="41"/>
      <c r="D63" s="37"/>
      <c r="E63" s="37"/>
      <c r="F63" s="38"/>
      <c r="G63" s="38"/>
      <c r="H63" s="38"/>
      <c r="I63" s="39"/>
      <c r="J63" s="42"/>
    </row>
    <row r="64" spans="1:10" x14ac:dyDescent="0.25">
      <c r="A64" s="34"/>
      <c r="B64" s="36"/>
      <c r="C64" s="41"/>
      <c r="D64" s="37"/>
      <c r="E64" s="37"/>
      <c r="F64" s="38"/>
      <c r="G64" s="38"/>
      <c r="H64" s="38"/>
      <c r="I64" s="39"/>
      <c r="J64" s="42"/>
    </row>
    <row r="65" spans="1:10" x14ac:dyDescent="0.25">
      <c r="A65" s="34"/>
      <c r="B65" s="43"/>
      <c r="C65" s="41"/>
      <c r="D65" s="37"/>
      <c r="E65" s="37"/>
      <c r="F65" s="38"/>
      <c r="G65" s="38"/>
      <c r="H65" s="38"/>
      <c r="I65" s="39"/>
      <c r="J65" s="42"/>
    </row>
    <row r="66" spans="1:10" x14ac:dyDescent="0.25">
      <c r="A66" s="34"/>
      <c r="B66" s="43"/>
      <c r="C66" s="41"/>
      <c r="D66" s="37"/>
      <c r="E66" s="37"/>
      <c r="F66" s="38"/>
      <c r="G66" s="38"/>
      <c r="H66" s="38"/>
      <c r="I66" s="39"/>
      <c r="J66" s="42"/>
    </row>
    <row r="67" spans="1:10" x14ac:dyDescent="0.25">
      <c r="A67" s="34"/>
      <c r="B67" s="43"/>
      <c r="C67" s="41"/>
      <c r="D67" s="37"/>
      <c r="E67" s="37"/>
      <c r="F67" s="38"/>
      <c r="G67" s="38"/>
      <c r="H67" s="38"/>
      <c r="I67" s="39"/>
      <c r="J67" s="42"/>
    </row>
    <row r="68" spans="1:10" x14ac:dyDescent="0.25">
      <c r="A68" s="34"/>
      <c r="B68" s="43"/>
      <c r="C68" s="41"/>
      <c r="D68" s="37"/>
      <c r="E68" s="37"/>
      <c r="F68" s="38"/>
      <c r="G68" s="38"/>
      <c r="H68" s="38"/>
      <c r="I68" s="39"/>
      <c r="J68" s="42"/>
    </row>
    <row r="69" spans="1:10" x14ac:dyDescent="0.25">
      <c r="A69" s="34"/>
      <c r="B69" s="43"/>
      <c r="C69" s="41"/>
      <c r="D69" s="37"/>
      <c r="E69" s="37"/>
      <c r="F69" s="38"/>
      <c r="G69" s="38"/>
      <c r="H69" s="38"/>
      <c r="I69" s="39"/>
      <c r="J69" s="42"/>
    </row>
    <row r="70" spans="1:10" x14ac:dyDescent="0.25">
      <c r="A70" s="34"/>
      <c r="B70" s="43"/>
      <c r="C70" s="41"/>
      <c r="D70" s="37"/>
      <c r="E70" s="37"/>
      <c r="F70" s="38"/>
      <c r="G70" s="38"/>
      <c r="H70" s="38"/>
      <c r="I70" s="39"/>
      <c r="J70" s="42"/>
    </row>
    <row r="71" spans="1:10" x14ac:dyDescent="0.25">
      <c r="A71" s="34"/>
      <c r="B71" s="35"/>
      <c r="C71" s="41"/>
      <c r="D71" s="37"/>
      <c r="E71" s="37"/>
      <c r="F71" s="38"/>
      <c r="G71" s="38"/>
      <c r="H71" s="38"/>
      <c r="I71" s="39"/>
      <c r="J71" s="42"/>
    </row>
    <row r="72" spans="1:10" x14ac:dyDescent="0.25">
      <c r="A72" s="34"/>
      <c r="B72" s="35"/>
      <c r="C72" s="41"/>
      <c r="D72" s="37"/>
      <c r="E72" s="37"/>
      <c r="F72" s="38"/>
      <c r="G72" s="38"/>
      <c r="H72" s="38"/>
      <c r="I72" s="39"/>
      <c r="J72" s="42"/>
    </row>
    <row r="73" spans="1:10" x14ac:dyDescent="0.25">
      <c r="A73" s="34"/>
      <c r="B73" s="35"/>
      <c r="C73" s="41"/>
      <c r="D73" s="37"/>
      <c r="E73" s="37"/>
      <c r="F73" s="38"/>
      <c r="G73" s="38"/>
      <c r="H73" s="38"/>
      <c r="I73" s="39"/>
      <c r="J73" s="42"/>
    </row>
    <row r="74" spans="1:10" x14ac:dyDescent="0.25">
      <c r="A74" s="34"/>
      <c r="B74" s="35"/>
      <c r="C74" s="41"/>
      <c r="D74" s="37"/>
      <c r="E74" s="37"/>
      <c r="F74" s="38"/>
      <c r="G74" s="38"/>
      <c r="H74" s="38"/>
      <c r="I74" s="39"/>
      <c r="J74" s="42"/>
    </row>
    <row r="75" spans="1:10" x14ac:dyDescent="0.25">
      <c r="A75" s="34"/>
      <c r="B75" s="35"/>
      <c r="C75" s="41"/>
      <c r="D75" s="37"/>
      <c r="E75" s="37"/>
      <c r="F75" s="38"/>
      <c r="G75" s="38"/>
      <c r="H75" s="38"/>
      <c r="I75" s="39"/>
      <c r="J75" s="42"/>
    </row>
    <row r="76" spans="1:10" x14ac:dyDescent="0.25">
      <c r="A76" s="34"/>
      <c r="B76" s="43"/>
      <c r="C76" s="41"/>
      <c r="D76" s="37"/>
      <c r="E76" s="37"/>
      <c r="F76" s="38"/>
      <c r="G76" s="38"/>
      <c r="H76" s="38"/>
      <c r="I76" s="39"/>
      <c r="J76" s="42"/>
    </row>
    <row r="77" spans="1:10" x14ac:dyDescent="0.25">
      <c r="A77" s="34"/>
      <c r="B77" s="43"/>
      <c r="C77" s="41"/>
      <c r="D77" s="37"/>
      <c r="E77" s="37"/>
      <c r="F77" s="38"/>
      <c r="G77" s="38"/>
      <c r="H77" s="38"/>
      <c r="I77" s="39"/>
      <c r="J77" s="42"/>
    </row>
    <row r="78" spans="1:10" x14ac:dyDescent="0.25">
      <c r="A78" s="34"/>
      <c r="B78" s="35"/>
      <c r="C78" s="41"/>
      <c r="D78" s="37"/>
      <c r="E78" s="37"/>
      <c r="F78" s="38"/>
      <c r="G78" s="38"/>
      <c r="H78" s="38"/>
      <c r="I78" s="39"/>
      <c r="J78" s="42"/>
    </row>
    <row r="79" spans="1:10" x14ac:dyDescent="0.25">
      <c r="A79" s="34"/>
      <c r="B79" s="43"/>
      <c r="C79" s="41"/>
      <c r="D79" s="37"/>
      <c r="E79" s="37"/>
      <c r="F79" s="38"/>
      <c r="G79" s="38"/>
      <c r="H79" s="38"/>
      <c r="I79" s="39"/>
      <c r="J79" s="42"/>
    </row>
    <row r="80" spans="1:10" x14ac:dyDescent="0.25">
      <c r="A80" s="34"/>
      <c r="B80" s="35"/>
      <c r="C80" s="41"/>
      <c r="D80" s="37"/>
      <c r="E80" s="37"/>
      <c r="F80" s="38"/>
      <c r="G80" s="38"/>
      <c r="H80" s="38"/>
      <c r="I80" s="39"/>
      <c r="J80" s="42"/>
    </row>
    <row r="81" spans="1:10" x14ac:dyDescent="0.25">
      <c r="A81" s="34"/>
      <c r="B81" s="43"/>
      <c r="C81" s="41"/>
      <c r="D81" s="37"/>
      <c r="E81" s="37"/>
      <c r="F81" s="38"/>
      <c r="G81" s="38"/>
      <c r="H81" s="38"/>
      <c r="I81" s="39"/>
      <c r="J81" s="42"/>
    </row>
    <row r="82" spans="1:10" x14ac:dyDescent="0.25">
      <c r="A82" s="34"/>
      <c r="B82" s="35"/>
      <c r="C82" s="41"/>
      <c r="D82" s="37"/>
      <c r="E82" s="37"/>
      <c r="F82" s="38"/>
      <c r="G82" s="38"/>
      <c r="H82" s="38"/>
      <c r="I82" s="39"/>
      <c r="J82" s="42"/>
    </row>
    <row r="83" spans="1:10" x14ac:dyDescent="0.25">
      <c r="A83" s="34"/>
      <c r="B83" s="35"/>
      <c r="C83" s="41"/>
      <c r="D83" s="37"/>
      <c r="E83" s="37"/>
      <c r="F83" s="38"/>
      <c r="G83" s="38"/>
      <c r="H83" s="38"/>
      <c r="I83" s="39"/>
      <c r="J83" s="42"/>
    </row>
    <row r="84" spans="1:10" x14ac:dyDescent="0.25">
      <c r="A84" s="34"/>
      <c r="B84" s="36"/>
      <c r="C84" s="41"/>
      <c r="D84" s="37"/>
      <c r="E84" s="37"/>
      <c r="F84" s="38"/>
      <c r="G84" s="38"/>
      <c r="H84" s="38"/>
      <c r="I84" s="39"/>
      <c r="J84" s="42"/>
    </row>
    <row r="85" spans="1:10" x14ac:dyDescent="0.25">
      <c r="A85" s="34"/>
      <c r="B85" s="43"/>
      <c r="C85" s="41"/>
      <c r="D85" s="37"/>
      <c r="E85" s="37"/>
      <c r="F85" s="38"/>
      <c r="G85" s="38"/>
      <c r="H85" s="38"/>
      <c r="I85" s="39"/>
      <c r="J85" s="42"/>
    </row>
    <row r="86" spans="1:10" x14ac:dyDescent="0.25">
      <c r="A86" s="34"/>
      <c r="B86" s="35"/>
      <c r="C86" s="41"/>
      <c r="D86" s="37"/>
      <c r="E86" s="37"/>
      <c r="F86" s="38"/>
      <c r="G86" s="38"/>
      <c r="H86" s="38"/>
      <c r="I86" s="39"/>
      <c r="J86" s="42"/>
    </row>
    <row r="87" spans="1:10" x14ac:dyDescent="0.25">
      <c r="A87" s="34"/>
      <c r="B87" s="35"/>
      <c r="C87" s="41"/>
      <c r="D87" s="37"/>
      <c r="E87" s="37"/>
      <c r="F87" s="38"/>
      <c r="G87" s="38"/>
      <c r="H87" s="38"/>
      <c r="I87" s="39"/>
      <c r="J87" s="42"/>
    </row>
    <row r="88" spans="1:10" x14ac:dyDescent="0.25">
      <c r="A88" s="34"/>
      <c r="B88" s="43"/>
      <c r="C88" s="41"/>
      <c r="D88" s="37"/>
      <c r="E88" s="37"/>
      <c r="F88" s="38"/>
      <c r="G88" s="38"/>
      <c r="H88" s="38"/>
      <c r="I88" s="39"/>
      <c r="J88" s="42"/>
    </row>
    <row r="89" spans="1:10" x14ac:dyDescent="0.25">
      <c r="A89" s="34"/>
      <c r="B89" s="35"/>
      <c r="C89" s="41"/>
      <c r="D89" s="37"/>
      <c r="E89" s="37"/>
      <c r="F89" s="38"/>
      <c r="G89" s="38"/>
      <c r="H89" s="38"/>
      <c r="I89" s="39"/>
      <c r="J89" s="42"/>
    </row>
    <row r="90" spans="1:10" x14ac:dyDescent="0.25">
      <c r="A90" s="34"/>
      <c r="B90" s="43"/>
      <c r="C90" s="41"/>
      <c r="D90" s="37"/>
      <c r="E90" s="37"/>
      <c r="F90" s="38"/>
      <c r="G90" s="38"/>
      <c r="H90" s="38"/>
      <c r="I90" s="39"/>
      <c r="J90" s="42"/>
    </row>
    <row r="91" spans="1:10" x14ac:dyDescent="0.25">
      <c r="A91" s="34"/>
      <c r="B91" s="35"/>
      <c r="C91" s="41"/>
      <c r="D91" s="37"/>
      <c r="E91" s="37"/>
      <c r="F91" s="38"/>
      <c r="G91" s="38"/>
      <c r="H91" s="38"/>
      <c r="I91" s="39"/>
      <c r="J91" s="42"/>
    </row>
    <row r="92" spans="1:10" x14ac:dyDescent="0.25">
      <c r="A92" s="34"/>
      <c r="B92" s="43"/>
      <c r="C92" s="41"/>
      <c r="D92" s="37"/>
      <c r="E92" s="37"/>
      <c r="F92" s="38"/>
      <c r="G92" s="38"/>
      <c r="H92" s="38"/>
      <c r="I92" s="39"/>
      <c r="J92" s="42"/>
    </row>
    <row r="93" spans="1:10" x14ac:dyDescent="0.25">
      <c r="A93" s="34"/>
      <c r="B93" s="43"/>
      <c r="C93" s="41"/>
      <c r="D93" s="37"/>
      <c r="E93" s="37"/>
      <c r="F93" s="38"/>
      <c r="G93" s="38"/>
      <c r="H93" s="38"/>
      <c r="I93" s="39"/>
      <c r="J93" s="42"/>
    </row>
    <row r="94" spans="1:10" x14ac:dyDescent="0.25">
      <c r="A94" s="34"/>
      <c r="B94" s="35"/>
      <c r="C94" s="41"/>
      <c r="D94" s="37"/>
      <c r="E94" s="37"/>
      <c r="F94" s="38"/>
      <c r="G94" s="38"/>
      <c r="H94" s="38"/>
      <c r="I94" s="39"/>
      <c r="J94" s="42"/>
    </row>
    <row r="95" spans="1:10" x14ac:dyDescent="0.25">
      <c r="A95" s="34"/>
      <c r="B95" s="35"/>
      <c r="C95" s="41"/>
      <c r="D95" s="37"/>
      <c r="E95" s="37"/>
      <c r="F95" s="38"/>
      <c r="G95" s="38"/>
      <c r="H95" s="38"/>
      <c r="I95" s="39"/>
      <c r="J95" s="42"/>
    </row>
    <row r="96" spans="1:10" x14ac:dyDescent="0.25">
      <c r="A96" s="34"/>
      <c r="B96" s="35"/>
      <c r="C96" s="41"/>
      <c r="D96" s="37"/>
      <c r="E96" s="37"/>
      <c r="F96" s="38"/>
      <c r="G96" s="38"/>
      <c r="H96" s="38"/>
      <c r="I96" s="39"/>
      <c r="J96" s="42"/>
    </row>
    <row r="97" spans="1:10" x14ac:dyDescent="0.25">
      <c r="A97" s="34"/>
      <c r="B97" s="35"/>
      <c r="C97" s="41"/>
      <c r="D97" s="37"/>
      <c r="E97" s="37"/>
      <c r="F97" s="38"/>
      <c r="G97" s="38"/>
      <c r="H97" s="38"/>
      <c r="I97" s="39"/>
      <c r="J97" s="42"/>
    </row>
    <row r="98" spans="1:10" x14ac:dyDescent="0.25">
      <c r="A98" s="34"/>
      <c r="B98" s="35"/>
      <c r="C98" s="41"/>
      <c r="D98" s="37"/>
      <c r="E98" s="37"/>
      <c r="F98" s="38"/>
      <c r="G98" s="38"/>
      <c r="H98" s="38"/>
      <c r="I98" s="39"/>
      <c r="J98" s="42"/>
    </row>
    <row r="99" spans="1:10" x14ac:dyDescent="0.25">
      <c r="A99" s="34"/>
      <c r="B99" s="35"/>
      <c r="C99" s="41"/>
      <c r="D99" s="37"/>
      <c r="E99" s="37"/>
      <c r="F99" s="38"/>
      <c r="G99" s="38"/>
      <c r="H99" s="38"/>
      <c r="I99" s="39"/>
      <c r="J99" s="42"/>
    </row>
    <row r="100" spans="1:10" x14ac:dyDescent="0.25">
      <c r="A100" s="34"/>
      <c r="B100" s="36"/>
      <c r="C100" s="41"/>
      <c r="D100" s="37"/>
      <c r="E100" s="37"/>
      <c r="F100" s="38"/>
      <c r="G100" s="38"/>
      <c r="H100" s="38"/>
      <c r="I100" s="39"/>
      <c r="J100" s="42"/>
    </row>
    <row r="101" spans="1:10" x14ac:dyDescent="0.25">
      <c r="A101" s="34"/>
      <c r="B101" s="36"/>
      <c r="C101" s="41"/>
      <c r="D101" s="37"/>
      <c r="E101" s="37"/>
      <c r="F101" s="38"/>
      <c r="G101" s="38"/>
      <c r="H101" s="38"/>
      <c r="I101" s="39"/>
      <c r="J101" s="42"/>
    </row>
    <row r="102" spans="1:10" x14ac:dyDescent="0.25">
      <c r="A102" s="34"/>
      <c r="B102" s="35"/>
      <c r="C102" s="41"/>
      <c r="D102" s="37"/>
      <c r="E102" s="37"/>
      <c r="F102" s="38"/>
      <c r="G102" s="38"/>
      <c r="H102" s="38"/>
      <c r="I102" s="39"/>
      <c r="J102" s="42"/>
    </row>
    <row r="103" spans="1:10" x14ac:dyDescent="0.25">
      <c r="A103" s="34"/>
      <c r="B103" s="35"/>
      <c r="C103" s="41"/>
      <c r="D103" s="37"/>
      <c r="E103" s="37"/>
      <c r="F103" s="38"/>
      <c r="G103" s="38"/>
      <c r="H103" s="38"/>
      <c r="I103" s="39"/>
      <c r="J103" s="42"/>
    </row>
    <row r="104" spans="1:10" x14ac:dyDescent="0.25">
      <c r="A104" s="34"/>
      <c r="B104" s="36"/>
      <c r="C104" s="41"/>
      <c r="D104" s="37"/>
      <c r="E104" s="37"/>
      <c r="F104" s="38"/>
      <c r="G104" s="38"/>
      <c r="H104" s="38"/>
      <c r="I104" s="39"/>
      <c r="J104" s="42"/>
    </row>
    <row r="105" spans="1:10" x14ac:dyDescent="0.25">
      <c r="A105" s="34"/>
      <c r="B105" s="43"/>
      <c r="C105" s="41"/>
      <c r="D105" s="37"/>
      <c r="E105" s="37"/>
      <c r="F105" s="38"/>
      <c r="G105" s="38"/>
      <c r="H105" s="38"/>
      <c r="I105" s="39"/>
      <c r="J105" s="42"/>
    </row>
    <row r="106" spans="1:10" x14ac:dyDescent="0.25">
      <c r="A106" s="34"/>
      <c r="B106" s="43"/>
      <c r="C106" s="41"/>
      <c r="D106" s="37"/>
      <c r="E106" s="37"/>
      <c r="F106" s="38"/>
      <c r="G106" s="38"/>
      <c r="H106" s="38"/>
      <c r="I106" s="39"/>
      <c r="J106" s="42"/>
    </row>
    <row r="107" spans="1:10" x14ac:dyDescent="0.25">
      <c r="A107" s="34"/>
      <c r="B107" s="35"/>
      <c r="C107" s="41"/>
      <c r="D107" s="37"/>
      <c r="E107" s="37"/>
      <c r="F107" s="38"/>
      <c r="G107" s="38"/>
      <c r="H107" s="38"/>
      <c r="I107" s="39"/>
      <c r="J107" s="42"/>
    </row>
    <row r="108" spans="1:10" x14ac:dyDescent="0.25">
      <c r="A108" s="34"/>
      <c r="B108" s="36"/>
      <c r="C108" s="41"/>
      <c r="D108" s="44"/>
      <c r="E108" s="44"/>
      <c r="F108" s="38"/>
      <c r="G108" s="38"/>
      <c r="H108" s="38"/>
      <c r="I108" s="39"/>
      <c r="J108" s="42"/>
    </row>
    <row r="109" spans="1:10" x14ac:dyDescent="0.25">
      <c r="A109" s="34"/>
      <c r="B109" s="36"/>
      <c r="C109" s="41"/>
      <c r="D109" s="44"/>
      <c r="E109" s="44"/>
      <c r="F109" s="38"/>
      <c r="G109" s="38"/>
      <c r="H109" s="38"/>
      <c r="I109" s="39"/>
      <c r="J109" s="42"/>
    </row>
    <row r="110" spans="1:10" x14ac:dyDescent="0.25">
      <c r="A110" s="34"/>
      <c r="B110" s="35"/>
      <c r="C110" s="41"/>
      <c r="D110" s="44"/>
      <c r="E110" s="44"/>
      <c r="F110" s="38"/>
      <c r="G110" s="38"/>
      <c r="H110" s="38"/>
      <c r="I110" s="39"/>
      <c r="J110" s="42"/>
    </row>
    <row r="111" spans="1:10" x14ac:dyDescent="0.25">
      <c r="A111" s="34"/>
      <c r="B111" s="35"/>
      <c r="C111" s="41"/>
      <c r="D111" s="44"/>
      <c r="E111" s="44"/>
      <c r="F111" s="38"/>
      <c r="G111" s="38"/>
      <c r="H111" s="38"/>
      <c r="I111" s="39"/>
      <c r="J111" s="42"/>
    </row>
    <row r="112" spans="1:10" x14ac:dyDescent="0.25">
      <c r="A112" s="34"/>
      <c r="B112" s="36"/>
      <c r="C112" s="41"/>
      <c r="D112" s="44"/>
      <c r="E112" s="44"/>
      <c r="F112" s="38"/>
      <c r="G112" s="38"/>
      <c r="H112" s="38"/>
      <c r="I112" s="39"/>
      <c r="J112" s="42"/>
    </row>
    <row r="113" spans="1:10" x14ac:dyDescent="0.25">
      <c r="A113" s="34"/>
      <c r="B113" s="36"/>
      <c r="C113" s="41"/>
      <c r="D113" s="44"/>
      <c r="E113" s="44"/>
      <c r="F113" s="38"/>
      <c r="G113" s="38"/>
      <c r="H113" s="38"/>
      <c r="I113" s="39"/>
      <c r="J113" s="42"/>
    </row>
    <row r="114" spans="1:10" x14ac:dyDescent="0.25">
      <c r="A114" s="34"/>
      <c r="B114" s="36"/>
      <c r="C114" s="41"/>
      <c r="D114" s="44"/>
      <c r="E114" s="44"/>
      <c r="F114" s="38"/>
      <c r="G114" s="38"/>
      <c r="H114" s="38"/>
      <c r="I114" s="39"/>
      <c r="J114" s="42"/>
    </row>
    <row r="115" spans="1:10" x14ac:dyDescent="0.25">
      <c r="A115" s="34"/>
      <c r="B115" s="35"/>
      <c r="C115" s="41"/>
      <c r="D115" s="44"/>
      <c r="E115" s="44"/>
      <c r="F115" s="38"/>
      <c r="G115" s="38"/>
      <c r="H115" s="38"/>
      <c r="I115" s="39"/>
      <c r="J115" s="42"/>
    </row>
    <row r="116" spans="1:10" x14ac:dyDescent="0.25">
      <c r="A116" s="34"/>
      <c r="B116" s="43"/>
      <c r="C116" s="41"/>
      <c r="D116" s="44"/>
      <c r="E116" s="44"/>
      <c r="F116" s="38"/>
      <c r="G116" s="38"/>
      <c r="H116" s="38"/>
      <c r="I116" s="39"/>
      <c r="J116" s="42"/>
    </row>
    <row r="117" spans="1:10" x14ac:dyDescent="0.25">
      <c r="A117" s="34"/>
      <c r="B117" s="36"/>
      <c r="C117" s="41"/>
      <c r="D117" s="37"/>
      <c r="E117" s="37"/>
      <c r="F117" s="38"/>
      <c r="G117" s="38"/>
      <c r="H117" s="38"/>
      <c r="I117" s="39"/>
      <c r="J117" s="42"/>
    </row>
    <row r="118" spans="1:10" x14ac:dyDescent="0.25">
      <c r="A118" s="34"/>
      <c r="B118" s="36"/>
      <c r="C118" s="41"/>
      <c r="D118" s="37"/>
      <c r="E118" s="37"/>
      <c r="F118" s="38"/>
      <c r="G118" s="38"/>
      <c r="H118" s="38"/>
      <c r="I118" s="39"/>
      <c r="J118" s="42"/>
    </row>
    <row r="119" spans="1:10" x14ac:dyDescent="0.25">
      <c r="A119" s="34"/>
      <c r="B119" s="43"/>
      <c r="C119" s="41"/>
      <c r="D119" s="37"/>
      <c r="E119" s="37"/>
      <c r="F119" s="38"/>
      <c r="G119" s="38"/>
      <c r="H119" s="38"/>
      <c r="I119" s="39"/>
      <c r="J119" s="42"/>
    </row>
    <row r="120" spans="1:10" x14ac:dyDescent="0.25">
      <c r="A120" s="34"/>
      <c r="B120" s="35"/>
      <c r="C120" s="41"/>
      <c r="D120" s="37"/>
      <c r="E120" s="37"/>
      <c r="F120" s="38"/>
      <c r="G120" s="38"/>
      <c r="H120" s="38"/>
      <c r="I120" s="39"/>
      <c r="J120" s="42"/>
    </row>
    <row r="121" spans="1:10" x14ac:dyDescent="0.25">
      <c r="A121" s="34"/>
      <c r="B121" s="36"/>
      <c r="C121" s="41"/>
      <c r="D121" s="37"/>
      <c r="E121" s="37"/>
      <c r="F121" s="38"/>
      <c r="G121" s="38"/>
      <c r="H121" s="38"/>
      <c r="I121" s="39"/>
      <c r="J121" s="42"/>
    </row>
    <row r="122" spans="1:10" x14ac:dyDescent="0.25">
      <c r="A122" s="34"/>
      <c r="B122" s="43"/>
      <c r="C122" s="41"/>
      <c r="D122" s="37"/>
      <c r="E122" s="37"/>
      <c r="F122" s="38"/>
      <c r="G122" s="38"/>
      <c r="H122" s="38"/>
      <c r="I122" s="39"/>
      <c r="J122" s="42"/>
    </row>
    <row r="123" spans="1:10" x14ac:dyDescent="0.25">
      <c r="A123" s="34"/>
      <c r="B123" s="43"/>
      <c r="C123" s="41"/>
      <c r="D123" s="37"/>
      <c r="E123" s="37"/>
      <c r="F123" s="38"/>
      <c r="G123" s="38"/>
      <c r="H123" s="38"/>
      <c r="I123" s="39"/>
      <c r="J123" s="42"/>
    </row>
    <row r="124" spans="1:10" x14ac:dyDescent="0.25">
      <c r="A124" s="34"/>
      <c r="B124" s="36"/>
      <c r="C124" s="41"/>
      <c r="D124" s="37"/>
      <c r="E124" s="37"/>
      <c r="F124" s="38"/>
      <c r="G124" s="38"/>
      <c r="H124" s="38"/>
      <c r="I124" s="39"/>
      <c r="J124" s="42"/>
    </row>
    <row r="125" spans="1:10" x14ac:dyDescent="0.25">
      <c r="A125" s="34"/>
      <c r="B125" s="36"/>
      <c r="C125" s="41"/>
      <c r="D125" s="37"/>
      <c r="E125" s="37"/>
      <c r="F125" s="38"/>
      <c r="G125" s="38"/>
      <c r="H125" s="38"/>
      <c r="I125" s="39"/>
      <c r="J125" s="42"/>
    </row>
    <row r="126" spans="1:10" x14ac:dyDescent="0.25">
      <c r="A126" s="34"/>
      <c r="B126" s="36"/>
      <c r="C126" s="41"/>
      <c r="D126" s="37"/>
      <c r="E126" s="37"/>
      <c r="F126" s="38"/>
      <c r="G126" s="38"/>
      <c r="H126" s="38"/>
      <c r="I126" s="39"/>
      <c r="J126" s="42"/>
    </row>
    <row r="127" spans="1:10" x14ac:dyDescent="0.25">
      <c r="A127" s="34"/>
      <c r="B127" s="36"/>
      <c r="C127" s="41"/>
      <c r="D127" s="37"/>
      <c r="E127" s="37"/>
      <c r="F127" s="38"/>
      <c r="G127" s="38"/>
      <c r="H127" s="38"/>
      <c r="I127" s="39"/>
      <c r="J127" s="42"/>
    </row>
    <row r="128" spans="1:10" x14ac:dyDescent="0.25">
      <c r="A128" s="34"/>
      <c r="B128" s="36"/>
      <c r="C128" s="41"/>
      <c r="D128" s="37"/>
      <c r="E128" s="37"/>
      <c r="F128" s="38"/>
      <c r="G128" s="38"/>
      <c r="H128" s="38"/>
      <c r="I128" s="39"/>
      <c r="J128" s="42"/>
    </row>
    <row r="129" spans="1:10" x14ac:dyDescent="0.25">
      <c r="A129" s="34"/>
      <c r="B129" s="36"/>
      <c r="C129" s="41"/>
      <c r="D129" s="37"/>
      <c r="E129" s="37"/>
      <c r="F129" s="38"/>
      <c r="G129" s="38"/>
      <c r="H129" s="38"/>
      <c r="I129" s="39"/>
      <c r="J129" s="42"/>
    </row>
    <row r="130" spans="1:10" x14ac:dyDescent="0.25">
      <c r="A130" s="34"/>
      <c r="B130" s="36"/>
      <c r="C130" s="41"/>
      <c r="D130" s="37"/>
      <c r="E130" s="37"/>
      <c r="F130" s="38"/>
      <c r="G130" s="38"/>
      <c r="H130" s="38"/>
      <c r="I130" s="39"/>
      <c r="J130" s="42"/>
    </row>
    <row r="131" spans="1:10" x14ac:dyDescent="0.25">
      <c r="A131" s="34"/>
      <c r="B131" s="36"/>
      <c r="C131" s="41"/>
      <c r="D131" s="37"/>
      <c r="E131" s="37"/>
      <c r="F131" s="38"/>
      <c r="G131" s="38"/>
      <c r="H131" s="38"/>
      <c r="I131" s="39"/>
      <c r="J131" s="42"/>
    </row>
    <row r="132" spans="1:10" x14ac:dyDescent="0.25">
      <c r="A132" s="34"/>
      <c r="B132" s="43"/>
      <c r="C132" s="41"/>
      <c r="D132" s="37"/>
      <c r="E132" s="37"/>
      <c r="F132" s="38"/>
      <c r="G132" s="38"/>
      <c r="H132" s="38"/>
      <c r="I132" s="39"/>
      <c r="J132" s="42"/>
    </row>
    <row r="133" spans="1:10" x14ac:dyDescent="0.25">
      <c r="A133" s="34"/>
      <c r="B133" s="43"/>
      <c r="C133" s="41"/>
      <c r="D133" s="37"/>
      <c r="E133" s="37"/>
      <c r="F133" s="38"/>
      <c r="G133" s="38"/>
      <c r="H133" s="38"/>
      <c r="I133" s="39"/>
      <c r="J133" s="42"/>
    </row>
    <row r="134" spans="1:10" x14ac:dyDescent="0.25">
      <c r="A134" s="34"/>
      <c r="B134" s="36"/>
      <c r="C134" s="41"/>
      <c r="D134" s="37"/>
      <c r="E134" s="37"/>
      <c r="F134" s="38"/>
      <c r="G134" s="38"/>
      <c r="H134" s="38"/>
      <c r="I134" s="39"/>
      <c r="J134" s="42"/>
    </row>
    <row r="135" spans="1:10" x14ac:dyDescent="0.25">
      <c r="A135" s="34"/>
      <c r="B135" s="36"/>
      <c r="C135" s="41"/>
      <c r="D135" s="37"/>
      <c r="E135" s="37"/>
      <c r="F135" s="38"/>
      <c r="G135" s="38"/>
      <c r="H135" s="38"/>
      <c r="I135" s="39"/>
      <c r="J135" s="42"/>
    </row>
    <row r="136" spans="1:10" x14ac:dyDescent="0.25">
      <c r="A136" s="34"/>
      <c r="B136" s="43"/>
      <c r="C136" s="41"/>
      <c r="D136" s="37"/>
      <c r="E136" s="37"/>
      <c r="F136" s="38"/>
      <c r="G136" s="38"/>
      <c r="H136" s="38"/>
      <c r="I136" s="39"/>
      <c r="J136" s="42"/>
    </row>
    <row r="137" spans="1:10" x14ac:dyDescent="0.25">
      <c r="A137" s="34"/>
      <c r="B137" s="35"/>
      <c r="C137" s="41"/>
      <c r="D137" s="37"/>
      <c r="E137" s="37"/>
      <c r="F137" s="38"/>
      <c r="G137" s="38"/>
      <c r="H137" s="38"/>
      <c r="I137" s="39"/>
      <c r="J137" s="42"/>
    </row>
    <row r="138" spans="1:10" x14ac:dyDescent="0.25">
      <c r="A138" s="34"/>
      <c r="B138" s="36"/>
      <c r="C138" s="41"/>
      <c r="D138" s="37"/>
      <c r="E138" s="37"/>
      <c r="F138" s="38"/>
      <c r="G138" s="38"/>
      <c r="H138" s="38"/>
      <c r="I138" s="39"/>
      <c r="J138" s="42"/>
    </row>
    <row r="139" spans="1:10" x14ac:dyDescent="0.25">
      <c r="A139" s="34"/>
      <c r="B139" s="35"/>
      <c r="C139" s="41"/>
      <c r="D139" s="37"/>
      <c r="E139" s="37"/>
      <c r="F139" s="38"/>
      <c r="G139" s="38"/>
      <c r="H139" s="38"/>
      <c r="I139" s="39"/>
      <c r="J139" s="42"/>
    </row>
    <row r="140" spans="1:10" x14ac:dyDescent="0.25">
      <c r="A140" s="34"/>
      <c r="B140" s="36"/>
      <c r="C140" s="41"/>
      <c r="D140" s="37"/>
      <c r="E140" s="37"/>
      <c r="F140" s="38"/>
      <c r="G140" s="38"/>
      <c r="H140" s="38"/>
      <c r="I140" s="39"/>
      <c r="J140" s="42"/>
    </row>
    <row r="141" spans="1:10" x14ac:dyDescent="0.25">
      <c r="A141" s="34"/>
      <c r="B141" s="43"/>
      <c r="C141" s="41"/>
      <c r="D141" s="37"/>
      <c r="E141" s="37"/>
      <c r="F141" s="38"/>
      <c r="G141" s="38"/>
      <c r="H141" s="38"/>
      <c r="I141" s="39"/>
      <c r="J141" s="42"/>
    </row>
    <row r="142" spans="1:10" x14ac:dyDescent="0.25">
      <c r="A142" s="34"/>
      <c r="B142" s="36"/>
      <c r="C142" s="41"/>
      <c r="D142" s="37"/>
      <c r="E142" s="37"/>
      <c r="F142" s="38"/>
      <c r="G142" s="38"/>
      <c r="H142" s="38"/>
      <c r="I142" s="39"/>
      <c r="J142" s="42"/>
    </row>
    <row r="143" spans="1:10" x14ac:dyDescent="0.25">
      <c r="A143" s="34"/>
      <c r="B143" s="36"/>
      <c r="C143" s="41"/>
      <c r="D143" s="37"/>
      <c r="E143" s="37"/>
      <c r="F143" s="38"/>
      <c r="G143" s="38"/>
      <c r="H143" s="38"/>
      <c r="I143" s="39"/>
      <c r="J143" s="42"/>
    </row>
    <row r="144" spans="1:10" x14ac:dyDescent="0.25">
      <c r="A144" s="34"/>
      <c r="B144" s="43"/>
      <c r="C144" s="41"/>
      <c r="D144" s="37"/>
      <c r="E144" s="37"/>
      <c r="F144" s="38"/>
      <c r="G144" s="38"/>
      <c r="H144" s="38"/>
      <c r="I144" s="39"/>
      <c r="J144" s="42"/>
    </row>
    <row r="145" spans="1:10" x14ac:dyDescent="0.25">
      <c r="A145" s="34"/>
      <c r="B145" s="43"/>
      <c r="C145" s="41"/>
      <c r="D145" s="37"/>
      <c r="E145" s="37"/>
      <c r="F145" s="38"/>
      <c r="G145" s="38"/>
      <c r="H145" s="38"/>
      <c r="I145" s="39"/>
      <c r="J145" s="42"/>
    </row>
    <row r="146" spans="1:10" x14ac:dyDescent="0.25">
      <c r="A146" s="34"/>
      <c r="B146" s="35"/>
      <c r="C146" s="41"/>
      <c r="D146" s="37"/>
      <c r="E146" s="37"/>
      <c r="F146" s="38"/>
      <c r="G146" s="38"/>
      <c r="H146" s="38"/>
      <c r="I146" s="39"/>
      <c r="J146" s="42"/>
    </row>
    <row r="147" spans="1:10" x14ac:dyDescent="0.25">
      <c r="A147" s="34"/>
      <c r="B147" s="35"/>
      <c r="C147" s="41"/>
      <c r="D147" s="37"/>
      <c r="E147" s="37"/>
      <c r="F147" s="38"/>
      <c r="G147" s="38"/>
      <c r="H147" s="38"/>
      <c r="I147" s="39"/>
      <c r="J147" s="42"/>
    </row>
    <row r="148" spans="1:10" x14ac:dyDescent="0.25">
      <c r="A148" s="34"/>
      <c r="B148" s="36"/>
      <c r="C148" s="41"/>
      <c r="D148" s="37"/>
      <c r="E148" s="37"/>
      <c r="F148" s="38"/>
      <c r="G148" s="38"/>
      <c r="H148" s="38"/>
      <c r="I148" s="39"/>
      <c r="J148" s="42"/>
    </row>
    <row r="149" spans="1:10" x14ac:dyDescent="0.25">
      <c r="A149" s="34"/>
      <c r="B149" s="35"/>
      <c r="C149" s="41"/>
      <c r="D149" s="37"/>
      <c r="E149" s="37"/>
      <c r="F149" s="38"/>
      <c r="G149" s="38"/>
      <c r="H149" s="38"/>
      <c r="I149" s="39"/>
      <c r="J149" s="42"/>
    </row>
    <row r="150" spans="1:10" x14ac:dyDescent="0.25">
      <c r="A150" s="34"/>
      <c r="B150" s="35"/>
      <c r="C150" s="41"/>
      <c r="D150" s="37"/>
      <c r="E150" s="37"/>
      <c r="F150" s="38"/>
      <c r="G150" s="38"/>
      <c r="H150" s="38"/>
      <c r="I150" s="39"/>
      <c r="J150" s="42"/>
    </row>
    <row r="151" spans="1:10" ht="15.75" thickBot="1" x14ac:dyDescent="0.3"/>
    <row r="152" spans="1:10" ht="15.75" thickBot="1" x14ac:dyDescent="0.3">
      <c r="D152" s="45">
        <f>SUM(D6:D151)</f>
        <v>1018.5700000000002</v>
      </c>
      <c r="E152" s="46">
        <f>SUM(E6:E151)</f>
        <v>10558750.15</v>
      </c>
    </row>
    <row r="153" spans="1:10" x14ac:dyDescent="0.25">
      <c r="G153" s="47"/>
    </row>
    <row r="154" spans="1:10" x14ac:dyDescent="0.25">
      <c r="H154" s="47"/>
    </row>
  </sheetData>
  <printOptions horizontalCentered="1"/>
  <pageMargins left="0.7" right="0.7" top="0.75" bottom="0.75" header="0.3" footer="0.3"/>
  <pageSetup paperSize="17" scale="52" fitToHeight="0" orientation="portrait" r:id="rId1"/>
  <headerFooter alignWithMargins="0">
    <oddFooter>&amp;F&amp;RPage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41710-00C1-49A0-B4C1-36CD461437D3}">
  <sheetPr>
    <pageSetUpPr fitToPage="1"/>
  </sheetPr>
  <dimension ref="A1:P5"/>
  <sheetViews>
    <sheetView zoomScale="85" zoomScaleNormal="85" workbookViewId="0">
      <selection activeCell="D11" sqref="D11"/>
    </sheetView>
  </sheetViews>
  <sheetFormatPr defaultRowHeight="14.25" x14ac:dyDescent="0.2"/>
  <cols>
    <col min="1" max="1" width="20.7109375" style="51" customWidth="1"/>
    <col min="2" max="2" width="26.42578125" style="51" customWidth="1"/>
    <col min="3" max="3" width="25" style="51" bestFit="1" customWidth="1"/>
    <col min="4" max="4" width="22.140625" style="51" customWidth="1"/>
    <col min="5" max="5" width="20.140625" style="51" bestFit="1" customWidth="1"/>
    <col min="6" max="6" width="15.28515625" style="51" customWidth="1"/>
    <col min="7" max="8" width="15.28515625" style="115" customWidth="1"/>
    <col min="9" max="9" width="26.28515625" style="51" customWidth="1"/>
    <col min="10" max="10" width="27" style="51" customWidth="1"/>
    <col min="11" max="11" width="21.140625" style="51" customWidth="1"/>
    <col min="12" max="12" width="18.42578125" style="51" customWidth="1"/>
    <col min="13" max="13" width="14.7109375" style="51" bestFit="1" customWidth="1"/>
    <col min="14" max="15" width="18.7109375" style="51" customWidth="1"/>
    <col min="16" max="16" width="13" style="130" customWidth="1"/>
    <col min="17" max="25" width="16.7109375" style="51" customWidth="1"/>
    <col min="26" max="26" width="18.7109375" style="51" customWidth="1"/>
    <col min="27" max="16384" width="9.140625" style="51"/>
  </cols>
  <sheetData>
    <row r="1" spans="1:16" ht="18.75" x14ac:dyDescent="0.3">
      <c r="A1" s="50" t="s">
        <v>123</v>
      </c>
      <c r="C1" s="53"/>
      <c r="E1" s="53"/>
      <c r="O1" s="53"/>
      <c r="P1" s="116"/>
    </row>
    <row r="2" spans="1:16" ht="18" x14ac:dyDescent="0.25">
      <c r="B2" s="53"/>
      <c r="C2" s="53"/>
      <c r="E2" s="53"/>
      <c r="L2" s="117"/>
      <c r="N2" s="118"/>
      <c r="O2" s="53"/>
      <c r="P2" s="116"/>
    </row>
    <row r="3" spans="1:16" s="122" customFormat="1" ht="65.25" customHeight="1" x14ac:dyDescent="0.25">
      <c r="A3" s="119" t="s">
        <v>85</v>
      </c>
      <c r="B3" s="119" t="s">
        <v>68</v>
      </c>
      <c r="C3" s="120" t="s">
        <v>97</v>
      </c>
      <c r="D3" s="120" t="s">
        <v>98</v>
      </c>
      <c r="E3" s="119" t="s">
        <v>100</v>
      </c>
      <c r="F3" s="119" t="s">
        <v>101</v>
      </c>
      <c r="G3" s="119" t="s">
        <v>102</v>
      </c>
      <c r="H3" s="119" t="s">
        <v>103</v>
      </c>
      <c r="I3" s="121" t="s">
        <v>104</v>
      </c>
    </row>
    <row r="4" spans="1:16" s="122" customFormat="1" ht="15.75" x14ac:dyDescent="0.25">
      <c r="A4" s="123" t="s">
        <v>124</v>
      </c>
      <c r="B4" s="123" t="s">
        <v>125</v>
      </c>
      <c r="C4" s="124">
        <v>144</v>
      </c>
      <c r="D4" s="124">
        <v>1817000</v>
      </c>
      <c r="E4" s="125" t="s">
        <v>126</v>
      </c>
      <c r="F4" s="126">
        <v>37500</v>
      </c>
      <c r="G4" s="126">
        <v>4875</v>
      </c>
      <c r="H4" s="126">
        <v>42375</v>
      </c>
      <c r="I4" s="127">
        <v>44526</v>
      </c>
    </row>
    <row r="5" spans="1:16" x14ac:dyDescent="0.2">
      <c r="B5" s="70"/>
      <c r="C5" s="70"/>
      <c r="D5" s="70"/>
      <c r="E5" s="70"/>
      <c r="F5" s="70"/>
      <c r="G5" s="128"/>
      <c r="H5" s="128"/>
      <c r="I5" s="70"/>
      <c r="J5" s="70"/>
      <c r="K5" s="70"/>
      <c r="L5" s="70"/>
      <c r="M5" s="70"/>
      <c r="N5" s="70"/>
      <c r="O5" s="70"/>
      <c r="P5" s="129"/>
    </row>
  </sheetData>
  <printOptions horizontalCentered="1"/>
  <pageMargins left="0.2" right="0.2" top="0.75" bottom="0.75" header="0.3" footer="0.3"/>
  <pageSetup paperSize="3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9B1D9-62CF-46D3-AD11-A3A819FDCF9F}">
  <dimension ref="A1:O34"/>
  <sheetViews>
    <sheetView zoomScale="85" zoomScaleNormal="85" workbookViewId="0">
      <selection activeCell="F17" sqref="F17"/>
    </sheetView>
  </sheetViews>
  <sheetFormatPr defaultRowHeight="14.25" x14ac:dyDescent="0.2"/>
  <cols>
    <col min="1" max="1" width="17" style="55" customWidth="1"/>
    <col min="2" max="2" width="17.28515625" style="51" customWidth="1"/>
    <col min="3" max="3" width="27" style="51" customWidth="1"/>
    <col min="4" max="4" width="14.7109375" style="51" customWidth="1"/>
    <col min="5" max="5" width="22.28515625" style="51" customWidth="1"/>
    <col min="6" max="6" width="30.42578125" style="51" customWidth="1"/>
    <col min="7" max="7" width="21.5703125" style="51" customWidth="1"/>
    <col min="8" max="8" width="12" style="51" customWidth="1"/>
    <col min="9" max="11" width="13.42578125" style="51" customWidth="1"/>
    <col min="12" max="12" width="15" style="51" bestFit="1" customWidth="1"/>
    <col min="13" max="14" width="16.140625" style="51" bestFit="1" customWidth="1"/>
    <col min="15" max="15" width="14.140625" style="54" customWidth="1"/>
    <col min="16" max="16384" width="9.140625" style="51"/>
  </cols>
  <sheetData>
    <row r="1" spans="1:15" ht="23.25" x14ac:dyDescent="0.35">
      <c r="A1" s="50" t="s">
        <v>127</v>
      </c>
      <c r="C1" s="52"/>
      <c r="D1" s="53"/>
    </row>
    <row r="2" spans="1:15" ht="18" x14ac:dyDescent="0.25">
      <c r="C2" s="53"/>
      <c r="D2" s="53"/>
      <c r="H2" s="56"/>
      <c r="I2" s="56"/>
      <c r="J2" s="56"/>
      <c r="K2" s="56"/>
    </row>
    <row r="3" spans="1:15" s="59" customFormat="1" ht="129" customHeight="1" x14ac:dyDescent="0.25">
      <c r="A3" s="119" t="s">
        <v>85</v>
      </c>
      <c r="B3" s="57" t="s">
        <v>68</v>
      </c>
      <c r="C3" s="57" t="s">
        <v>86</v>
      </c>
      <c r="D3" s="57" t="s">
        <v>87</v>
      </c>
      <c r="E3" s="57" t="s">
        <v>88</v>
      </c>
      <c r="F3" s="57" t="s">
        <v>89</v>
      </c>
      <c r="G3" s="57" t="s">
        <v>90</v>
      </c>
      <c r="H3" s="57" t="s">
        <v>91</v>
      </c>
      <c r="I3" s="57" t="s">
        <v>92</v>
      </c>
      <c r="J3" s="58" t="s">
        <v>93</v>
      </c>
    </row>
    <row r="4" spans="1:15" ht="15" x14ac:dyDescent="0.2">
      <c r="A4" s="131" t="s">
        <v>94</v>
      </c>
      <c r="B4" s="61" t="s">
        <v>19</v>
      </c>
      <c r="C4" s="62">
        <v>17.5</v>
      </c>
      <c r="D4" s="63">
        <v>9663</v>
      </c>
      <c r="E4" s="64"/>
      <c r="F4" s="65">
        <v>6321544</v>
      </c>
      <c r="G4" s="66">
        <v>14000</v>
      </c>
      <c r="H4" s="67">
        <v>1820</v>
      </c>
      <c r="I4" s="67">
        <v>15820</v>
      </c>
      <c r="J4" s="68">
        <v>44516</v>
      </c>
      <c r="K4" s="59"/>
      <c r="O4" s="51"/>
    </row>
    <row r="5" spans="1:15" x14ac:dyDescent="0.2">
      <c r="A5" s="51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1"/>
    </row>
    <row r="6" spans="1:15" x14ac:dyDescent="0.2">
      <c r="A6" s="51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1"/>
    </row>
    <row r="7" spans="1:15" x14ac:dyDescent="0.2">
      <c r="A7" s="51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1"/>
    </row>
    <row r="8" spans="1:15" x14ac:dyDescent="0.2">
      <c r="A8" s="51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1"/>
    </row>
    <row r="9" spans="1:15" x14ac:dyDescent="0.2">
      <c r="A9" s="51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1"/>
    </row>
    <row r="10" spans="1:15" x14ac:dyDescent="0.2">
      <c r="A10" s="51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1"/>
    </row>
    <row r="11" spans="1:15" x14ac:dyDescent="0.2">
      <c r="A11" s="51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1"/>
    </row>
    <row r="12" spans="1:15" x14ac:dyDescent="0.2">
      <c r="A12" s="51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1"/>
    </row>
    <row r="13" spans="1:15" x14ac:dyDescent="0.2">
      <c r="A13" s="51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1"/>
    </row>
    <row r="14" spans="1:15" x14ac:dyDescent="0.2">
      <c r="A14" s="51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1"/>
    </row>
    <row r="15" spans="1:15" x14ac:dyDescent="0.2">
      <c r="A15" s="51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1"/>
    </row>
    <row r="16" spans="1:15" x14ac:dyDescent="0.2">
      <c r="A16" s="51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1"/>
    </row>
    <row r="17" spans="1:15" x14ac:dyDescent="0.2">
      <c r="A17" s="51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1"/>
    </row>
    <row r="18" spans="1:15" x14ac:dyDescent="0.2">
      <c r="A18" s="51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1"/>
    </row>
    <row r="19" spans="1:15" x14ac:dyDescent="0.2">
      <c r="A19" s="51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1"/>
    </row>
    <row r="20" spans="1:15" x14ac:dyDescent="0.2">
      <c r="A20" s="51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1"/>
    </row>
    <row r="21" spans="1:15" x14ac:dyDescent="0.2">
      <c r="A21" s="51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1"/>
    </row>
    <row r="22" spans="1:15" x14ac:dyDescent="0.2">
      <c r="A22" s="5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1"/>
    </row>
    <row r="23" spans="1:15" x14ac:dyDescent="0.2">
      <c r="A23" s="51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1"/>
    </row>
    <row r="24" spans="1:15" x14ac:dyDescent="0.2">
      <c r="A24" s="51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1"/>
    </row>
    <row r="25" spans="1:15" x14ac:dyDescent="0.2">
      <c r="A25" s="51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</row>
    <row r="26" spans="1:15" x14ac:dyDescent="0.2">
      <c r="A26" s="51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</row>
    <row r="27" spans="1:15" x14ac:dyDescent="0.2">
      <c r="A27" s="51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1:15" x14ac:dyDescent="0.2">
      <c r="A28" s="51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1"/>
    </row>
    <row r="29" spans="1:15" x14ac:dyDescent="0.2">
      <c r="A29" s="51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1"/>
    </row>
    <row r="30" spans="1:15" x14ac:dyDescent="0.2">
      <c r="A30" s="51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1"/>
    </row>
    <row r="31" spans="1:15" x14ac:dyDescent="0.2">
      <c r="A31" s="51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1"/>
    </row>
    <row r="32" spans="1:15" x14ac:dyDescent="0.2">
      <c r="A32" s="51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1"/>
    </row>
    <row r="33" spans="1:15" x14ac:dyDescent="0.2">
      <c r="A33" s="51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</row>
    <row r="34" spans="1:15" x14ac:dyDescent="0.2">
      <c r="A34" s="51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Guelph 2020 Actual</vt:lpstr>
      <vt:lpstr>Retrofit 2020</vt:lpstr>
      <vt:lpstr>Energy Manager 2020</vt:lpstr>
      <vt:lpstr>HPNC 2020</vt:lpstr>
      <vt:lpstr>Guelph 2021 Actual</vt:lpstr>
      <vt:lpstr>Retrofit 2021</vt:lpstr>
      <vt:lpstr>M&amp;T 2021</vt:lpstr>
      <vt:lpstr>HPNC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 Cheng</dc:creator>
  <cp:lastModifiedBy>Nicole Fan</cp:lastModifiedBy>
  <dcterms:created xsi:type="dcterms:W3CDTF">2022-07-20T14:57:54Z</dcterms:created>
  <dcterms:modified xsi:type="dcterms:W3CDTF">2022-07-21T21:08:46Z</dcterms:modified>
</cp:coreProperties>
</file>