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\common\Finance\Rates\_Alectra\Rate Applications\EDR Rate Applications\2023 EDR Application\0. Application and Adjudication Process\A. Complete Application and Evidence_IRM\Attachments\"/>
    </mc:Choice>
  </mc:AlternateContent>
  <xr:revisionPtr revIDLastSave="0" documentId="13_ncr:1_{D014A298-BD26-4744-B883-1711218B8932}" xr6:coauthVersionLast="47" xr6:coauthVersionMax="47" xr10:uidLastSave="{00000000-0000-0000-0000-000000000000}"/>
  <bookViews>
    <workbookView xWindow="-120" yWindow="-120" windowWidth="38640" windowHeight="21240" xr2:uid="{6705ED34-62FF-4585-85B5-3DA522F2416A}"/>
  </bookViews>
  <sheets>
    <sheet name="Summary Table" sheetId="6" r:id="rId1"/>
    <sheet name="RRR Data" sheetId="5" r:id="rId2"/>
    <sheet name="BRZ" sheetId="2" r:id="rId3"/>
    <sheet name="PRZ" sheetId="3" r:id="rId4"/>
    <sheet name="GRZ" sheetId="1" r:id="rId5"/>
    <sheet name="HRZ" sheetId="7" r:id="rId6"/>
  </sheets>
  <definedNames>
    <definedName name="_xlnm.Print_Area" localSheetId="2">BRZ!$A$1:$L$50</definedName>
    <definedName name="_xlnm.Print_Area" localSheetId="4">GRZ!$A$1:$L$50</definedName>
    <definedName name="_xlnm.Print_Area" localSheetId="5">HRZ!$A$1:$L$50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5" l="1"/>
  <c r="B7" i="7" s="1"/>
  <c r="D23" i="5"/>
  <c r="B6" i="7" s="1"/>
  <c r="E23" i="5"/>
  <c r="B8" i="7" s="1"/>
  <c r="H23" i="5"/>
  <c r="C8" i="7" s="1"/>
  <c r="F14" i="5"/>
  <c r="F23" i="5" s="1"/>
  <c r="C7" i="7" s="1"/>
  <c r="G14" i="5"/>
  <c r="G23" i="5" s="1"/>
  <c r="C6" i="7" s="1"/>
  <c r="H48" i="7" l="1"/>
  <c r="E48" i="7"/>
  <c r="I47" i="7"/>
  <c r="C45" i="7"/>
  <c r="L44" i="7"/>
  <c r="K44" i="7"/>
  <c r="J44" i="7"/>
  <c r="I44" i="7"/>
  <c r="C44" i="7"/>
  <c r="H43" i="7"/>
  <c r="E43" i="7"/>
  <c r="C43" i="7"/>
  <c r="L42" i="7"/>
  <c r="K42" i="7"/>
  <c r="J42" i="7"/>
  <c r="I42" i="7"/>
  <c r="C42" i="7"/>
  <c r="L41" i="7"/>
  <c r="K41" i="7"/>
  <c r="J41" i="7"/>
  <c r="I41" i="7"/>
  <c r="H41" i="7"/>
  <c r="H44" i="7" s="1"/>
  <c r="E41" i="7"/>
  <c r="E44" i="7" s="1"/>
  <c r="C41" i="7"/>
  <c r="C40" i="7"/>
  <c r="L39" i="7"/>
  <c r="K39" i="7"/>
  <c r="J39" i="7"/>
  <c r="I39" i="7"/>
  <c r="C39" i="7"/>
  <c r="K38" i="7"/>
  <c r="J38" i="7"/>
  <c r="I38" i="7"/>
  <c r="H38" i="7"/>
  <c r="E38" i="7"/>
  <c r="C38" i="7"/>
  <c r="L37" i="7"/>
  <c r="K37" i="7"/>
  <c r="J37" i="7"/>
  <c r="I37" i="7"/>
  <c r="C37" i="7"/>
  <c r="L36" i="7"/>
  <c r="K36" i="7"/>
  <c r="J36" i="7"/>
  <c r="I36" i="7"/>
  <c r="C36" i="7"/>
  <c r="G34" i="7"/>
  <c r="I34" i="7" s="1"/>
  <c r="G32" i="7"/>
  <c r="H32" i="7" s="1"/>
  <c r="G31" i="7"/>
  <c r="I31" i="7" s="1"/>
  <c r="G28" i="7"/>
  <c r="I28" i="7" s="1"/>
  <c r="G26" i="7"/>
  <c r="H26" i="7" s="1"/>
  <c r="G24" i="7"/>
  <c r="H24" i="7" s="1"/>
  <c r="G23" i="7"/>
  <c r="G21" i="7"/>
  <c r="H21" i="7" s="1"/>
  <c r="D21" i="7"/>
  <c r="E21" i="7" s="1"/>
  <c r="G19" i="7"/>
  <c r="H19" i="7" s="1"/>
  <c r="G33" i="7"/>
  <c r="H33" i="7" s="1"/>
  <c r="D15" i="7"/>
  <c r="G29" i="7"/>
  <c r="H29" i="7" s="1"/>
  <c r="D29" i="7"/>
  <c r="E29" i="7" s="1"/>
  <c r="D31" i="7"/>
  <c r="E31" i="7" s="1"/>
  <c r="D24" i="5"/>
  <c r="B6" i="2" s="1"/>
  <c r="C24" i="5"/>
  <c r="B7" i="2" s="1"/>
  <c r="F15" i="5"/>
  <c r="H26" i="5"/>
  <c r="C8" i="1" s="1"/>
  <c r="G15" i="1" s="1"/>
  <c r="H25" i="5"/>
  <c r="C8" i="3" s="1"/>
  <c r="H24" i="5"/>
  <c r="C8" i="2" s="1"/>
  <c r="G17" i="2" s="1"/>
  <c r="F24" i="5"/>
  <c r="C7" i="2" s="1"/>
  <c r="E25" i="5"/>
  <c r="B8" i="3" s="1"/>
  <c r="D15" i="3" s="1"/>
  <c r="E26" i="5"/>
  <c r="B8" i="1" s="1"/>
  <c r="D15" i="1" s="1"/>
  <c r="E24" i="5"/>
  <c r="B8" i="2" s="1"/>
  <c r="D15" i="2" s="1"/>
  <c r="C25" i="5"/>
  <c r="B7" i="3" s="1"/>
  <c r="D25" i="5"/>
  <c r="B6" i="3" s="1"/>
  <c r="C26" i="5"/>
  <c r="B7" i="1" s="1"/>
  <c r="D26" i="5"/>
  <c r="B6" i="1" s="1"/>
  <c r="F16" i="5"/>
  <c r="F25" i="5" s="1"/>
  <c r="C7" i="3" s="1"/>
  <c r="G18" i="3" s="1"/>
  <c r="G16" i="5"/>
  <c r="G25" i="5" s="1"/>
  <c r="C6" i="3" s="1"/>
  <c r="F17" i="5"/>
  <c r="F26" i="5" s="1"/>
  <c r="C7" i="1" s="1"/>
  <c r="G17" i="5"/>
  <c r="G26" i="5" s="1"/>
  <c r="C6" i="1" s="1"/>
  <c r="G15" i="5"/>
  <c r="G24" i="5" s="1"/>
  <c r="C6" i="2" s="1"/>
  <c r="H31" i="7" l="1"/>
  <c r="G33" i="3"/>
  <c r="I33" i="3" s="1"/>
  <c r="G26" i="3"/>
  <c r="I26" i="3" s="1"/>
  <c r="G15" i="3"/>
  <c r="J15" i="3" s="1"/>
  <c r="G17" i="3"/>
  <c r="I17" i="3" s="1"/>
  <c r="G17" i="1"/>
  <c r="G33" i="1"/>
  <c r="G26" i="1"/>
  <c r="G33" i="2"/>
  <c r="I33" i="2" s="1"/>
  <c r="G15" i="2"/>
  <c r="H15" i="2" s="1"/>
  <c r="G26" i="2"/>
  <c r="I26" i="2" s="1"/>
  <c r="J21" i="7"/>
  <c r="I24" i="7"/>
  <c r="K21" i="7"/>
  <c r="L21" i="7" s="1"/>
  <c r="I32" i="7"/>
  <c r="I29" i="7"/>
  <c r="I33" i="7"/>
  <c r="D26" i="7"/>
  <c r="E26" i="7" s="1"/>
  <c r="K26" i="7" s="1"/>
  <c r="L26" i="7" s="1"/>
  <c r="D17" i="7"/>
  <c r="E17" i="7" s="1"/>
  <c r="E15" i="7"/>
  <c r="D33" i="7"/>
  <c r="E33" i="7" s="1"/>
  <c r="K33" i="7" s="1"/>
  <c r="L33" i="7" s="1"/>
  <c r="J29" i="7"/>
  <c r="K29" i="7"/>
  <c r="L29" i="7" s="1"/>
  <c r="D18" i="7"/>
  <c r="E18" i="7" s="1"/>
  <c r="D22" i="7"/>
  <c r="E22" i="7" s="1"/>
  <c r="G16" i="7"/>
  <c r="G18" i="7"/>
  <c r="I19" i="7"/>
  <c r="I21" i="7"/>
  <c r="H23" i="7"/>
  <c r="D24" i="7"/>
  <c r="G25" i="7"/>
  <c r="I26" i="7"/>
  <c r="H28" i="7"/>
  <c r="H34" i="7"/>
  <c r="D28" i="7"/>
  <c r="E28" i="7" s="1"/>
  <c r="D16" i="7"/>
  <c r="E16" i="7" s="1"/>
  <c r="D25" i="7"/>
  <c r="E25" i="7" s="1"/>
  <c r="D19" i="7"/>
  <c r="E19" i="7" s="1"/>
  <c r="K19" i="7" s="1"/>
  <c r="L19" i="7" s="1"/>
  <c r="G22" i="7"/>
  <c r="I23" i="7"/>
  <c r="J31" i="7"/>
  <c r="E42" i="7"/>
  <c r="K31" i="7"/>
  <c r="D23" i="7"/>
  <c r="E23" i="7" s="1"/>
  <c r="D32" i="7"/>
  <c r="E32" i="7" s="1"/>
  <c r="J32" i="7" s="1"/>
  <c r="D34" i="7"/>
  <c r="E34" i="7" s="1"/>
  <c r="G15" i="7"/>
  <c r="G17" i="7"/>
  <c r="H42" i="7"/>
  <c r="H48" i="3"/>
  <c r="E48" i="3"/>
  <c r="I47" i="3"/>
  <c r="C45" i="3"/>
  <c r="L44" i="3"/>
  <c r="K44" i="3"/>
  <c r="J44" i="3"/>
  <c r="I44" i="3"/>
  <c r="C44" i="3"/>
  <c r="H43" i="3"/>
  <c r="E43" i="3"/>
  <c r="C43" i="3"/>
  <c r="L42" i="3"/>
  <c r="K42" i="3"/>
  <c r="J42" i="3"/>
  <c r="I42" i="3"/>
  <c r="C42" i="3"/>
  <c r="L41" i="3"/>
  <c r="K41" i="3"/>
  <c r="J41" i="3"/>
  <c r="I41" i="3"/>
  <c r="H41" i="3"/>
  <c r="E41" i="3"/>
  <c r="E44" i="3" s="1"/>
  <c r="C41" i="3"/>
  <c r="C40" i="3"/>
  <c r="L39" i="3"/>
  <c r="K39" i="3"/>
  <c r="J39" i="3"/>
  <c r="I39" i="3"/>
  <c r="C39" i="3"/>
  <c r="K38" i="3"/>
  <c r="J38" i="3"/>
  <c r="I38" i="3"/>
  <c r="H38" i="3"/>
  <c r="E38" i="3"/>
  <c r="C38" i="3"/>
  <c r="L37" i="3"/>
  <c r="K37" i="3"/>
  <c r="J37" i="3"/>
  <c r="I37" i="3"/>
  <c r="C37" i="3"/>
  <c r="L36" i="3"/>
  <c r="K36" i="3"/>
  <c r="J36" i="3"/>
  <c r="I36" i="3"/>
  <c r="C36" i="3"/>
  <c r="D34" i="3"/>
  <c r="E34" i="3" s="1"/>
  <c r="H33" i="3"/>
  <c r="D33" i="3"/>
  <c r="E33" i="3" s="1"/>
  <c r="D32" i="3"/>
  <c r="E32" i="3" s="1"/>
  <c r="D31" i="3"/>
  <c r="E31" i="3" s="1"/>
  <c r="D29" i="3"/>
  <c r="E29" i="3" s="1"/>
  <c r="D28" i="3"/>
  <c r="E28" i="3" s="1"/>
  <c r="D26" i="3"/>
  <c r="E26" i="3" s="1"/>
  <c r="D25" i="3"/>
  <c r="E25" i="3" s="1"/>
  <c r="D24" i="3"/>
  <c r="E24" i="3" s="1"/>
  <c r="D23" i="3"/>
  <c r="E23" i="3" s="1"/>
  <c r="D22" i="3"/>
  <c r="E22" i="3" s="1"/>
  <c r="D21" i="3"/>
  <c r="E21" i="3" s="1"/>
  <c r="D19" i="3"/>
  <c r="E19" i="3" s="1"/>
  <c r="I18" i="3"/>
  <c r="H18" i="3"/>
  <c r="D18" i="3"/>
  <c r="E18" i="3" s="1"/>
  <c r="D17" i="3"/>
  <c r="D16" i="3"/>
  <c r="E16" i="3" s="1"/>
  <c r="E15" i="3"/>
  <c r="H48" i="2"/>
  <c r="E48" i="2"/>
  <c r="I47" i="2"/>
  <c r="C45" i="2"/>
  <c r="L44" i="2"/>
  <c r="K44" i="2"/>
  <c r="J44" i="2"/>
  <c r="I44" i="2"/>
  <c r="C44" i="2"/>
  <c r="H43" i="2"/>
  <c r="E43" i="2"/>
  <c r="C43" i="2"/>
  <c r="L42" i="2"/>
  <c r="K42" i="2"/>
  <c r="J42" i="2"/>
  <c r="I42" i="2"/>
  <c r="C42" i="2"/>
  <c r="L41" i="2"/>
  <c r="K41" i="2"/>
  <c r="J41" i="2"/>
  <c r="I41" i="2"/>
  <c r="H41" i="2"/>
  <c r="E41" i="2"/>
  <c r="E44" i="2" s="1"/>
  <c r="C41" i="2"/>
  <c r="C40" i="2"/>
  <c r="L39" i="2"/>
  <c r="K39" i="2"/>
  <c r="J39" i="2"/>
  <c r="I39" i="2"/>
  <c r="C39" i="2"/>
  <c r="K38" i="2"/>
  <c r="J38" i="2"/>
  <c r="I38" i="2"/>
  <c r="H38" i="2"/>
  <c r="E38" i="2"/>
  <c r="C38" i="2"/>
  <c r="L37" i="2"/>
  <c r="K37" i="2"/>
  <c r="J37" i="2"/>
  <c r="I37" i="2"/>
  <c r="C37" i="2"/>
  <c r="L36" i="2"/>
  <c r="K36" i="2"/>
  <c r="J36" i="2"/>
  <c r="I36" i="2"/>
  <c r="C36" i="2"/>
  <c r="G34" i="2"/>
  <c r="I34" i="2" s="1"/>
  <c r="D34" i="2"/>
  <c r="E34" i="2" s="1"/>
  <c r="D33" i="2"/>
  <c r="E33" i="2" s="1"/>
  <c r="G32" i="2"/>
  <c r="I32" i="2" s="1"/>
  <c r="D32" i="2"/>
  <c r="E32" i="2" s="1"/>
  <c r="G31" i="2"/>
  <c r="I31" i="2" s="1"/>
  <c r="D31" i="2"/>
  <c r="E31" i="2" s="1"/>
  <c r="G29" i="2"/>
  <c r="H29" i="2" s="1"/>
  <c r="D29" i="2"/>
  <c r="E29" i="2" s="1"/>
  <c r="G28" i="2"/>
  <c r="I28" i="2" s="1"/>
  <c r="D28" i="2"/>
  <c r="E28" i="2" s="1"/>
  <c r="D26" i="2"/>
  <c r="G25" i="2"/>
  <c r="H25" i="2" s="1"/>
  <c r="D25" i="2"/>
  <c r="E25" i="2" s="1"/>
  <c r="G24" i="2"/>
  <c r="I24" i="2" s="1"/>
  <c r="D24" i="2"/>
  <c r="E24" i="2" s="1"/>
  <c r="G23" i="2"/>
  <c r="D23" i="2"/>
  <c r="E23" i="2" s="1"/>
  <c r="G22" i="2"/>
  <c r="I22" i="2" s="1"/>
  <c r="D22" i="2"/>
  <c r="E22" i="2" s="1"/>
  <c r="G21" i="2"/>
  <c r="D21" i="2"/>
  <c r="E21" i="2" s="1"/>
  <c r="G19" i="2"/>
  <c r="D19" i="2"/>
  <c r="E19" i="2" s="1"/>
  <c r="G18" i="2"/>
  <c r="D18" i="2"/>
  <c r="E18" i="2" s="1"/>
  <c r="I17" i="2"/>
  <c r="H17" i="2"/>
  <c r="D17" i="2"/>
  <c r="J17" i="2" s="1"/>
  <c r="G16" i="2"/>
  <c r="I16" i="2" s="1"/>
  <c r="D16" i="2"/>
  <c r="E16" i="2" s="1"/>
  <c r="J15" i="2"/>
  <c r="I15" i="2"/>
  <c r="E15" i="2"/>
  <c r="I15" i="3" l="1"/>
  <c r="J33" i="3"/>
  <c r="H15" i="3"/>
  <c r="K15" i="3" s="1"/>
  <c r="L15" i="3" s="1"/>
  <c r="H26" i="3"/>
  <c r="J26" i="2"/>
  <c r="H26" i="2"/>
  <c r="H33" i="2"/>
  <c r="J17" i="3"/>
  <c r="H17" i="3"/>
  <c r="I35" i="7"/>
  <c r="J26" i="7"/>
  <c r="J23" i="7"/>
  <c r="J19" i="7"/>
  <c r="J33" i="7"/>
  <c r="E20" i="7"/>
  <c r="J15" i="7"/>
  <c r="H15" i="7"/>
  <c r="I15" i="7"/>
  <c r="K28" i="7"/>
  <c r="L28" i="7" s="1"/>
  <c r="J28" i="7"/>
  <c r="J24" i="7"/>
  <c r="E24" i="7"/>
  <c r="K24" i="7" s="1"/>
  <c r="L24" i="7" s="1"/>
  <c r="J17" i="7"/>
  <c r="H17" i="7"/>
  <c r="I17" i="7"/>
  <c r="L31" i="7"/>
  <c r="H22" i="7"/>
  <c r="I22" i="7"/>
  <c r="J22" i="7"/>
  <c r="J34" i="7"/>
  <c r="K34" i="7"/>
  <c r="K23" i="7"/>
  <c r="L23" i="7" s="1"/>
  <c r="I18" i="7"/>
  <c r="J18" i="7"/>
  <c r="H18" i="7"/>
  <c r="K32" i="7"/>
  <c r="L32" i="7" s="1"/>
  <c r="I25" i="7"/>
  <c r="H25" i="7"/>
  <c r="J25" i="7"/>
  <c r="I16" i="7"/>
  <c r="H16" i="7"/>
  <c r="J16" i="7"/>
  <c r="J19" i="2"/>
  <c r="J18" i="2"/>
  <c r="I19" i="2"/>
  <c r="J21" i="2"/>
  <c r="J24" i="2"/>
  <c r="J23" i="2"/>
  <c r="H24" i="2"/>
  <c r="I29" i="2"/>
  <c r="G21" i="3"/>
  <c r="I21" i="3" s="1"/>
  <c r="G32" i="3"/>
  <c r="I32" i="3" s="1"/>
  <c r="G24" i="3"/>
  <c r="I24" i="3" s="1"/>
  <c r="G34" i="3"/>
  <c r="I34" i="3" s="1"/>
  <c r="G31" i="3"/>
  <c r="H31" i="3" s="1"/>
  <c r="J26" i="3"/>
  <c r="K33" i="3"/>
  <c r="L33" i="3" s="1"/>
  <c r="J18" i="3"/>
  <c r="H16" i="2"/>
  <c r="H18" i="2"/>
  <c r="K18" i="2" s="1"/>
  <c r="L18" i="2" s="1"/>
  <c r="H19" i="2"/>
  <c r="H22" i="2"/>
  <c r="H23" i="2"/>
  <c r="H28" i="2"/>
  <c r="H21" i="2"/>
  <c r="E26" i="2"/>
  <c r="H31" i="2"/>
  <c r="H34" i="2"/>
  <c r="K34" i="2" s="1"/>
  <c r="L34" i="2" s="1"/>
  <c r="J16" i="2"/>
  <c r="J22" i="2"/>
  <c r="J25" i="2"/>
  <c r="K29" i="2"/>
  <c r="L29" i="2" s="1"/>
  <c r="H42" i="3"/>
  <c r="K18" i="3"/>
  <c r="L18" i="3" s="1"/>
  <c r="H44" i="3"/>
  <c r="E17" i="3"/>
  <c r="K17" i="3" s="1"/>
  <c r="L17" i="3" s="1"/>
  <c r="E42" i="3"/>
  <c r="K15" i="2"/>
  <c r="L15" i="2" s="1"/>
  <c r="I35" i="2"/>
  <c r="H42" i="2"/>
  <c r="I18" i="2"/>
  <c r="I21" i="2"/>
  <c r="I23" i="2"/>
  <c r="I25" i="2"/>
  <c r="K25" i="2"/>
  <c r="L25" i="2" s="1"/>
  <c r="J29" i="2"/>
  <c r="H32" i="2"/>
  <c r="H44" i="2"/>
  <c r="E17" i="2"/>
  <c r="K17" i="2" s="1"/>
  <c r="L17" i="2" s="1"/>
  <c r="E42" i="2"/>
  <c r="J31" i="3" l="1"/>
  <c r="J33" i="2"/>
  <c r="K21" i="2"/>
  <c r="L21" i="2" s="1"/>
  <c r="K26" i="2"/>
  <c r="L26" i="2" s="1"/>
  <c r="J34" i="2"/>
  <c r="K33" i="2"/>
  <c r="L33" i="2" s="1"/>
  <c r="K26" i="3"/>
  <c r="L26" i="3" s="1"/>
  <c r="J21" i="3"/>
  <c r="K31" i="2"/>
  <c r="L31" i="2" s="1"/>
  <c r="K31" i="3"/>
  <c r="I31" i="3"/>
  <c r="K24" i="2"/>
  <c r="L24" i="2" s="1"/>
  <c r="H21" i="3"/>
  <c r="J35" i="7"/>
  <c r="K16" i="7"/>
  <c r="L16" i="7" s="1"/>
  <c r="K22" i="7"/>
  <c r="L22" i="7" s="1"/>
  <c r="K17" i="7"/>
  <c r="L17" i="7" s="1"/>
  <c r="K15" i="7"/>
  <c r="L15" i="7" s="1"/>
  <c r="H20" i="7"/>
  <c r="I20" i="7"/>
  <c r="K18" i="7"/>
  <c r="L18" i="7" s="1"/>
  <c r="K35" i="7"/>
  <c r="J20" i="7"/>
  <c r="K25" i="7"/>
  <c r="L25" i="7" s="1"/>
  <c r="L34" i="7"/>
  <c r="E27" i="7"/>
  <c r="E30" i="7" s="1"/>
  <c r="K23" i="2"/>
  <c r="L23" i="2" s="1"/>
  <c r="K28" i="2"/>
  <c r="L28" i="2" s="1"/>
  <c r="E20" i="3"/>
  <c r="E27" i="3" s="1"/>
  <c r="E30" i="3" s="1"/>
  <c r="E46" i="3" s="1"/>
  <c r="E47" i="3" s="1"/>
  <c r="E49" i="3" s="1"/>
  <c r="C6" i="6" s="1"/>
  <c r="H32" i="3"/>
  <c r="J32" i="3" s="1"/>
  <c r="H34" i="3"/>
  <c r="H24" i="3"/>
  <c r="K24" i="3" s="1"/>
  <c r="L24" i="3" s="1"/>
  <c r="J24" i="3"/>
  <c r="G23" i="3"/>
  <c r="G19" i="3"/>
  <c r="G28" i="3"/>
  <c r="G16" i="3"/>
  <c r="G22" i="3"/>
  <c r="G29" i="3"/>
  <c r="G25" i="3"/>
  <c r="H20" i="2"/>
  <c r="K19" i="2"/>
  <c r="L19" i="2" s="1"/>
  <c r="K16" i="2"/>
  <c r="L16" i="2" s="1"/>
  <c r="J28" i="2"/>
  <c r="K22" i="2"/>
  <c r="L22" i="2" s="1"/>
  <c r="J31" i="2"/>
  <c r="J20" i="2"/>
  <c r="J27" i="2" s="1"/>
  <c r="L31" i="3"/>
  <c r="K32" i="2"/>
  <c r="L32" i="2" s="1"/>
  <c r="J32" i="2"/>
  <c r="I20" i="2"/>
  <c r="E20" i="2"/>
  <c r="E27" i="2" s="1"/>
  <c r="E30" i="2" s="1"/>
  <c r="K32" i="3" l="1"/>
  <c r="L32" i="3" s="1"/>
  <c r="K21" i="3"/>
  <c r="L21" i="3" s="1"/>
  <c r="H27" i="2"/>
  <c r="K27" i="2" s="1"/>
  <c r="I35" i="3"/>
  <c r="E36" i="3"/>
  <c r="E36" i="7"/>
  <c r="E46" i="7"/>
  <c r="I27" i="7"/>
  <c r="J27" i="7"/>
  <c r="H27" i="7"/>
  <c r="K20" i="7"/>
  <c r="L20" i="7" s="1"/>
  <c r="I16" i="3"/>
  <c r="H16" i="3"/>
  <c r="J16" i="3"/>
  <c r="H25" i="3"/>
  <c r="I25" i="3"/>
  <c r="J25" i="3"/>
  <c r="H28" i="3"/>
  <c r="I28" i="3"/>
  <c r="I29" i="3"/>
  <c r="H29" i="3"/>
  <c r="I19" i="3"/>
  <c r="J19" i="3"/>
  <c r="H19" i="3"/>
  <c r="K34" i="3"/>
  <c r="J34" i="3"/>
  <c r="I22" i="3"/>
  <c r="J22" i="3"/>
  <c r="H22" i="3"/>
  <c r="J23" i="3"/>
  <c r="H23" i="3"/>
  <c r="I23" i="3"/>
  <c r="E37" i="3"/>
  <c r="E39" i="3" s="1"/>
  <c r="K35" i="2"/>
  <c r="I27" i="2"/>
  <c r="J35" i="2"/>
  <c r="E36" i="2"/>
  <c r="E46" i="2"/>
  <c r="J30" i="2"/>
  <c r="K20" i="2"/>
  <c r="L20" i="2" s="1"/>
  <c r="H30" i="2" l="1"/>
  <c r="J30" i="7"/>
  <c r="H30" i="7"/>
  <c r="K27" i="7"/>
  <c r="I30" i="7"/>
  <c r="E47" i="7"/>
  <c r="E49" i="7" s="1"/>
  <c r="C4" i="6" s="1"/>
  <c r="E37" i="7"/>
  <c r="E39" i="7" s="1"/>
  <c r="K25" i="3"/>
  <c r="L25" i="3" s="1"/>
  <c r="J35" i="3"/>
  <c r="K22" i="3"/>
  <c r="L22" i="3" s="1"/>
  <c r="J29" i="3"/>
  <c r="K29" i="3"/>
  <c r="L29" i="3" s="1"/>
  <c r="J28" i="3"/>
  <c r="K28" i="3"/>
  <c r="L28" i="3" s="1"/>
  <c r="J20" i="3"/>
  <c r="L34" i="3"/>
  <c r="K35" i="3"/>
  <c r="H20" i="3"/>
  <c r="K16" i="3"/>
  <c r="L16" i="3" s="1"/>
  <c r="K23" i="3"/>
  <c r="L23" i="3" s="1"/>
  <c r="K19" i="3"/>
  <c r="L19" i="3" s="1"/>
  <c r="I20" i="3"/>
  <c r="J46" i="2"/>
  <c r="E37" i="2"/>
  <c r="E39" i="2" s="1"/>
  <c r="L27" i="2"/>
  <c r="K30" i="2"/>
  <c r="I30" i="2"/>
  <c r="E47" i="2"/>
  <c r="E49" i="2" s="1"/>
  <c r="C5" i="6" s="1"/>
  <c r="H36" i="2"/>
  <c r="H46" i="2"/>
  <c r="H36" i="7" l="1"/>
  <c r="H46" i="7"/>
  <c r="I46" i="7"/>
  <c r="I49" i="7" s="1"/>
  <c r="L27" i="7"/>
  <c r="K30" i="7"/>
  <c r="J46" i="7"/>
  <c r="I27" i="3"/>
  <c r="K20" i="3"/>
  <c r="L20" i="3" s="1"/>
  <c r="H27" i="3"/>
  <c r="J27" i="3"/>
  <c r="H37" i="2"/>
  <c r="I46" i="2"/>
  <c r="I49" i="2" s="1"/>
  <c r="L30" i="2"/>
  <c r="K46" i="2"/>
  <c r="L46" i="2" s="1"/>
  <c r="H47" i="2"/>
  <c r="L30" i="7" l="1"/>
  <c r="K46" i="7"/>
  <c r="H47" i="7"/>
  <c r="H49" i="7" s="1"/>
  <c r="H37" i="7"/>
  <c r="H30" i="3"/>
  <c r="K27" i="3"/>
  <c r="J30" i="3"/>
  <c r="I30" i="3"/>
  <c r="J47" i="2"/>
  <c r="K47" i="2"/>
  <c r="K49" i="2" s="1"/>
  <c r="L49" i="2" s="1"/>
  <c r="H49" i="2"/>
  <c r="H39" i="2"/>
  <c r="D4" i="6" l="1"/>
  <c r="E4" i="6" s="1"/>
  <c r="F4" i="6" s="1"/>
  <c r="D5" i="6"/>
  <c r="E5" i="6" s="1"/>
  <c r="F5" i="6" s="1"/>
  <c r="L46" i="7"/>
  <c r="J47" i="7"/>
  <c r="K47" i="7"/>
  <c r="K49" i="7" s="1"/>
  <c r="L49" i="7" s="1"/>
  <c r="H39" i="7"/>
  <c r="K30" i="3"/>
  <c r="L27" i="3"/>
  <c r="I46" i="3"/>
  <c r="I49" i="3" s="1"/>
  <c r="H46" i="3"/>
  <c r="H36" i="3"/>
  <c r="J46" i="3"/>
  <c r="J49" i="2"/>
  <c r="J49" i="7" l="1"/>
  <c r="H37" i="3"/>
  <c r="H47" i="3"/>
  <c r="L30" i="3"/>
  <c r="K46" i="3"/>
  <c r="L46" i="3" s="1"/>
  <c r="H49" i="3" l="1"/>
  <c r="J47" i="3"/>
  <c r="K47" i="3"/>
  <c r="K49" i="3" s="1"/>
  <c r="L49" i="3" s="1"/>
  <c r="H39" i="3"/>
  <c r="D6" i="6" l="1"/>
  <c r="E6" i="6" s="1"/>
  <c r="F6" i="6" s="1"/>
  <c r="J49" i="3"/>
  <c r="H48" i="1" l="1"/>
  <c r="E48" i="1"/>
  <c r="I47" i="1"/>
  <c r="C45" i="1"/>
  <c r="L44" i="1"/>
  <c r="K44" i="1"/>
  <c r="J44" i="1"/>
  <c r="I44" i="1"/>
  <c r="C44" i="1"/>
  <c r="H43" i="1"/>
  <c r="E43" i="1"/>
  <c r="C43" i="1"/>
  <c r="K42" i="1"/>
  <c r="L42" i="1" s="1"/>
  <c r="J42" i="1"/>
  <c r="I42" i="1"/>
  <c r="C42" i="1"/>
  <c r="L41" i="1"/>
  <c r="K41" i="1"/>
  <c r="J41" i="1"/>
  <c r="I41" i="1"/>
  <c r="H41" i="1"/>
  <c r="E41" i="1"/>
  <c r="E44" i="1" s="1"/>
  <c r="C41" i="1"/>
  <c r="C40" i="1"/>
  <c r="L39" i="1"/>
  <c r="K39" i="1"/>
  <c r="J39" i="1"/>
  <c r="I39" i="1"/>
  <c r="C39" i="1"/>
  <c r="K38" i="1"/>
  <c r="J38" i="1"/>
  <c r="I38" i="1"/>
  <c r="H38" i="1"/>
  <c r="E38" i="1"/>
  <c r="C38" i="1"/>
  <c r="K37" i="1"/>
  <c r="L37" i="1" s="1"/>
  <c r="J37" i="1"/>
  <c r="I37" i="1"/>
  <c r="C37" i="1"/>
  <c r="L36" i="1"/>
  <c r="K36" i="1"/>
  <c r="J36" i="1"/>
  <c r="I36" i="1"/>
  <c r="C36" i="1"/>
  <c r="G34" i="1"/>
  <c r="H34" i="1" s="1"/>
  <c r="H33" i="1"/>
  <c r="D33" i="1"/>
  <c r="G28" i="1"/>
  <c r="H26" i="1"/>
  <c r="D26" i="1"/>
  <c r="G25" i="1"/>
  <c r="H25" i="1" s="1"/>
  <c r="D23" i="1"/>
  <c r="G21" i="1"/>
  <c r="H21" i="1" s="1"/>
  <c r="H17" i="1"/>
  <c r="D17" i="1"/>
  <c r="J17" i="1" s="1"/>
  <c r="I17" i="1"/>
  <c r="G16" i="1"/>
  <c r="H15" i="1"/>
  <c r="D18" i="1"/>
  <c r="E18" i="1" s="1"/>
  <c r="D32" i="1"/>
  <c r="E32" i="1" s="1"/>
  <c r="E26" i="1" l="1"/>
  <c r="J26" i="1"/>
  <c r="I15" i="1"/>
  <c r="J15" i="1"/>
  <c r="K26" i="1"/>
  <c r="L26" i="1" s="1"/>
  <c r="E23" i="1"/>
  <c r="E42" i="1"/>
  <c r="I16" i="1"/>
  <c r="E15" i="1"/>
  <c r="K15" i="1" s="1"/>
  <c r="L15" i="1" s="1"/>
  <c r="G29" i="1"/>
  <c r="H29" i="1" s="1"/>
  <c r="G22" i="1"/>
  <c r="I22" i="1" s="1"/>
  <c r="G19" i="1"/>
  <c r="G23" i="1"/>
  <c r="H16" i="1"/>
  <c r="I19" i="1"/>
  <c r="I33" i="1"/>
  <c r="H44" i="1"/>
  <c r="H42" i="1"/>
  <c r="G32" i="1"/>
  <c r="H32" i="1" s="1"/>
  <c r="G24" i="1"/>
  <c r="I24" i="1" s="1"/>
  <c r="D28" i="1"/>
  <c r="D25" i="1"/>
  <c r="E25" i="1" s="1"/>
  <c r="K25" i="1" s="1"/>
  <c r="L25" i="1" s="1"/>
  <c r="D29" i="1"/>
  <c r="E29" i="1" s="1"/>
  <c r="D22" i="1"/>
  <c r="E22" i="1" s="1"/>
  <c r="D19" i="1"/>
  <c r="E19" i="1" s="1"/>
  <c r="D16" i="1"/>
  <c r="E16" i="1" s="1"/>
  <c r="E17" i="1"/>
  <c r="G18" i="1"/>
  <c r="I25" i="1"/>
  <c r="G31" i="1"/>
  <c r="H31" i="1" s="1"/>
  <c r="D24" i="1"/>
  <c r="E24" i="1" s="1"/>
  <c r="D34" i="1"/>
  <c r="E34" i="1" s="1"/>
  <c r="D31" i="1"/>
  <c r="E31" i="1" s="1"/>
  <c r="I26" i="1"/>
  <c r="H28" i="1"/>
  <c r="I34" i="1"/>
  <c r="I29" i="1" l="1"/>
  <c r="I31" i="1"/>
  <c r="J25" i="1"/>
  <c r="I28" i="1"/>
  <c r="H24" i="1"/>
  <c r="J24" i="1"/>
  <c r="H23" i="1"/>
  <c r="J23" i="1"/>
  <c r="I23" i="1"/>
  <c r="J16" i="1"/>
  <c r="E20" i="1"/>
  <c r="H18" i="1"/>
  <c r="J18" i="1"/>
  <c r="E28" i="1"/>
  <c r="K28" i="1" s="1"/>
  <c r="L28" i="1" s="1"/>
  <c r="J34" i="1"/>
  <c r="J29" i="1"/>
  <c r="K29" i="1"/>
  <c r="L29" i="1" s="1"/>
  <c r="I18" i="1"/>
  <c r="K34" i="1"/>
  <c r="I21" i="1"/>
  <c r="D21" i="1"/>
  <c r="J32" i="1"/>
  <c r="K32" i="1"/>
  <c r="L32" i="1" s="1"/>
  <c r="J19" i="1"/>
  <c r="H19" i="1"/>
  <c r="K17" i="1"/>
  <c r="L17" i="1" s="1"/>
  <c r="K31" i="1"/>
  <c r="J31" i="1"/>
  <c r="E33" i="1"/>
  <c r="K16" i="1"/>
  <c r="L16" i="1" s="1"/>
  <c r="J22" i="1"/>
  <c r="H22" i="1"/>
  <c r="I32" i="1"/>
  <c r="I20" i="1" l="1"/>
  <c r="I27" i="1" s="1"/>
  <c r="J20" i="1"/>
  <c r="L34" i="1"/>
  <c r="K24" i="1"/>
  <c r="L24" i="1" s="1"/>
  <c r="K19" i="1"/>
  <c r="L19" i="1" s="1"/>
  <c r="J28" i="1"/>
  <c r="L31" i="1"/>
  <c r="E21" i="1"/>
  <c r="K21" i="1" s="1"/>
  <c r="L21" i="1" s="1"/>
  <c r="J21" i="1"/>
  <c r="K18" i="1"/>
  <c r="L18" i="1" s="1"/>
  <c r="H20" i="1"/>
  <c r="K22" i="1"/>
  <c r="L22" i="1" s="1"/>
  <c r="K33" i="1"/>
  <c r="L33" i="1" s="1"/>
  <c r="J33" i="1"/>
  <c r="I35" i="1"/>
  <c r="K23" i="1"/>
  <c r="L23" i="1" s="1"/>
  <c r="J35" i="1" l="1"/>
  <c r="I30" i="1"/>
  <c r="J27" i="1"/>
  <c r="H27" i="1"/>
  <c r="K20" i="1"/>
  <c r="L20" i="1" s="1"/>
  <c r="K35" i="1"/>
  <c r="E27" i="1"/>
  <c r="E30" i="1" s="1"/>
  <c r="K27" i="1" l="1"/>
  <c r="I46" i="1"/>
  <c r="I49" i="1" s="1"/>
  <c r="H30" i="1"/>
  <c r="J30" i="1"/>
  <c r="E46" i="1"/>
  <c r="E47" i="1" s="1"/>
  <c r="E36" i="1"/>
  <c r="K30" i="1" l="1"/>
  <c r="L27" i="1"/>
  <c r="E37" i="1"/>
  <c r="E39" i="1" s="1"/>
  <c r="E49" i="1"/>
  <c r="C7" i="6" s="1"/>
  <c r="H46" i="1"/>
  <c r="H36" i="1"/>
  <c r="J46" i="1"/>
  <c r="H47" i="1" l="1"/>
  <c r="H49" i="1" s="1"/>
  <c r="L30" i="1"/>
  <c r="K46" i="1"/>
  <c r="L46" i="1" s="1"/>
  <c r="H37" i="1"/>
  <c r="D7" i="6" l="1"/>
  <c r="E7" i="6" s="1"/>
  <c r="F7" i="6" s="1"/>
  <c r="H39" i="1"/>
  <c r="K47" i="1"/>
  <c r="K49" i="1" s="1"/>
  <c r="L49" i="1" s="1"/>
  <c r="J47" i="1"/>
  <c r="J49" i="1" l="1"/>
</calcChain>
</file>

<file path=xl/sharedStrings.xml><?xml version="1.0" encoding="utf-8"?>
<sst xmlns="http://schemas.openxmlformats.org/spreadsheetml/2006/main" count="308" uniqueCount="70">
  <si>
    <t>Customer Class:</t>
  </si>
  <si>
    <t>X</t>
  </si>
  <si>
    <t>RPP / Non-RPP:</t>
  </si>
  <si>
    <t>Non-RPP (Other)</t>
  </si>
  <si>
    <t>Consumption</t>
  </si>
  <si>
    <t>kWh</t>
  </si>
  <si>
    <t>Demand</t>
  </si>
  <si>
    <t>kW</t>
  </si>
  <si>
    <t>Current Loss Factor</t>
  </si>
  <si>
    <t>Proposed/Approved Loss Factor</t>
  </si>
  <si>
    <t>Rate Variance</t>
  </si>
  <si>
    <t>Volume Variance</t>
  </si>
  <si>
    <t>Total Variance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</si>
  <si>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</si>
  <si>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</si>
  <si>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</si>
  <si>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</si>
  <si>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</si>
  <si>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</si>
  <si>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</si>
  <si>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</si>
  <si>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</si>
  <si>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</si>
  <si>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LRAMVA RR</t>
  </si>
  <si>
    <t>Volumetric Rate Riders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</si>
  <si>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</si>
  <si>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</si>
  <si>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</si>
  <si>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</si>
  <si>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</si>
  <si>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</si>
  <si>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>Smart Meter Entity Charge (if applicable)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</si>
  <si>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</si>
  <si>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</si>
  <si>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</si>
  <si>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</si>
  <si>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</si>
  <si>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</si>
  <si>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Average IESO Wholesale Market Price</t>
  </si>
  <si>
    <t>Total Bill on TOU (before Taxes)</t>
  </si>
  <si>
    <t>HST</t>
  </si>
  <si>
    <t>Ontario Electricity Rebate</t>
  </si>
  <si>
    <t>Total Bill on TOU</t>
  </si>
  <si>
    <t>Total Bill on Non-RPP Avg. Price</t>
  </si>
  <si>
    <t>Total Bill on Average IESO Wholesale Market Price</t>
  </si>
  <si>
    <t>Sub-Total B - Distribution (includes Sub-Total B)</t>
  </si>
  <si>
    <t>BRZ</t>
  </si>
  <si>
    <t>PRZ</t>
  </si>
  <si>
    <t>GRZ</t>
  </si>
  <si>
    <t>Pre-CDM 2018</t>
  </si>
  <si>
    <t>Customer count</t>
  </si>
  <si>
    <t>RRR Normalized for Customer Growth, Monthly</t>
  </si>
  <si>
    <t>RRR Normalized for Customer Growth, Annual</t>
  </si>
  <si>
    <t>RRR, Annual</t>
  </si>
  <si>
    <t>Fixed Charge Billing Determinant</t>
  </si>
  <si>
    <t>Proposed 2023 Rates</t>
  </si>
  <si>
    <t>2021 RRR</t>
  </si>
  <si>
    <t>2018 RRR</t>
  </si>
  <si>
    <t>% Impact</t>
  </si>
  <si>
    <t>Post-CDM 2021</t>
  </si>
  <si>
    <t>Current OEB-Approved Rates</t>
  </si>
  <si>
    <t>HRZ</t>
  </si>
  <si>
    <t>2017RRR</t>
  </si>
  <si>
    <t xml:space="preserve">Total Bill
Pre-Retrofit Program </t>
  </si>
  <si>
    <t>Total Bill
Post-Retrofit Program</t>
  </si>
  <si>
    <t>Summary Table</t>
  </si>
  <si>
    <t>BRAMPTON RZ STREET LIGHTING SERVICE CLASSIFICATION</t>
  </si>
  <si>
    <t>POWERSTREAM RZ STREET LIGHTING SERVICE CLASSIFICATION</t>
  </si>
  <si>
    <t>GUELPH RZ STREET LIGHTING SERVICE CLASSIFICATION</t>
  </si>
  <si>
    <t>HORIZON RZ STREET LIGHTING SERVICE 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</si>
</sst>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-* #,##0.0_-;\-* #,##0.0_-;_-* &quot;-&quot;??_-;_-@_-"/>
    <numFmt numFmtId="167" formatCode="0.0000"/>
    <numFmt numFmtId="168" formatCode="_(&quot;$&quot;* #,##0.00_);_(&quot;$&quot;* \(#,##0.00\);_(&quot;$&quot;* &quot;-&quot;??_);_(@_)"/>
    <numFmt numFmtId="169" formatCode="_-&quot;$&quot;* #,##0.0000_-;\-&quot;$&quot;* #,##0.0000_-;_-&quot;$&quot;* &quot;-&quot;??_-;_-@_-"/>
    <numFmt numFmtId="170" formatCode="_(&quot;$&quot;* #,##0.0000_);_(&quot;$&quot;* \(#,##0.0000\);_(&quot;$&quot;* &quot;-&quot;??_);_(@_)"/>
    <numFmt numFmtId="171" formatCode="0.0%"/>
    <numFmt numFmtId="172" formatCode="&quot;$&quot;#,##0.00;\(&quot;$&quot;#,##0.0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8AAF4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89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Alignment="1" applyProtection="1">
      <alignment horizontal="right" vertical="center"/>
      <protection locked="0"/>
    </xf>
    <xf numFmtId="165" fontId="2" fillId="2" borderId="1" xfId="2" applyNumberFormat="1" applyFont="1" applyFill="1" applyBorder="1" applyAlignment="1" applyProtection="1">
      <alignment horizontal="center" vertical="center"/>
      <protection locked="0"/>
    </xf>
    <xf numFmtId="166" fontId="2" fillId="2" borderId="1" xfId="2" applyNumberFormat="1" applyFont="1" applyFill="1" applyBorder="1" applyAlignment="1" applyProtection="1">
      <alignment horizontal="center" vertical="center"/>
      <protection locked="0"/>
    </xf>
    <xf numFmtId="167" fontId="2" fillId="2" borderId="1" xfId="3" applyNumberFormat="1" applyFont="1" applyFill="1" applyBorder="1" applyProtection="1"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2" xfId="1" quotePrefix="1" applyFont="1" applyBorder="1" applyAlignment="1" applyProtection="1">
      <alignment horizontal="center"/>
      <protection locked="0"/>
    </xf>
    <xf numFmtId="0" fontId="2" fillId="0" borderId="8" xfId="1" quotePrefix="1" applyFont="1" applyBorder="1" applyAlignment="1" applyProtection="1">
      <alignment horizontal="center"/>
      <protection locked="0"/>
    </xf>
    <xf numFmtId="0" fontId="1" fillId="0" borderId="7" xfId="1" applyBorder="1" applyAlignment="1" applyProtection="1">
      <alignment vertical="center"/>
      <protection locked="0"/>
    </xf>
    <xf numFmtId="3" fontId="7" fillId="0" borderId="5" xfId="1" applyNumberFormat="1" applyFont="1" applyBorder="1" applyAlignment="1" applyProtection="1">
      <alignment vertical="center"/>
      <protection locked="0"/>
    </xf>
    <xf numFmtId="168" fontId="1" fillId="0" borderId="7" xfId="1" applyNumberFormat="1" applyBorder="1" applyAlignment="1" applyProtection="1">
      <alignment vertical="center"/>
      <protection locked="0"/>
    </xf>
    <xf numFmtId="0" fontId="2" fillId="4" borderId="1" xfId="1" applyFont="1" applyFill="1" applyBorder="1" applyAlignment="1" applyProtection="1">
      <alignment vertical="center"/>
      <protection locked="0"/>
    </xf>
    <xf numFmtId="0" fontId="2" fillId="4" borderId="3" xfId="1" applyFont="1" applyFill="1" applyBorder="1" applyAlignment="1" applyProtection="1">
      <alignment vertical="center"/>
      <protection locked="0"/>
    </xf>
    <xf numFmtId="165" fontId="1" fillId="6" borderId="7" xfId="2" applyNumberFormat="1" applyFont="1" applyFill="1" applyBorder="1" applyAlignment="1" applyProtection="1">
      <alignment vertical="center"/>
      <protection locked="0"/>
    </xf>
    <xf numFmtId="165" fontId="7" fillId="6" borderId="7" xfId="2" applyNumberFormat="1" applyFont="1" applyFill="1" applyBorder="1" applyAlignment="1" applyProtection="1">
      <alignment vertical="center"/>
      <protection locked="0"/>
    </xf>
    <xf numFmtId="43" fontId="1" fillId="0" borderId="7" xfId="2" applyNumberFormat="1" applyFont="1" applyFill="1" applyBorder="1" applyAlignment="1" applyProtection="1">
      <alignment vertical="center"/>
      <protection locked="0"/>
    </xf>
    <xf numFmtId="165" fontId="1" fillId="0" borderId="7" xfId="2" applyNumberFormat="1" applyFont="1" applyFill="1" applyBorder="1" applyAlignment="1" applyProtection="1">
      <alignment vertical="center"/>
      <protection locked="0"/>
    </xf>
    <xf numFmtId="165" fontId="7" fillId="0" borderId="7" xfId="2" applyNumberFormat="1" applyFont="1" applyFill="1" applyBorder="1" applyAlignment="1" applyProtection="1">
      <alignment vertical="center"/>
      <protection locked="0"/>
    </xf>
    <xf numFmtId="3" fontId="7" fillId="0" borderId="7" xfId="1" applyNumberFormat="1" applyFont="1" applyBorder="1" applyAlignment="1" applyProtection="1">
      <alignment vertical="center"/>
      <protection locked="0"/>
    </xf>
    <xf numFmtId="0" fontId="1" fillId="4" borderId="1" xfId="1" applyFill="1" applyBorder="1" applyAlignment="1" applyProtection="1">
      <alignment vertical="center"/>
      <protection locked="0"/>
    </xf>
    <xf numFmtId="0" fontId="1" fillId="4" borderId="3" xfId="1" applyFill="1" applyBorder="1" applyAlignment="1" applyProtection="1">
      <alignment vertical="center"/>
      <protection locked="0"/>
    </xf>
    <xf numFmtId="43" fontId="1" fillId="6" borderId="7" xfId="2" applyNumberFormat="1" applyFont="1" applyFill="1" applyBorder="1" applyAlignment="1" applyProtection="1">
      <alignment vertical="center"/>
      <protection locked="0"/>
    </xf>
    <xf numFmtId="165" fontId="1" fillId="2" borderId="7" xfId="2" applyNumberFormat="1" applyFont="1" applyFill="1" applyBorder="1" applyAlignment="1" applyProtection="1">
      <alignment vertical="center"/>
      <protection locked="0"/>
    </xf>
    <xf numFmtId="165" fontId="7" fillId="2" borderId="7" xfId="2" applyNumberFormat="1" applyFont="1" applyFill="1" applyBorder="1" applyAlignment="1" applyProtection="1">
      <alignment vertical="center"/>
      <protection locked="0"/>
    </xf>
    <xf numFmtId="0" fontId="1" fillId="8" borderId="10" xfId="1" applyFill="1" applyBorder="1" applyProtection="1">
      <protection locked="0"/>
    </xf>
    <xf numFmtId="0" fontId="1" fillId="8" borderId="13" xfId="1" applyFill="1" applyBorder="1" applyAlignment="1" applyProtection="1">
      <alignment vertical="center"/>
      <protection locked="0"/>
    </xf>
    <xf numFmtId="0" fontId="1" fillId="8" borderId="12" xfId="1" applyFill="1" applyBorder="1" applyAlignment="1" applyProtection="1">
      <alignment vertical="center"/>
      <protection locked="0"/>
    </xf>
    <xf numFmtId="10" fontId="1" fillId="3" borderId="14" xfId="3" applyNumberFormat="1" applyFont="1" applyFill="1" applyBorder="1" applyAlignment="1" applyProtection="1">
      <alignment vertical="center"/>
      <protection locked="0"/>
    </xf>
    <xf numFmtId="168" fontId="1" fillId="8" borderId="12" xfId="1" applyNumberFormat="1" applyFill="1" applyBorder="1" applyAlignment="1" applyProtection="1">
      <alignment vertical="center"/>
      <protection locked="0"/>
    </xf>
    <xf numFmtId="10" fontId="1" fillId="8" borderId="14" xfId="3" applyNumberFormat="1" applyFont="1" applyFill="1" applyBorder="1" applyAlignment="1" applyProtection="1">
      <alignment vertical="center"/>
      <protection locked="0"/>
    </xf>
    <xf numFmtId="9" fontId="2" fillId="0" borderId="7" xfId="1" applyNumberFormat="1" applyFont="1" applyBorder="1" applyAlignment="1" applyProtection="1">
      <alignment vertical="center"/>
      <protection locked="0"/>
    </xf>
    <xf numFmtId="168" fontId="2" fillId="0" borderId="7" xfId="1" applyNumberFormat="1" applyFont="1" applyBorder="1" applyAlignment="1" applyProtection="1">
      <alignment vertical="center"/>
      <protection locked="0"/>
    </xf>
    <xf numFmtId="9" fontId="1" fillId="0" borderId="7" xfId="1" applyNumberFormat="1" applyBorder="1" applyAlignment="1" applyProtection="1">
      <alignment vertical="center"/>
      <protection locked="0"/>
    </xf>
    <xf numFmtId="0" fontId="1" fillId="5" borderId="9" xfId="1" applyFill="1" applyBorder="1" applyAlignment="1" applyProtection="1">
      <alignment vertical="center"/>
      <protection locked="0"/>
    </xf>
    <xf numFmtId="0" fontId="2" fillId="5" borderId="2" xfId="1" applyFont="1" applyFill="1" applyBorder="1" applyAlignment="1" applyProtection="1">
      <alignment vertical="center"/>
      <protection locked="0"/>
    </xf>
    <xf numFmtId="168" fontId="2" fillId="5" borderId="2" xfId="1" applyNumberFormat="1" applyFont="1" applyFill="1" applyBorder="1" applyAlignment="1" applyProtection="1">
      <alignment vertical="center"/>
      <protection locked="0"/>
    </xf>
    <xf numFmtId="0" fontId="2" fillId="5" borderId="7" xfId="1" applyFont="1" applyFill="1" applyBorder="1" applyAlignment="1" applyProtection="1">
      <alignment vertical="center"/>
      <protection locked="0"/>
    </xf>
    <xf numFmtId="168" fontId="2" fillId="5" borderId="7" xfId="1" applyNumberFormat="1" applyFont="1" applyFill="1" applyBorder="1" applyAlignment="1" applyProtection="1">
      <alignment vertical="center"/>
      <protection locked="0"/>
    </xf>
    <xf numFmtId="0" fontId="1" fillId="8" borderId="11" xfId="1" applyFill="1" applyBorder="1" applyAlignment="1" applyProtection="1">
      <alignment vertical="center"/>
      <protection locked="0"/>
    </xf>
    <xf numFmtId="168" fontId="1" fillId="8" borderId="13" xfId="1" applyNumberFormat="1" applyFill="1" applyBorder="1" applyAlignment="1" applyProtection="1">
      <alignment vertical="center"/>
      <protection locked="0"/>
    </xf>
    <xf numFmtId="10" fontId="1" fillId="8" borderId="14" xfId="3" applyNumberFormat="1" applyFill="1" applyBorder="1" applyAlignment="1" applyProtection="1">
      <alignment vertical="center"/>
      <protection locked="0"/>
    </xf>
    <xf numFmtId="0" fontId="4" fillId="0" borderId="0" xfId="1" applyFont="1" applyFill="1" applyAlignment="1" applyProtection="1">
      <alignment vertical="top"/>
      <protection locked="0"/>
    </xf>
    <xf numFmtId="0" fontId="1" fillId="0" borderId="0" xfId="1" applyFill="1" applyProtection="1">
      <protection locked="0"/>
    </xf>
    <xf numFmtId="0" fontId="2" fillId="0" borderId="0" xfId="1" applyFont="1" applyFill="1" applyAlignment="1" applyProtection="1">
      <alignment horizontal="left" vertical="top"/>
      <protection locked="0"/>
    </xf>
    <xf numFmtId="0" fontId="2" fillId="0" borderId="0" xfId="1" applyFont="1" applyFill="1" applyProtection="1"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2" fillId="0" borderId="0" xfId="1" applyFont="1" applyFill="1" applyAlignment="1" applyProtection="1">
      <alignment horizontal="left"/>
      <protection locked="0"/>
    </xf>
    <xf numFmtId="43" fontId="1" fillId="0" borderId="0" xfId="1" applyNumberFormat="1" applyFill="1" applyProtection="1">
      <protection locked="0"/>
    </xf>
    <xf numFmtId="168" fontId="1" fillId="9" borderId="7" xfId="1" applyNumberFormat="1" applyFill="1" applyBorder="1" applyAlignment="1" applyProtection="1">
      <alignment vertical="center"/>
      <protection locked="0"/>
    </xf>
    <xf numFmtId="168" fontId="2" fillId="9" borderId="1" xfId="1" applyNumberFormat="1" applyFont="1" applyFill="1" applyBorder="1" applyAlignment="1" applyProtection="1">
      <alignment vertical="center"/>
      <protection locked="0"/>
    </xf>
    <xf numFmtId="168" fontId="2" fillId="9" borderId="12" xfId="1" applyNumberFormat="1" applyFont="1" applyFill="1" applyBorder="1" applyAlignment="1" applyProtection="1">
      <alignment vertical="center"/>
      <protection locked="0"/>
    </xf>
    <xf numFmtId="0" fontId="2" fillId="0" borderId="18" xfId="1" applyFont="1" applyBorder="1" applyAlignment="1" applyProtection="1">
      <alignment horizontal="center"/>
      <protection locked="0"/>
    </xf>
    <xf numFmtId="0" fontId="2" fillId="0" borderId="19" xfId="1" applyFont="1" applyBorder="1" applyAlignment="1" applyProtection="1">
      <alignment horizontal="center"/>
      <protection locked="0"/>
    </xf>
    <xf numFmtId="0" fontId="2" fillId="0" borderId="20" xfId="1" quotePrefix="1" applyFont="1" applyBorder="1" applyAlignment="1" applyProtection="1">
      <alignment horizontal="center"/>
      <protection locked="0"/>
    </xf>
    <xf numFmtId="0" fontId="2" fillId="0" borderId="21" xfId="1" quotePrefix="1" applyFont="1" applyBorder="1" applyAlignment="1" applyProtection="1">
      <alignment horizontal="center"/>
      <protection locked="0"/>
    </xf>
    <xf numFmtId="168" fontId="7" fillId="0" borderId="19" xfId="4" applyFont="1" applyBorder="1" applyAlignment="1" applyProtection="1">
      <alignment vertical="center"/>
      <protection locked="0"/>
    </xf>
    <xf numFmtId="169" fontId="7" fillId="2" borderId="22" xfId="4" applyNumberFormat="1" applyFont="1" applyFill="1" applyBorder="1" applyAlignment="1" applyProtection="1">
      <alignment horizontal="left" vertical="center"/>
      <protection locked="0"/>
    </xf>
    <xf numFmtId="169" fontId="9" fillId="4" borderId="23" xfId="4" applyNumberFormat="1" applyFont="1" applyFill="1" applyBorder="1" applyAlignment="1" applyProtection="1">
      <alignment horizontal="left" vertical="center"/>
      <protection locked="0"/>
    </xf>
    <xf numFmtId="168" fontId="8" fillId="4" borderId="24" xfId="4" applyFont="1" applyFill="1" applyBorder="1" applyAlignment="1" applyProtection="1">
      <alignment vertical="center"/>
      <protection locked="0"/>
    </xf>
    <xf numFmtId="44" fontId="7" fillId="2" borderId="22" xfId="4" applyNumberFormat="1" applyFont="1" applyFill="1" applyBorder="1" applyAlignment="1" applyProtection="1">
      <alignment horizontal="left" vertical="center"/>
      <protection locked="0"/>
    </xf>
    <xf numFmtId="0" fontId="9" fillId="4" borderId="23" xfId="1" applyFont="1" applyFill="1" applyBorder="1" applyAlignment="1" applyProtection="1">
      <alignment horizontal="left" vertical="center"/>
      <protection locked="0"/>
    </xf>
    <xf numFmtId="168" fontId="2" fillId="4" borderId="24" xfId="1" applyNumberFormat="1" applyFont="1" applyFill="1" applyBorder="1" applyAlignment="1" applyProtection="1">
      <alignment vertical="center"/>
      <protection locked="0"/>
    </xf>
    <xf numFmtId="169" fontId="9" fillId="2" borderId="22" xfId="4" applyNumberFormat="1" applyFont="1" applyFill="1" applyBorder="1" applyAlignment="1" applyProtection="1">
      <alignment horizontal="left" vertical="center"/>
      <protection locked="0"/>
    </xf>
    <xf numFmtId="169" fontId="7" fillId="7" borderId="22" xfId="4" applyNumberFormat="1" applyFont="1" applyFill="1" applyBorder="1" applyAlignment="1" applyProtection="1">
      <alignment horizontal="left" vertical="center"/>
      <protection locked="0"/>
    </xf>
    <xf numFmtId="169" fontId="1" fillId="8" borderId="25" xfId="4" applyNumberFormat="1" applyFont="1" applyFill="1" applyBorder="1" applyAlignment="1" applyProtection="1">
      <alignment vertical="top"/>
      <protection locked="0"/>
    </xf>
    <xf numFmtId="168" fontId="1" fillId="8" borderId="14" xfId="4" applyFont="1" applyFill="1" applyBorder="1" applyAlignment="1" applyProtection="1">
      <alignment vertical="center"/>
      <protection locked="0"/>
    </xf>
    <xf numFmtId="9" fontId="2" fillId="0" borderId="22" xfId="1" applyNumberFormat="1" applyFont="1" applyBorder="1" applyAlignment="1" applyProtection="1">
      <alignment vertical="center"/>
      <protection locked="0"/>
    </xf>
    <xf numFmtId="168" fontId="2" fillId="0" borderId="26" xfId="1" applyNumberFormat="1" applyFont="1" applyBorder="1" applyAlignment="1" applyProtection="1">
      <alignment vertical="center"/>
      <protection locked="0"/>
    </xf>
    <xf numFmtId="9" fontId="1" fillId="0" borderId="22" xfId="1" applyNumberFormat="1" applyBorder="1" applyAlignment="1" applyProtection="1">
      <alignment vertical="center"/>
      <protection locked="0"/>
    </xf>
    <xf numFmtId="168" fontId="1" fillId="0" borderId="26" xfId="1" applyNumberFormat="1" applyBorder="1" applyAlignment="1" applyProtection="1">
      <alignment vertical="center"/>
      <protection locked="0"/>
    </xf>
    <xf numFmtId="171" fontId="1" fillId="0" borderId="22" xfId="1" applyNumberFormat="1" applyBorder="1" applyAlignment="1" applyProtection="1">
      <alignment vertical="top"/>
      <protection locked="0"/>
    </xf>
    <xf numFmtId="0" fontId="2" fillId="5" borderId="20" xfId="1" applyFont="1" applyFill="1" applyBorder="1" applyAlignment="1" applyProtection="1">
      <alignment vertical="center"/>
      <protection locked="0"/>
    </xf>
    <xf numFmtId="168" fontId="2" fillId="5" borderId="27" xfId="1" applyNumberFormat="1" applyFont="1" applyFill="1" applyBorder="1" applyAlignment="1" applyProtection="1">
      <alignment vertical="center"/>
      <protection locked="0"/>
    </xf>
    <xf numFmtId="9" fontId="1" fillId="0" borderId="22" xfId="1" applyNumberFormat="1" applyBorder="1" applyAlignment="1" applyProtection="1">
      <alignment vertical="top"/>
      <protection locked="0"/>
    </xf>
    <xf numFmtId="0" fontId="2" fillId="5" borderId="22" xfId="1" applyFont="1" applyFill="1" applyBorder="1" applyAlignment="1" applyProtection="1">
      <alignment vertical="center"/>
      <protection locked="0"/>
    </xf>
    <xf numFmtId="168" fontId="2" fillId="5" borderId="26" xfId="1" applyNumberFormat="1" applyFont="1" applyFill="1" applyBorder="1" applyAlignment="1" applyProtection="1">
      <alignment vertical="center"/>
      <protection locked="0"/>
    </xf>
    <xf numFmtId="168" fontId="1" fillId="8" borderId="28" xfId="4" applyFont="1" applyFill="1" applyBorder="1" applyAlignment="1" applyProtection="1">
      <alignment vertical="center"/>
      <protection locked="0"/>
    </xf>
    <xf numFmtId="169" fontId="1" fillId="8" borderId="25" xfId="4" applyNumberFormat="1" applyFill="1" applyBorder="1" applyAlignment="1" applyProtection="1">
      <alignment vertical="top"/>
      <protection locked="0"/>
    </xf>
    <xf numFmtId="168" fontId="1" fillId="8" borderId="28" xfId="4" applyFill="1" applyBorder="1" applyAlignment="1" applyProtection="1">
      <alignment vertical="center"/>
      <protection locked="0"/>
    </xf>
    <xf numFmtId="168" fontId="2" fillId="2" borderId="22" xfId="4" applyFont="1" applyFill="1" applyBorder="1" applyAlignment="1" applyProtection="1">
      <alignment horizontal="left" vertical="center"/>
      <protection locked="0"/>
    </xf>
    <xf numFmtId="168" fontId="6" fillId="0" borderId="19" xfId="4" applyFont="1" applyBorder="1" applyAlignment="1" applyProtection="1">
      <alignment vertical="center"/>
      <protection locked="0"/>
    </xf>
    <xf numFmtId="169" fontId="2" fillId="2" borderId="22" xfId="4" applyNumberFormat="1" applyFont="1" applyFill="1" applyBorder="1" applyAlignment="1" applyProtection="1">
      <alignment horizontal="left" vertical="center"/>
      <protection locked="0"/>
    </xf>
    <xf numFmtId="169" fontId="2" fillId="4" borderId="23" xfId="4" applyNumberFormat="1" applyFont="1" applyFill="1" applyBorder="1" applyAlignment="1" applyProtection="1">
      <alignment horizontal="left" vertical="center"/>
      <protection locked="0"/>
    </xf>
    <xf numFmtId="0" fontId="2" fillId="4" borderId="23" xfId="1" applyFont="1" applyFill="1" applyBorder="1" applyAlignment="1" applyProtection="1">
      <alignment horizontal="left" vertical="center"/>
      <protection locked="0"/>
    </xf>
    <xf numFmtId="168" fontId="1" fillId="0" borderId="19" xfId="4" applyFont="1" applyBorder="1" applyAlignment="1" applyProtection="1">
      <alignment vertical="center"/>
      <protection locked="0"/>
    </xf>
    <xf numFmtId="44" fontId="2" fillId="2" borderId="22" xfId="4" applyNumberFormat="1" applyFont="1" applyFill="1" applyBorder="1" applyAlignment="1" applyProtection="1">
      <alignment horizontal="left" vertical="center"/>
      <protection locked="0"/>
    </xf>
    <xf numFmtId="169" fontId="2" fillId="7" borderId="22" xfId="4" applyNumberFormat="1" applyFont="1" applyFill="1" applyBorder="1" applyAlignment="1" applyProtection="1">
      <alignment horizontal="left" vertical="center"/>
      <protection locked="0"/>
    </xf>
    <xf numFmtId="9" fontId="1" fillId="0" borderId="0" xfId="1" applyNumberFormat="1" applyBorder="1" applyAlignment="1" applyProtection="1">
      <alignment vertical="center"/>
      <protection locked="0"/>
    </xf>
    <xf numFmtId="0" fontId="1" fillId="0" borderId="0" xfId="1" applyBorder="1" applyAlignment="1" applyProtection="1">
      <alignment vertical="center"/>
      <protection locked="0"/>
    </xf>
    <xf numFmtId="0" fontId="1" fillId="5" borderId="20" xfId="1" applyFill="1" applyBorder="1" applyAlignment="1" applyProtection="1">
      <alignment vertical="top"/>
      <protection locked="0"/>
    </xf>
    <xf numFmtId="0" fontId="1" fillId="5" borderId="22" xfId="1" applyFill="1" applyBorder="1" applyAlignment="1" applyProtection="1">
      <alignment vertical="top"/>
      <protection locked="0"/>
    </xf>
    <xf numFmtId="0" fontId="1" fillId="5" borderId="0" xfId="1" applyFill="1" applyBorder="1" applyAlignment="1" applyProtection="1">
      <alignment vertical="center"/>
      <protection locked="0"/>
    </xf>
    <xf numFmtId="168" fontId="1" fillId="9" borderId="22" xfId="1" applyNumberFormat="1" applyFill="1" applyBorder="1" applyAlignment="1" applyProtection="1">
      <alignment vertical="center"/>
      <protection locked="0"/>
    </xf>
    <xf numFmtId="168" fontId="2" fillId="9" borderId="23" xfId="1" applyNumberFormat="1" applyFont="1" applyFill="1" applyBorder="1" applyAlignment="1" applyProtection="1">
      <alignment vertical="center"/>
      <protection locked="0"/>
    </xf>
    <xf numFmtId="168" fontId="2" fillId="9" borderId="25" xfId="1" applyNumberFormat="1" applyFont="1" applyFill="1" applyBorder="1" applyAlignment="1" applyProtection="1">
      <alignment vertical="center"/>
      <protection locked="0"/>
    </xf>
    <xf numFmtId="168" fontId="2" fillId="0" borderId="22" xfId="1" applyNumberFormat="1" applyFont="1" applyBorder="1" applyAlignment="1" applyProtection="1">
      <alignment vertical="center"/>
      <protection locked="0"/>
    </xf>
    <xf numFmtId="10" fontId="2" fillId="0" borderId="19" xfId="3" applyNumberFormat="1" applyFont="1" applyFill="1" applyBorder="1" applyAlignment="1" applyProtection="1">
      <alignment vertical="center"/>
      <protection locked="0"/>
    </xf>
    <xf numFmtId="168" fontId="1" fillId="0" borderId="22" xfId="1" applyNumberFormat="1" applyBorder="1" applyAlignment="1" applyProtection="1">
      <alignment vertical="center"/>
      <protection locked="0"/>
    </xf>
    <xf numFmtId="10" fontId="1" fillId="0" borderId="19" xfId="3" applyNumberFormat="1" applyFont="1" applyFill="1" applyBorder="1" applyAlignment="1" applyProtection="1">
      <alignment vertical="center"/>
      <protection locked="0"/>
    </xf>
    <xf numFmtId="168" fontId="2" fillId="5" borderId="20" xfId="1" applyNumberFormat="1" applyFont="1" applyFill="1" applyBorder="1" applyAlignment="1" applyProtection="1">
      <alignment vertical="center"/>
      <protection locked="0"/>
    </xf>
    <xf numFmtId="10" fontId="2" fillId="5" borderId="21" xfId="3" applyNumberFormat="1" applyFont="1" applyFill="1" applyBorder="1" applyAlignment="1" applyProtection="1">
      <alignment vertical="center"/>
      <protection locked="0"/>
    </xf>
    <xf numFmtId="168" fontId="1" fillId="8" borderId="25" xfId="1" applyNumberFormat="1" applyFill="1" applyBorder="1" applyAlignment="1" applyProtection="1">
      <alignment vertical="center"/>
      <protection locked="0"/>
    </xf>
    <xf numFmtId="168" fontId="2" fillId="5" borderId="22" xfId="1" applyNumberFormat="1" applyFont="1" applyFill="1" applyBorder="1" applyAlignment="1" applyProtection="1">
      <alignment vertical="center"/>
      <protection locked="0"/>
    </xf>
    <xf numFmtId="10" fontId="2" fillId="5" borderId="19" xfId="3" applyNumberFormat="1" applyFont="1" applyFill="1" applyBorder="1" applyAlignment="1" applyProtection="1">
      <alignment vertical="center"/>
      <protection locked="0"/>
    </xf>
    <xf numFmtId="168" fontId="2" fillId="0" borderId="30" xfId="1" applyNumberFormat="1" applyFont="1" applyBorder="1" applyAlignment="1" applyProtection="1">
      <alignment vertical="center"/>
      <protection locked="0"/>
    </xf>
    <xf numFmtId="10" fontId="6" fillId="0" borderId="19" xfId="3" applyNumberFormat="1" applyFont="1" applyBorder="1" applyAlignment="1" applyProtection="1">
      <alignment vertical="center"/>
      <protection locked="0"/>
    </xf>
    <xf numFmtId="168" fontId="1" fillId="3" borderId="22" xfId="1" applyNumberFormat="1" applyFill="1" applyBorder="1" applyAlignment="1" applyProtection="1">
      <alignment vertical="center"/>
      <protection locked="0"/>
    </xf>
    <xf numFmtId="10" fontId="6" fillId="3" borderId="19" xfId="3" applyNumberFormat="1" applyFont="1" applyFill="1" applyBorder="1" applyAlignment="1" applyProtection="1">
      <alignment vertical="center"/>
      <protection locked="0"/>
    </xf>
    <xf numFmtId="168" fontId="2" fillId="5" borderId="23" xfId="1" applyNumberFormat="1" applyFont="1" applyFill="1" applyBorder="1" applyAlignment="1" applyProtection="1">
      <alignment vertical="center"/>
      <protection locked="0"/>
    </xf>
    <xf numFmtId="10" fontId="2" fillId="3" borderId="24" xfId="3" applyNumberFormat="1" applyFont="1" applyFill="1" applyBorder="1" applyAlignment="1" applyProtection="1">
      <alignment vertical="center"/>
      <protection locked="0"/>
    </xf>
    <xf numFmtId="168" fontId="2" fillId="3" borderId="23" xfId="1" applyNumberFormat="1" applyFont="1" applyFill="1" applyBorder="1" applyAlignment="1" applyProtection="1">
      <alignment vertical="center"/>
      <protection locked="0"/>
    </xf>
    <xf numFmtId="168" fontId="2" fillId="3" borderId="25" xfId="1" applyNumberFormat="1" applyFont="1" applyFill="1" applyBorder="1" applyAlignment="1" applyProtection="1">
      <alignment vertical="center"/>
      <protection locked="0"/>
    </xf>
    <xf numFmtId="0" fontId="1" fillId="0" borderId="31" xfId="1" applyBorder="1" applyProtection="1">
      <protection locked="0"/>
    </xf>
    <xf numFmtId="0" fontId="2" fillId="0" borderId="32" xfId="1" applyFont="1" applyBorder="1" applyProtection="1">
      <protection locked="0"/>
    </xf>
    <xf numFmtId="0" fontId="1" fillId="0" borderId="30" xfId="1" applyBorder="1" applyProtection="1">
      <protection locked="0"/>
    </xf>
    <xf numFmtId="0" fontId="1" fillId="0" borderId="30" xfId="1" applyBorder="1" applyAlignment="1">
      <alignment vertical="top"/>
    </xf>
    <xf numFmtId="0" fontId="1" fillId="2" borderId="19" xfId="1" applyFill="1" applyBorder="1" applyAlignment="1" applyProtection="1">
      <alignment vertical="top"/>
      <protection locked="0"/>
    </xf>
    <xf numFmtId="0" fontId="2" fillId="4" borderId="33" xfId="1" applyFont="1" applyFill="1" applyBorder="1" applyAlignment="1" applyProtection="1">
      <alignment vertical="top"/>
      <protection locked="0"/>
    </xf>
    <xf numFmtId="0" fontId="1" fillId="4" borderId="24" xfId="1" applyFill="1" applyBorder="1" applyAlignment="1" applyProtection="1">
      <alignment vertical="top"/>
      <protection locked="0"/>
    </xf>
    <xf numFmtId="0" fontId="1" fillId="0" borderId="30" xfId="1" applyBorder="1" applyAlignment="1">
      <alignment vertical="top" wrapText="1"/>
    </xf>
    <xf numFmtId="0" fontId="2" fillId="4" borderId="33" xfId="1" applyFont="1" applyFill="1" applyBorder="1" applyAlignment="1" applyProtection="1">
      <alignment vertical="top" wrapText="1"/>
      <protection locked="0"/>
    </xf>
    <xf numFmtId="0" fontId="1" fillId="4" borderId="24" xfId="1" applyFill="1" applyBorder="1" applyProtection="1">
      <protection locked="0"/>
    </xf>
    <xf numFmtId="0" fontId="1" fillId="0" borderId="30" xfId="1" applyBorder="1" applyAlignment="1">
      <alignment vertical="center"/>
    </xf>
    <xf numFmtId="0" fontId="1" fillId="0" borderId="34" xfId="1" applyBorder="1" applyAlignment="1">
      <alignment vertical="center" wrapText="1"/>
    </xf>
    <xf numFmtId="0" fontId="1" fillId="0" borderId="30" xfId="1" applyBorder="1" applyAlignment="1" applyProtection="1">
      <alignment vertical="top" wrapText="1"/>
      <protection locked="0"/>
    </xf>
    <xf numFmtId="0" fontId="1" fillId="0" borderId="30" xfId="1" applyBorder="1" applyAlignment="1" applyProtection="1">
      <alignment vertical="top"/>
      <protection locked="0"/>
    </xf>
    <xf numFmtId="0" fontId="1" fillId="8" borderId="14" xfId="1" applyFill="1" applyBorder="1" applyAlignment="1" applyProtection="1">
      <alignment vertical="top"/>
      <protection locked="0"/>
    </xf>
    <xf numFmtId="0" fontId="2" fillId="0" borderId="30" xfId="1" applyFont="1" applyBorder="1" applyAlignment="1" applyProtection="1">
      <alignment vertical="top"/>
      <protection locked="0"/>
    </xf>
    <xf numFmtId="0" fontId="1" fillId="0" borderId="19" xfId="1" applyBorder="1" applyAlignment="1" applyProtection="1">
      <alignment vertical="top"/>
      <protection locked="0"/>
    </xf>
    <xf numFmtId="0" fontId="1" fillId="0" borderId="30" xfId="1" applyBorder="1" applyAlignment="1" applyProtection="1">
      <alignment horizontal="left" vertical="top" indent="1"/>
      <protection locked="0"/>
    </xf>
    <xf numFmtId="0" fontId="0" fillId="0" borderId="19" xfId="0" applyBorder="1"/>
    <xf numFmtId="1" fontId="7" fillId="0" borderId="5" xfId="1" applyNumberFormat="1" applyFont="1" applyBorder="1" applyAlignment="1" applyProtection="1">
      <alignment vertical="center"/>
      <protection locked="0"/>
    </xf>
    <xf numFmtId="1" fontId="1" fillId="0" borderId="7" xfId="1" applyNumberFormat="1" applyBorder="1" applyAlignment="1" applyProtection="1">
      <alignment vertical="center"/>
      <protection locked="0"/>
    </xf>
    <xf numFmtId="168" fontId="7" fillId="0" borderId="22" xfId="4" applyFont="1" applyFill="1" applyBorder="1" applyAlignment="1" applyProtection="1">
      <alignment horizontal="left" vertical="center"/>
      <protection locked="0"/>
    </xf>
    <xf numFmtId="170" fontId="7" fillId="0" borderId="22" xfId="4" applyNumberFormat="1" applyFont="1" applyFill="1" applyBorder="1" applyAlignment="1" applyProtection="1">
      <alignment horizontal="left" vertical="center"/>
      <protection locked="0"/>
    </xf>
    <xf numFmtId="43" fontId="2" fillId="2" borderId="1" xfId="2" applyNumberFormat="1" applyFont="1" applyFill="1" applyBorder="1" applyAlignment="1" applyProtection="1">
      <alignment horizontal="center" vertical="center"/>
      <protection locked="0"/>
    </xf>
    <xf numFmtId="169" fontId="7" fillId="0" borderId="22" xfId="4" applyNumberFormat="1" applyFont="1" applyFill="1" applyBorder="1" applyAlignment="1" applyProtection="1">
      <alignment horizontal="left"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169" fontId="2" fillId="2" borderId="22" xfId="8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/>
    <xf numFmtId="0" fontId="11" fillId="0" borderId="0" xfId="0" applyFont="1" applyFill="1" applyBorder="1" applyAlignment="1">
      <alignment vertical="center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165" fontId="2" fillId="0" borderId="1" xfId="2" applyNumberFormat="1" applyFont="1" applyFill="1" applyBorder="1" applyAlignment="1" applyProtection="1">
      <alignment horizontal="center" vertical="center"/>
      <protection locked="0"/>
    </xf>
    <xf numFmtId="43" fontId="2" fillId="0" borderId="1" xfId="2" applyNumberFormat="1" applyFont="1" applyFill="1" applyBorder="1" applyAlignment="1" applyProtection="1">
      <alignment horizontal="center" vertical="center"/>
      <protection locked="0"/>
    </xf>
    <xf numFmtId="9" fontId="1" fillId="0" borderId="0" xfId="5" applyFont="1" applyFill="1" applyProtection="1">
      <protection locked="0"/>
    </xf>
    <xf numFmtId="165" fontId="1" fillId="0" borderId="7" xfId="1" applyNumberFormat="1" applyBorder="1" applyAlignment="1" applyProtection="1">
      <alignment vertical="center"/>
      <protection locked="0"/>
    </xf>
    <xf numFmtId="0" fontId="12" fillId="10" borderId="1" xfId="0" applyFont="1" applyFill="1" applyBorder="1"/>
    <xf numFmtId="0" fontId="13" fillId="0" borderId="1" xfId="0" applyFont="1" applyBorder="1"/>
    <xf numFmtId="0" fontId="12" fillId="10" borderId="1" xfId="0" applyFont="1" applyFill="1" applyBorder="1" applyAlignment="1">
      <alignment horizontal="center" wrapText="1"/>
    </xf>
    <xf numFmtId="0" fontId="12" fillId="10" borderId="1" xfId="0" applyFont="1" applyFill="1" applyBorder="1" applyAlignment="1">
      <alignment horizontal="center" vertical="center"/>
    </xf>
    <xf numFmtId="165" fontId="2" fillId="2" borderId="1" xfId="2" applyNumberFormat="1" applyFont="1" applyFill="1" applyBorder="1" applyAlignment="1" applyProtection="1">
      <alignment horizontal="center" vertical="center"/>
    </xf>
    <xf numFmtId="0" fontId="11" fillId="0" borderId="0" xfId="0" applyFont="1" applyFill="1"/>
    <xf numFmtId="0" fontId="11" fillId="0" borderId="35" xfId="0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3" fontId="11" fillId="0" borderId="37" xfId="0" applyNumberFormat="1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horizontal="center" vertical="center"/>
    </xf>
    <xf numFmtId="0" fontId="2" fillId="9" borderId="15" xfId="1" applyFont="1" applyFill="1" applyBorder="1" applyAlignment="1" applyProtection="1">
      <alignment horizontal="center"/>
      <protection locked="0"/>
    </xf>
    <xf numFmtId="0" fontId="2" fillId="9" borderId="29" xfId="1" applyFont="1" applyFill="1" applyBorder="1" applyAlignment="1" applyProtection="1">
      <alignment horizontal="center"/>
      <protection locked="0"/>
    </xf>
    <xf numFmtId="172" fontId="11" fillId="0" borderId="1" xfId="10" applyNumberFormat="1" applyFont="1" applyBorder="1" applyAlignment="1">
      <alignment horizontal="center"/>
    </xf>
    <xf numFmtId="171" fontId="11" fillId="0" borderId="1" xfId="5" applyNumberFormat="1" applyFont="1" applyBorder="1" applyAlignment="1">
      <alignment horizont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2" fillId="2" borderId="2" xfId="1" applyFont="1" applyFill="1" applyBorder="1" applyAlignment="1" applyProtection="1">
      <alignment horizontal="left" vertical="top"/>
      <protection locked="0"/>
    </xf>
    <xf numFmtId="0" fontId="2" fillId="0" borderId="15" xfId="1" applyFont="1" applyBorder="1" applyAlignment="1" applyProtection="1">
      <alignment horizontal="center"/>
      <protection locked="0"/>
    </xf>
    <xf numFmtId="0" fontId="2" fillId="0" borderId="16" xfId="1" applyFont="1" applyBorder="1" applyAlignment="1" applyProtection="1">
      <alignment horizontal="center"/>
      <protection locked="0"/>
    </xf>
    <xf numFmtId="0" fontId="2" fillId="0" borderId="17" xfId="1" applyFont="1" applyBorder="1" applyAlignment="1" applyProtection="1">
      <alignment horizontal="center"/>
      <protection locked="0"/>
    </xf>
    <xf numFmtId="0" fontId="2" fillId="5" borderId="30" xfId="1" applyFont="1" applyFill="1" applyBorder="1" applyAlignment="1" applyProtection="1">
      <alignment horizontal="left" vertical="top" wrapText="1"/>
      <protection locked="0"/>
    </xf>
    <xf numFmtId="0" fontId="2" fillId="5" borderId="19" xfId="1" applyFont="1" applyFill="1" applyBorder="1" applyAlignment="1" applyProtection="1">
      <alignment horizontal="left" vertical="top" wrapText="1"/>
      <protection locked="0"/>
    </xf>
    <xf numFmtId="0" fontId="2" fillId="3" borderId="15" xfId="1" applyFont="1" applyFill="1" applyBorder="1" applyAlignment="1" applyProtection="1">
      <alignment horizontal="center"/>
      <protection locked="0"/>
    </xf>
    <xf numFmtId="0" fontId="2" fillId="3" borderId="17" xfId="1" applyFont="1" applyFill="1" applyBorder="1" applyAlignment="1" applyProtection="1">
      <alignment horizontal="center"/>
      <protection locked="0"/>
    </xf>
    <xf numFmtId="0" fontId="2" fillId="2" borderId="19" xfId="1" applyFont="1" applyFill="1" applyBorder="1" applyAlignment="1" applyProtection="1">
      <alignment horizontal="center" wrapText="1"/>
      <protection locked="0"/>
    </xf>
    <xf numFmtId="0" fontId="1" fillId="2" borderId="19" xfId="1" applyFill="1" applyBorder="1" applyAlignment="1" applyProtection="1">
      <alignment horizontal="center" wrapText="1"/>
      <protection locked="0"/>
    </xf>
    <xf numFmtId="0" fontId="2" fillId="9" borderId="22" xfId="1" applyFont="1" applyFill="1" applyBorder="1" applyAlignment="1" applyProtection="1">
      <alignment horizontal="center" wrapText="1"/>
      <protection locked="0"/>
    </xf>
    <xf numFmtId="0" fontId="1" fillId="9" borderId="20" xfId="1" applyFill="1" applyBorder="1" applyAlignment="1" applyProtection="1">
      <alignment wrapText="1"/>
      <protection locked="0"/>
    </xf>
    <xf numFmtId="0" fontId="2" fillId="9" borderId="7" xfId="1" applyFont="1" applyFill="1" applyBorder="1" applyAlignment="1" applyProtection="1">
      <alignment horizontal="center" wrapText="1"/>
      <protection locked="0"/>
    </xf>
    <xf numFmtId="0" fontId="1" fillId="9" borderId="2" xfId="1" applyFill="1" applyBorder="1" applyAlignment="1" applyProtection="1">
      <alignment wrapText="1"/>
      <protection locked="0"/>
    </xf>
    <xf numFmtId="0" fontId="2" fillId="3" borderId="22" xfId="1" applyFont="1" applyFill="1" applyBorder="1" applyAlignment="1" applyProtection="1">
      <alignment horizontal="center" wrapText="1"/>
      <protection locked="0"/>
    </xf>
    <xf numFmtId="0" fontId="1" fillId="3" borderId="20" xfId="1" applyFill="1" applyBorder="1" applyAlignment="1" applyProtection="1">
      <alignment wrapText="1"/>
      <protection locked="0"/>
    </xf>
    <xf numFmtId="0" fontId="2" fillId="3" borderId="19" xfId="1" applyFont="1" applyFill="1" applyBorder="1" applyAlignment="1" applyProtection="1">
      <alignment horizontal="center" wrapText="1"/>
      <protection locked="0"/>
    </xf>
    <xf numFmtId="0" fontId="1" fillId="3" borderId="21" xfId="1" applyFill="1" applyBorder="1" applyAlignment="1" applyProtection="1">
      <alignment wrapText="1"/>
      <protection locked="0"/>
    </xf>
  </cellXfs>
  <cellStyles count="11">
    <cellStyle name="Comma 2" xfId="6" xr:uid="{01EA0D47-F142-4C17-84EF-38480B936AB1}"/>
    <cellStyle name="Comma 2 2" xfId="9" xr:uid="{38EFEBCE-AC92-4728-AA24-AA3DEDBC211C}"/>
    <cellStyle name="Comma 4" xfId="2" xr:uid="{8196FD63-3181-4047-B814-FC69070A6AD1}"/>
    <cellStyle name="Comma 4 2" xfId="7" xr:uid="{C2205AF3-BCB8-4981-8D58-3E65AF50BAD7}"/>
    <cellStyle name="Currency" xfId="10" builtinId="4"/>
    <cellStyle name="Currency 2" xfId="4" xr:uid="{128272FB-30A7-4B1F-AE3D-1F85CAA514BE}"/>
    <cellStyle name="Currency 2 2" xfId="8" xr:uid="{2EEAED11-DEC0-493A-9E69-C4162526DE9D}"/>
    <cellStyle name="Normal" xfId="0" builtinId="0"/>
    <cellStyle name="Normal 2" xfId="1" xr:uid="{6D7AE449-FA41-4AC0-927E-E349F6137D88}"/>
    <cellStyle name="Percent" xfId="5" builtinId="5"/>
    <cellStyle name="Percent 2" xfId="3" xr:uid="{C969E8FA-161C-44E4-8063-0796CE5A850A}"/>
  </cellStyles>
  <dxfs count="0"/>
  <tableStyles count="0" defaultTableStyle="TableStyleMedium2" defaultPivotStyle="PivotStyleLight16"/>
  <colors>
    <mruColors>
      <color rgb="FFE8AA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8E3ED-B79B-4286-81C6-CF0A7746EE83}">
  <dimension ref="B1:F7"/>
  <sheetViews>
    <sheetView tabSelected="1" view="pageBreakPreview" zoomScale="60" zoomScaleNormal="140" workbookViewId="0">
      <selection activeCell="D91" sqref="D91"/>
    </sheetView>
  </sheetViews>
  <sheetFormatPr defaultRowHeight="14.25" x14ac:dyDescent="0.2"/>
  <cols>
    <col min="1" max="1" width="3.28515625" style="141" customWidth="1"/>
    <col min="2" max="2" width="9.140625" style="141"/>
    <col min="3" max="3" width="23.140625" style="141" customWidth="1"/>
    <col min="4" max="4" width="24.5703125" style="141" customWidth="1"/>
    <col min="5" max="5" width="15.28515625" style="141" customWidth="1"/>
    <col min="6" max="6" width="15.85546875" style="141" customWidth="1"/>
    <col min="7" max="16384" width="9.140625" style="141"/>
  </cols>
  <sheetData>
    <row r="1" spans="2:6" x14ac:dyDescent="0.2">
      <c r="B1" s="141" t="s">
        <v>65</v>
      </c>
    </row>
    <row r="3" spans="2:6" ht="30" x14ac:dyDescent="0.25">
      <c r="B3" s="148"/>
      <c r="C3" s="150" t="s">
        <v>63</v>
      </c>
      <c r="D3" s="150" t="s">
        <v>64</v>
      </c>
      <c r="E3" s="151" t="s">
        <v>13</v>
      </c>
      <c r="F3" s="151" t="s">
        <v>58</v>
      </c>
    </row>
    <row r="4" spans="2:6" ht="15" x14ac:dyDescent="0.25">
      <c r="B4" s="149" t="s">
        <v>61</v>
      </c>
      <c r="C4" s="163">
        <f>HRZ!E49</f>
        <v>551200.00178281742</v>
      </c>
      <c r="D4" s="163">
        <f>HRZ!H49</f>
        <v>397415.71354369755</v>
      </c>
      <c r="E4" s="163">
        <f>D4-C4</f>
        <v>-153784.28823911987</v>
      </c>
      <c r="F4" s="164">
        <f>E4/C4</f>
        <v>-0.27899907064897578</v>
      </c>
    </row>
    <row r="5" spans="2:6" ht="15" x14ac:dyDescent="0.25">
      <c r="B5" s="149" t="s">
        <v>46</v>
      </c>
      <c r="C5" s="163">
        <f>BRZ!E49</f>
        <v>612997.38208034623</v>
      </c>
      <c r="D5" s="163">
        <f>BRZ!H49</f>
        <v>454368.61445658305</v>
      </c>
      <c r="E5" s="163">
        <f>D5-C5</f>
        <v>-158628.76762376318</v>
      </c>
      <c r="F5" s="164">
        <f>E5/C5</f>
        <v>-0.25877560371533781</v>
      </c>
    </row>
    <row r="6" spans="2:6" ht="15" x14ac:dyDescent="0.25">
      <c r="B6" s="149" t="s">
        <v>47</v>
      </c>
      <c r="C6" s="163">
        <f>PRZ!E49</f>
        <v>820327.70609566255</v>
      </c>
      <c r="D6" s="163">
        <f>PRZ!H49</f>
        <v>855091.43207027309</v>
      </c>
      <c r="E6" s="163">
        <f t="shared" ref="E6:E7" si="0">D6-C6</f>
        <v>34763.725974610541</v>
      </c>
      <c r="F6" s="164">
        <f t="shared" ref="F6:F7" si="1">E6/C6</f>
        <v>4.2377851822252809E-2</v>
      </c>
    </row>
    <row r="7" spans="2:6" ht="15" x14ac:dyDescent="0.25">
      <c r="B7" s="149" t="s">
        <v>48</v>
      </c>
      <c r="C7" s="163">
        <f>GRZ!E49</f>
        <v>148880.647841</v>
      </c>
      <c r="D7" s="163">
        <f>GRZ!H49</f>
        <v>97982.892573854871</v>
      </c>
      <c r="E7" s="163">
        <f t="shared" si="0"/>
        <v>-50897.755267145127</v>
      </c>
      <c r="F7" s="164">
        <f t="shared" si="1"/>
        <v>-0.3418695176656027</v>
      </c>
    </row>
  </sheetData>
  <pageMargins left="0.7" right="0.7" top="0.75" bottom="0.75" header="0.3" footer="0.3"/>
  <pageSetup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D6E6-3EDD-4405-9833-F85883C2803F}">
  <dimension ref="B1:H26"/>
  <sheetViews>
    <sheetView view="pageBreakPreview" zoomScale="60" zoomScaleNormal="120" workbookViewId="0">
      <selection activeCell="R69" sqref="R69"/>
    </sheetView>
  </sheetViews>
  <sheetFormatPr defaultRowHeight="14.25" x14ac:dyDescent="0.2"/>
  <cols>
    <col min="1" max="1" width="3.5703125" style="153" customWidth="1"/>
    <col min="2" max="2" width="9.140625" style="153"/>
    <col min="3" max="5" width="18.85546875" style="153" customWidth="1"/>
    <col min="6" max="8" width="20.140625" style="153" customWidth="1"/>
    <col min="9" max="16384" width="9.140625" style="153"/>
  </cols>
  <sheetData>
    <row r="1" spans="2:8" x14ac:dyDescent="0.2">
      <c r="B1" s="153" t="s">
        <v>53</v>
      </c>
    </row>
    <row r="2" spans="2:8" ht="15" thickBot="1" x14ac:dyDescent="0.25"/>
    <row r="3" spans="2:8" ht="15" thickBot="1" x14ac:dyDescent="0.25">
      <c r="B3" s="154"/>
      <c r="C3" s="165" t="s">
        <v>49</v>
      </c>
      <c r="D3" s="166"/>
      <c r="E3" s="167"/>
      <c r="F3" s="166" t="s">
        <v>59</v>
      </c>
      <c r="G3" s="166"/>
      <c r="H3" s="168"/>
    </row>
    <row r="4" spans="2:8" ht="15" thickBot="1" x14ac:dyDescent="0.25">
      <c r="B4" s="155"/>
      <c r="C4" s="156" t="s">
        <v>7</v>
      </c>
      <c r="D4" s="157" t="s">
        <v>5</v>
      </c>
      <c r="E4" s="157" t="s">
        <v>50</v>
      </c>
      <c r="F4" s="157" t="s">
        <v>7</v>
      </c>
      <c r="G4" s="157" t="s">
        <v>5</v>
      </c>
      <c r="H4" s="157" t="s">
        <v>50</v>
      </c>
    </row>
    <row r="5" spans="2:8" ht="15" thickBot="1" x14ac:dyDescent="0.25">
      <c r="B5" s="155" t="s">
        <v>61</v>
      </c>
      <c r="C5" s="158">
        <v>87344</v>
      </c>
      <c r="D5" s="159">
        <v>31193672.300799701</v>
      </c>
      <c r="E5" s="159">
        <v>53035</v>
      </c>
      <c r="F5" s="160">
        <v>47813.521778042959</v>
      </c>
      <c r="G5" s="160">
        <v>16835409.411861863</v>
      </c>
      <c r="H5" s="159">
        <v>52509</v>
      </c>
    </row>
    <row r="6" spans="2:8" ht="15" thickBot="1" x14ac:dyDescent="0.25">
      <c r="B6" s="155" t="s">
        <v>46</v>
      </c>
      <c r="C6" s="158">
        <v>98842</v>
      </c>
      <c r="D6" s="159">
        <v>34968321</v>
      </c>
      <c r="E6" s="159">
        <v>19919</v>
      </c>
      <c r="F6" s="160">
        <v>63704</v>
      </c>
      <c r="G6" s="160">
        <v>22576207</v>
      </c>
      <c r="H6" s="159">
        <v>21254</v>
      </c>
    </row>
    <row r="7" spans="2:8" ht="15" thickBot="1" x14ac:dyDescent="0.25">
      <c r="B7" s="155" t="s">
        <v>47</v>
      </c>
      <c r="C7" s="158">
        <v>134152</v>
      </c>
      <c r="D7" s="159">
        <v>48883953</v>
      </c>
      <c r="E7" s="159">
        <v>91446</v>
      </c>
      <c r="F7" s="160">
        <v>134089</v>
      </c>
      <c r="G7" s="160">
        <v>47642169</v>
      </c>
      <c r="H7" s="159">
        <v>93485</v>
      </c>
    </row>
    <row r="8" spans="2:8" ht="15" thickBot="1" x14ac:dyDescent="0.25">
      <c r="B8" s="155" t="s">
        <v>48</v>
      </c>
      <c r="C8" s="158">
        <v>28425</v>
      </c>
      <c r="D8" s="159">
        <v>10182750</v>
      </c>
      <c r="E8" s="159">
        <v>14152</v>
      </c>
      <c r="F8" s="160">
        <v>10148</v>
      </c>
      <c r="G8" s="160">
        <v>3490952</v>
      </c>
      <c r="H8" s="159">
        <v>14285</v>
      </c>
    </row>
    <row r="10" spans="2:8" x14ac:dyDescent="0.2">
      <c r="B10" s="142" t="s">
        <v>52</v>
      </c>
    </row>
    <row r="11" spans="2:8" ht="15" thickBot="1" x14ac:dyDescent="0.25"/>
    <row r="12" spans="2:8" ht="15" thickBot="1" x14ac:dyDescent="0.25">
      <c r="B12" s="154"/>
      <c r="C12" s="165" t="s">
        <v>49</v>
      </c>
      <c r="D12" s="166"/>
      <c r="E12" s="168"/>
      <c r="F12" s="169" t="s">
        <v>59</v>
      </c>
      <c r="G12" s="166"/>
      <c r="H12" s="168"/>
    </row>
    <row r="13" spans="2:8" ht="15" thickBot="1" x14ac:dyDescent="0.25">
      <c r="B13" s="155"/>
      <c r="C13" s="157" t="s">
        <v>7</v>
      </c>
      <c r="D13" s="157" t="s">
        <v>5</v>
      </c>
      <c r="E13" s="157" t="s">
        <v>50</v>
      </c>
      <c r="F13" s="157" t="s">
        <v>7</v>
      </c>
      <c r="G13" s="157" t="s">
        <v>5</v>
      </c>
      <c r="H13" s="157" t="s">
        <v>50</v>
      </c>
    </row>
    <row r="14" spans="2:8" ht="15" thickBot="1" x14ac:dyDescent="0.25">
      <c r="B14" s="155" t="s">
        <v>61</v>
      </c>
      <c r="C14" s="158">
        <v>87344</v>
      </c>
      <c r="D14" s="159">
        <v>31193672.300799701</v>
      </c>
      <c r="E14" s="159">
        <v>53035</v>
      </c>
      <c r="F14" s="160">
        <f>F5/H5*H14</f>
        <v>48292.485621484098</v>
      </c>
      <c r="G14" s="160">
        <f>G5/H5*H14</f>
        <v>17004055.269726977</v>
      </c>
      <c r="H14" s="159">
        <v>53035</v>
      </c>
    </row>
    <row r="15" spans="2:8" ht="15" thickBot="1" x14ac:dyDescent="0.25">
      <c r="B15" s="155" t="s">
        <v>46</v>
      </c>
      <c r="C15" s="159">
        <v>98842</v>
      </c>
      <c r="D15" s="159">
        <v>34968321</v>
      </c>
      <c r="E15" s="159">
        <v>19919</v>
      </c>
      <c r="F15" s="160">
        <f>F6/H6*H15</f>
        <v>59702.643078949848</v>
      </c>
      <c r="G15" s="160">
        <f>G6/H6*H15</f>
        <v>21158156.922602803</v>
      </c>
      <c r="H15" s="159">
        <v>19919</v>
      </c>
    </row>
    <row r="16" spans="2:8" ht="15" thickBot="1" x14ac:dyDescent="0.25">
      <c r="B16" s="155" t="s">
        <v>47</v>
      </c>
      <c r="C16" s="159">
        <v>134152</v>
      </c>
      <c r="D16" s="159">
        <v>48883953</v>
      </c>
      <c r="E16" s="159">
        <v>91446</v>
      </c>
      <c r="F16" s="160">
        <f>F7/H7*H16</f>
        <v>131164.38673583997</v>
      </c>
      <c r="G16" s="160">
        <f>G7/H7*H16</f>
        <v>46603046.332288608</v>
      </c>
      <c r="H16" s="159">
        <v>91446</v>
      </c>
    </row>
    <row r="17" spans="2:8" ht="15" thickBot="1" x14ac:dyDescent="0.25">
      <c r="B17" s="155" t="s">
        <v>48</v>
      </c>
      <c r="C17" s="159">
        <v>28425</v>
      </c>
      <c r="D17" s="159">
        <v>10182750</v>
      </c>
      <c r="E17" s="159">
        <v>14152</v>
      </c>
      <c r="F17" s="160">
        <f>F8/H8*H17</f>
        <v>10053.517395869794</v>
      </c>
      <c r="G17" s="160">
        <f>G8/H8*H17</f>
        <v>3458449.6117605879</v>
      </c>
      <c r="H17" s="159">
        <v>14152</v>
      </c>
    </row>
    <row r="19" spans="2:8" x14ac:dyDescent="0.2">
      <c r="B19" s="142" t="s">
        <v>51</v>
      </c>
    </row>
    <row r="20" spans="2:8" ht="15" thickBot="1" x14ac:dyDescent="0.25"/>
    <row r="21" spans="2:8" ht="15" thickBot="1" x14ac:dyDescent="0.25">
      <c r="B21" s="154"/>
      <c r="C21" s="165" t="s">
        <v>49</v>
      </c>
      <c r="D21" s="166"/>
      <c r="E21" s="168"/>
      <c r="F21" s="169" t="s">
        <v>59</v>
      </c>
      <c r="G21" s="166"/>
      <c r="H21" s="168"/>
    </row>
    <row r="22" spans="2:8" ht="15" thickBot="1" x14ac:dyDescent="0.25">
      <c r="B22" s="155"/>
      <c r="C22" s="157" t="s">
        <v>7</v>
      </c>
      <c r="D22" s="157" t="s">
        <v>5</v>
      </c>
      <c r="E22" s="157" t="s">
        <v>50</v>
      </c>
      <c r="F22" s="157" t="s">
        <v>7</v>
      </c>
      <c r="G22" s="157" t="s">
        <v>5</v>
      </c>
      <c r="H22" s="157" t="s">
        <v>50</v>
      </c>
    </row>
    <row r="23" spans="2:8" ht="15" thickBot="1" x14ac:dyDescent="0.25">
      <c r="B23" s="155" t="s">
        <v>61</v>
      </c>
      <c r="C23" s="159">
        <f>C14/12</f>
        <v>7278.666666666667</v>
      </c>
      <c r="D23" s="159">
        <f>D14/12</f>
        <v>2599472.6917333086</v>
      </c>
      <c r="E23" s="159">
        <f>E14</f>
        <v>53035</v>
      </c>
      <c r="F23" s="159">
        <f>F14/12</f>
        <v>4024.3738017903415</v>
      </c>
      <c r="G23" s="159">
        <f>G14/12</f>
        <v>1417004.6058105815</v>
      </c>
      <c r="H23" s="159">
        <f>H14</f>
        <v>53035</v>
      </c>
    </row>
    <row r="24" spans="2:8" ht="15" thickBot="1" x14ac:dyDescent="0.25">
      <c r="B24" s="155" t="s">
        <v>46</v>
      </c>
      <c r="C24" s="159">
        <f>C15/12</f>
        <v>8236.8333333333339</v>
      </c>
      <c r="D24" s="159">
        <f>D15/12</f>
        <v>2914026.75</v>
      </c>
      <c r="E24" s="159">
        <f>E15</f>
        <v>19919</v>
      </c>
      <c r="F24" s="159">
        <f>F15/12</f>
        <v>4975.220256579154</v>
      </c>
      <c r="G24" s="159">
        <f>G15/12</f>
        <v>1763179.7435502335</v>
      </c>
      <c r="H24" s="159">
        <f>H15</f>
        <v>19919</v>
      </c>
    </row>
    <row r="25" spans="2:8" ht="15" thickBot="1" x14ac:dyDescent="0.25">
      <c r="B25" s="155" t="s">
        <v>47</v>
      </c>
      <c r="C25" s="159">
        <f t="shared" ref="C25:D25" si="0">C16/12</f>
        <v>11179.333333333334</v>
      </c>
      <c r="D25" s="159">
        <f t="shared" si="0"/>
        <v>4073662.75</v>
      </c>
      <c r="E25" s="159">
        <f t="shared" ref="E25:E26" si="1">E16</f>
        <v>91446</v>
      </c>
      <c r="F25" s="159">
        <f t="shared" ref="F25:G25" si="2">F16/12</f>
        <v>10930.365561319997</v>
      </c>
      <c r="G25" s="159">
        <f t="shared" si="2"/>
        <v>3883587.194357384</v>
      </c>
      <c r="H25" s="159">
        <f t="shared" ref="H25:H26" si="3">H16</f>
        <v>91446</v>
      </c>
    </row>
    <row r="26" spans="2:8" ht="15" thickBot="1" x14ac:dyDescent="0.25">
      <c r="B26" s="155" t="s">
        <v>48</v>
      </c>
      <c r="C26" s="159">
        <f t="shared" ref="C26:D26" si="4">C17/12</f>
        <v>2368.75</v>
      </c>
      <c r="D26" s="159">
        <f t="shared" si="4"/>
        <v>848562.5</v>
      </c>
      <c r="E26" s="159">
        <f t="shared" si="1"/>
        <v>14152</v>
      </c>
      <c r="F26" s="159">
        <f t="shared" ref="F26:G26" si="5">F17/12</f>
        <v>837.79311632248289</v>
      </c>
      <c r="G26" s="159">
        <f t="shared" si="5"/>
        <v>288204.13431338232</v>
      </c>
      <c r="H26" s="159">
        <f t="shared" si="3"/>
        <v>14152</v>
      </c>
    </row>
  </sheetData>
  <mergeCells count="6">
    <mergeCell ref="C3:E3"/>
    <mergeCell ref="F3:H3"/>
    <mergeCell ref="C12:E12"/>
    <mergeCell ref="F12:H12"/>
    <mergeCell ref="C21:E21"/>
    <mergeCell ref="F21:H21"/>
  </mergeCells>
  <pageMargins left="0.7" right="0.7" top="0.75" bottom="0.75" header="0.3" footer="0.3"/>
  <pageSetup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6F55-9206-4C66-8FF4-BDB8A710F630}">
  <sheetPr>
    <pageSetUpPr fitToPage="1"/>
  </sheetPr>
  <dimension ref="A3:N50"/>
  <sheetViews>
    <sheetView showGridLines="0" zoomScale="80" zoomScaleNormal="80" workbookViewId="0">
      <selection activeCell="R69" sqref="R69"/>
    </sheetView>
  </sheetViews>
  <sheetFormatPr defaultColWidth="9.28515625" defaultRowHeight="12.75" x14ac:dyDescent="0.2"/>
  <cols>
    <col min="1" max="1" width="39.140625" style="1" customWidth="1"/>
    <col min="2" max="2" width="13.28515625" style="1" customWidth="1"/>
    <col min="3" max="3" width="26.7109375" style="1" customWidth="1"/>
    <col min="4" max="4" width="16.85546875" style="1" bestFit="1" customWidth="1"/>
    <col min="5" max="5" width="18.28515625" style="1" customWidth="1"/>
    <col min="6" max="6" width="13.7109375" style="1" bestFit="1" customWidth="1"/>
    <col min="7" max="7" width="15.7109375" style="1" customWidth="1"/>
    <col min="8" max="8" width="13.5703125" style="1" customWidth="1"/>
    <col min="9" max="11" width="17.85546875" style="1" customWidth="1"/>
    <col min="12" max="12" width="10.85546875" style="1" bestFit="1" customWidth="1"/>
    <col min="13" max="13" width="9.28515625" style="1"/>
    <col min="14" max="14" width="9.28515625" style="1" hidden="1" customWidth="1"/>
    <col min="15" max="16384" width="9.28515625" style="1"/>
  </cols>
  <sheetData>
    <row r="3" spans="1:14" x14ac:dyDescent="0.2">
      <c r="A3" s="2" t="s">
        <v>0</v>
      </c>
      <c r="B3" s="170" t="s">
        <v>66</v>
      </c>
      <c r="C3" s="170"/>
      <c r="D3" s="170"/>
      <c r="E3" s="170"/>
      <c r="N3" s="1" t="s">
        <v>1</v>
      </c>
    </row>
    <row r="4" spans="1:14" x14ac:dyDescent="0.2">
      <c r="A4" s="2" t="s">
        <v>2</v>
      </c>
      <c r="B4" s="171" t="s">
        <v>3</v>
      </c>
      <c r="C4" s="171"/>
      <c r="D4" s="171"/>
      <c r="E4" s="43"/>
      <c r="F4" s="44"/>
      <c r="G4" s="44"/>
      <c r="H4" s="44"/>
      <c r="I4" s="44"/>
      <c r="J4" s="44"/>
    </row>
    <row r="5" spans="1:14" ht="36" customHeight="1" x14ac:dyDescent="0.2">
      <c r="A5" s="2"/>
      <c r="B5" s="143" t="s">
        <v>57</v>
      </c>
      <c r="C5" s="143" t="s">
        <v>56</v>
      </c>
      <c r="E5" s="45"/>
      <c r="F5" s="44"/>
      <c r="G5" s="44"/>
      <c r="H5" s="44"/>
      <c r="I5" s="44"/>
      <c r="J5" s="44"/>
    </row>
    <row r="6" spans="1:14" ht="15.75" x14ac:dyDescent="0.2">
      <c r="A6" s="2" t="s">
        <v>4</v>
      </c>
      <c r="B6" s="3">
        <f>'RRR Data'!D24</f>
        <v>2914026.75</v>
      </c>
      <c r="C6" s="3">
        <f>'RRR Data'!G24</f>
        <v>1763179.7435502335</v>
      </c>
      <c r="D6" s="46" t="s">
        <v>5</v>
      </c>
      <c r="F6" s="47"/>
      <c r="G6" s="47"/>
      <c r="H6" s="47"/>
      <c r="I6" s="44"/>
      <c r="J6" s="44"/>
    </row>
    <row r="7" spans="1:14" x14ac:dyDescent="0.2">
      <c r="A7" s="2" t="s">
        <v>6</v>
      </c>
      <c r="B7" s="3">
        <f>'RRR Data'!C24</f>
        <v>8236.8333333333339</v>
      </c>
      <c r="C7" s="3">
        <f>'RRR Data'!F24</f>
        <v>4975.220256579154</v>
      </c>
      <c r="D7" s="48" t="s">
        <v>7</v>
      </c>
      <c r="F7" s="49"/>
      <c r="G7" s="44"/>
      <c r="H7" s="44"/>
      <c r="I7" s="44"/>
      <c r="J7" s="44"/>
    </row>
    <row r="8" spans="1:14" x14ac:dyDescent="0.2">
      <c r="A8" s="2" t="s">
        <v>54</v>
      </c>
      <c r="B8" s="3">
        <f>'RRR Data'!E24</f>
        <v>19919</v>
      </c>
      <c r="C8" s="3">
        <f>'RRR Data'!H24</f>
        <v>19919</v>
      </c>
      <c r="D8" s="48"/>
      <c r="F8" s="49"/>
      <c r="G8" s="44"/>
      <c r="H8" s="44"/>
      <c r="I8" s="44"/>
      <c r="J8" s="44"/>
    </row>
    <row r="9" spans="1:14" x14ac:dyDescent="0.2">
      <c r="A9" s="2" t="s">
        <v>8</v>
      </c>
      <c r="B9" s="5">
        <v>1.0341</v>
      </c>
      <c r="C9" s="5">
        <v>1.0341</v>
      </c>
    </row>
    <row r="10" spans="1:14" x14ac:dyDescent="0.2">
      <c r="A10" s="2" t="s">
        <v>9</v>
      </c>
      <c r="B10" s="5">
        <v>1.0341</v>
      </c>
      <c r="C10" s="5">
        <v>1.0341</v>
      </c>
    </row>
    <row r="11" spans="1:14" ht="13.5" thickBot="1" x14ac:dyDescent="0.25"/>
    <row r="12" spans="1:14" x14ac:dyDescent="0.2">
      <c r="A12" s="114"/>
      <c r="B12" s="115"/>
      <c r="C12" s="172" t="s">
        <v>60</v>
      </c>
      <c r="D12" s="173"/>
      <c r="E12" s="174"/>
      <c r="F12" s="172" t="s">
        <v>55</v>
      </c>
      <c r="G12" s="173"/>
      <c r="H12" s="174"/>
      <c r="I12" s="161" t="s">
        <v>10</v>
      </c>
      <c r="J12" s="162" t="s">
        <v>11</v>
      </c>
      <c r="K12" s="177" t="s">
        <v>12</v>
      </c>
      <c r="L12" s="178"/>
    </row>
    <row r="13" spans="1:14" x14ac:dyDescent="0.2">
      <c r="A13" s="116"/>
      <c r="B13" s="179"/>
      <c r="C13" s="53" t="s">
        <v>14</v>
      </c>
      <c r="D13" s="6" t="s">
        <v>15</v>
      </c>
      <c r="E13" s="54" t="s">
        <v>16</v>
      </c>
      <c r="F13" s="53" t="s">
        <v>14</v>
      </c>
      <c r="G13" s="7" t="s">
        <v>15</v>
      </c>
      <c r="H13" s="54" t="s">
        <v>16</v>
      </c>
      <c r="I13" s="181" t="s">
        <v>17</v>
      </c>
      <c r="J13" s="183" t="s">
        <v>17</v>
      </c>
      <c r="K13" s="185" t="s">
        <v>17</v>
      </c>
      <c r="L13" s="187" t="s">
        <v>18</v>
      </c>
    </row>
    <row r="14" spans="1:14" x14ac:dyDescent="0.2">
      <c r="A14" s="116"/>
      <c r="B14" s="180"/>
      <c r="C14" s="55" t="s">
        <v>19</v>
      </c>
      <c r="D14" s="8"/>
      <c r="E14" s="56" t="s">
        <v>19</v>
      </c>
      <c r="F14" s="55" t="s">
        <v>19</v>
      </c>
      <c r="G14" s="9"/>
      <c r="H14" s="56" t="s">
        <v>19</v>
      </c>
      <c r="I14" s="182"/>
      <c r="J14" s="184"/>
      <c r="K14" s="186"/>
      <c r="L14" s="188"/>
    </row>
    <row r="15" spans="1:14" x14ac:dyDescent="0.2">
      <c r="A15" s="117" t="s">
        <v>20</v>
      </c>
      <c r="B15" s="118"/>
      <c r="C15" s="81">
        <v>2.5099999999999998</v>
      </c>
      <c r="D15" s="147">
        <f>B8</f>
        <v>19919</v>
      </c>
      <c r="E15" s="82">
        <f>D15*C15</f>
        <v>49996.689999999995</v>
      </c>
      <c r="F15" s="135">
        <v>2.59</v>
      </c>
      <c r="G15" s="11">
        <f>C8</f>
        <v>19919</v>
      </c>
      <c r="H15" s="57">
        <f>G15*F15</f>
        <v>51590.21</v>
      </c>
      <c r="I15" s="94">
        <f>(F15-C15)*G15</f>
        <v>1593.5200000000013</v>
      </c>
      <c r="J15" s="50">
        <f>(G15-D15)*C15</f>
        <v>0</v>
      </c>
      <c r="K15" s="108">
        <f t="shared" ref="K15:K29" si="0">H15-E15</f>
        <v>1593.5200000000041</v>
      </c>
      <c r="L15" s="109">
        <f>IF(ISERROR(K15/E15), "", K15/E15)</f>
        <v>3.1872509960159445E-2</v>
      </c>
    </row>
    <row r="16" spans="1:14" x14ac:dyDescent="0.2">
      <c r="A16" s="117" t="s">
        <v>21</v>
      </c>
      <c r="B16" s="118"/>
      <c r="C16" s="83">
        <v>12.576599999999999</v>
      </c>
      <c r="D16" s="134">
        <f>IF($B7&gt;0, $B7, $B6)</f>
        <v>8236.8333333333339</v>
      </c>
      <c r="E16" s="82">
        <f>D16*C16</f>
        <v>103591.3581</v>
      </c>
      <c r="F16" s="58">
        <v>12.953900000000001</v>
      </c>
      <c r="G16" s="133">
        <f>IF($C7&gt;0, $C7, $C6)</f>
        <v>4975.220256579154</v>
      </c>
      <c r="H16" s="57">
        <f>G16*F16</f>
        <v>64448.505681700706</v>
      </c>
      <c r="I16" s="94">
        <f>(F16-C16)*G16</f>
        <v>1877.1506028073236</v>
      </c>
      <c r="J16" s="50">
        <f>(G16-D16)*C16</f>
        <v>-41020.003021106619</v>
      </c>
      <c r="K16" s="108">
        <f t="shared" si="0"/>
        <v>-39142.852418299291</v>
      </c>
      <c r="L16" s="109">
        <f>IF(ISERROR(K16/E16), "", K16/E16)</f>
        <v>-0.37785828022945178</v>
      </c>
    </row>
    <row r="17" spans="1:12" x14ac:dyDescent="0.2">
      <c r="A17" s="117" t="s">
        <v>22</v>
      </c>
      <c r="B17" s="118"/>
      <c r="C17" s="81">
        <v>0.04</v>
      </c>
      <c r="D17" s="134">
        <f>+D15</f>
        <v>19919</v>
      </c>
      <c r="E17" s="82">
        <f>D17*C17</f>
        <v>796.76</v>
      </c>
      <c r="F17" s="135">
        <v>0.04</v>
      </c>
      <c r="G17" s="133">
        <f>C8</f>
        <v>19919</v>
      </c>
      <c r="H17" s="57">
        <f>G17*F17</f>
        <v>796.76</v>
      </c>
      <c r="I17" s="94">
        <f>(F17-C17)*G17</f>
        <v>0</v>
      </c>
      <c r="J17" s="50">
        <f>(G17-D17)*C17</f>
        <v>0</v>
      </c>
      <c r="K17" s="108">
        <f t="shared" si="0"/>
        <v>0</v>
      </c>
      <c r="L17" s="109">
        <f>IF(ISERROR(K17/E17), "", K17/E17)</f>
        <v>0</v>
      </c>
    </row>
    <row r="18" spans="1:12" x14ac:dyDescent="0.2">
      <c r="A18" s="117" t="s">
        <v>23</v>
      </c>
      <c r="B18" s="118"/>
      <c r="C18" s="83">
        <v>4.9767999999999999</v>
      </c>
      <c r="D18" s="134">
        <f>IF($B7&gt;0, $B7, $B6)</f>
        <v>8236.8333333333339</v>
      </c>
      <c r="E18" s="82">
        <f>D18*C18</f>
        <v>40993.072133333335</v>
      </c>
      <c r="F18" s="136">
        <v>13.8462</v>
      </c>
      <c r="G18" s="133">
        <f>IF($C7&gt;0, $C7, $C6)</f>
        <v>4975.220256579154</v>
      </c>
      <c r="H18" s="57">
        <f>G18*F18</f>
        <v>68887.894716646275</v>
      </c>
      <c r="I18" s="94">
        <f>(F18-C18)*G18</f>
        <v>44127.218543703144</v>
      </c>
      <c r="J18" s="50">
        <f>(G18-D18)*C18</f>
        <v>-16232.395960390202</v>
      </c>
      <c r="K18" s="108">
        <f t="shared" si="0"/>
        <v>27894.82258331294</v>
      </c>
      <c r="L18" s="109">
        <f>IF(ISERROR(K18/E18), "", K18/E18)</f>
        <v>0.68047650814222305</v>
      </c>
    </row>
    <row r="19" spans="1:12" x14ac:dyDescent="0.2">
      <c r="A19" s="117" t="s">
        <v>24</v>
      </c>
      <c r="B19" s="118"/>
      <c r="C19" s="83">
        <v>0.21989999999999998</v>
      </c>
      <c r="D19" s="134">
        <f>IF($B7&gt;0, $B7, $B6)</f>
        <v>8236.8333333333339</v>
      </c>
      <c r="E19" s="82">
        <f>D19*C19</f>
        <v>1811.2796499999999</v>
      </c>
      <c r="F19" s="58">
        <v>0.21990000000000001</v>
      </c>
      <c r="G19" s="133">
        <f>IF($C7&gt;0, $C7, $C6)</f>
        <v>4975.220256579154</v>
      </c>
      <c r="H19" s="57">
        <f>G19*F19</f>
        <v>1094.050934421756</v>
      </c>
      <c r="I19" s="94">
        <f>(F19-C19)*G19</f>
        <v>1.3809010203589139E-13</v>
      </c>
      <c r="J19" s="50">
        <f>(G19-D19)*C19</f>
        <v>-717.22871557824408</v>
      </c>
      <c r="K19" s="108">
        <f t="shared" si="0"/>
        <v>-717.22871557824396</v>
      </c>
      <c r="L19" s="109" t="str">
        <f>IF(ISERROR(K19/#REF!), "", K19/#REF!)</f>
        <v/>
      </c>
    </row>
    <row r="20" spans="1:12" x14ac:dyDescent="0.2">
      <c r="A20" s="119" t="s">
        <v>25</v>
      </c>
      <c r="B20" s="120"/>
      <c r="C20" s="84"/>
      <c r="D20" s="13"/>
      <c r="E20" s="60">
        <f>SUM(E15:E19)</f>
        <v>197189.15988333334</v>
      </c>
      <c r="F20" s="59"/>
      <c r="G20" s="14"/>
      <c r="H20" s="60">
        <f>SUM(H15:H19)</f>
        <v>186817.42133276872</v>
      </c>
      <c r="I20" s="95">
        <f>SUM(I15:I19)</f>
        <v>47597.889146510468</v>
      </c>
      <c r="J20" s="51">
        <f>SUM(J15:J19)</f>
        <v>-57969.62769707507</v>
      </c>
      <c r="K20" s="110">
        <f t="shared" si="0"/>
        <v>-10371.738550564623</v>
      </c>
      <c r="L20" s="111">
        <f>IF(ISERROR(K20/E20), "", K20/E20)</f>
        <v>-5.2597914391952612E-2</v>
      </c>
    </row>
    <row r="21" spans="1:12" x14ac:dyDescent="0.2">
      <c r="A21" s="121" t="s">
        <v>26</v>
      </c>
      <c r="B21" s="118"/>
      <c r="C21" s="83">
        <v>0</v>
      </c>
      <c r="D21" s="15">
        <f>IF(C21=0, 0, $B6*B9-B6)</f>
        <v>0</v>
      </c>
      <c r="E21" s="82">
        <f t="shared" ref="E21:E26" si="1">D21*C21</f>
        <v>0</v>
      </c>
      <c r="F21" s="58">
        <v>0</v>
      </c>
      <c r="G21" s="16">
        <f>IF(F21=0, 0, C6*C10-C6)</f>
        <v>0</v>
      </c>
      <c r="H21" s="57">
        <f t="shared" ref="H21:H26" si="2">G21*F21</f>
        <v>0</v>
      </c>
      <c r="I21" s="94">
        <f t="shared" ref="I21:I26" si="3">(F21-C21)*G21</f>
        <v>0</v>
      </c>
      <c r="J21" s="50">
        <f t="shared" ref="J21:J26" si="4">(G21-D21)*C21</f>
        <v>0</v>
      </c>
      <c r="K21" s="108">
        <f t="shared" si="0"/>
        <v>0</v>
      </c>
      <c r="L21" s="109" t="str">
        <f>IF(ISERROR(K21/#REF!), "", K21/#REF!)</f>
        <v/>
      </c>
    </row>
    <row r="22" spans="1:12" x14ac:dyDescent="0.2">
      <c r="A22" s="121" t="s">
        <v>27</v>
      </c>
      <c r="B22" s="118"/>
      <c r="C22" s="83">
        <v>-0.3256</v>
      </c>
      <c r="D22" s="17">
        <f>IF($B7&gt;0, $B7, $B6)</f>
        <v>8236.8333333333339</v>
      </c>
      <c r="E22" s="82">
        <f t="shared" si="1"/>
        <v>-2681.9129333333335</v>
      </c>
      <c r="F22" s="58">
        <v>1.2186999999999999</v>
      </c>
      <c r="G22" s="19">
        <f>IF($C7&gt;0, $C7, $C6)</f>
        <v>4975.220256579154</v>
      </c>
      <c r="H22" s="57">
        <f t="shared" si="2"/>
        <v>6063.3009266930148</v>
      </c>
      <c r="I22" s="94">
        <f t="shared" si="3"/>
        <v>7683.2326422351862</v>
      </c>
      <c r="J22" s="50">
        <f t="shared" si="4"/>
        <v>1061.981217791161</v>
      </c>
      <c r="K22" s="108">
        <f t="shared" si="0"/>
        <v>8745.2138600263479</v>
      </c>
      <c r="L22" s="109">
        <f t="shared" ref="L22:L34" si="5">IF(ISERROR(K22/E22), "", K22/E22)</f>
        <v>-3.2608119940556661</v>
      </c>
    </row>
    <row r="23" spans="1:12" x14ac:dyDescent="0.2">
      <c r="A23" s="121" t="s">
        <v>28</v>
      </c>
      <c r="B23" s="118"/>
      <c r="C23" s="83">
        <v>0</v>
      </c>
      <c r="D23" s="17">
        <f>IF($B7&gt;0, $B7, $B6)</f>
        <v>8236.8333333333339</v>
      </c>
      <c r="E23" s="82">
        <f t="shared" si="1"/>
        <v>0</v>
      </c>
      <c r="F23" s="58">
        <v>-3.9100000000000003E-2</v>
      </c>
      <c r="G23" s="19">
        <f>IF($C7&gt;0, $C7, $C6)</f>
        <v>4975.220256579154</v>
      </c>
      <c r="H23" s="57">
        <f t="shared" si="2"/>
        <v>-194.53111203224495</v>
      </c>
      <c r="I23" s="94">
        <f t="shared" si="3"/>
        <v>-194.53111203224495</v>
      </c>
      <c r="J23" s="50">
        <f t="shared" si="4"/>
        <v>0</v>
      </c>
      <c r="K23" s="108">
        <f t="shared" si="0"/>
        <v>-194.53111203224495</v>
      </c>
      <c r="L23" s="109" t="str">
        <f t="shared" si="5"/>
        <v/>
      </c>
    </row>
    <row r="24" spans="1:12" x14ac:dyDescent="0.2">
      <c r="A24" s="121" t="s">
        <v>29</v>
      </c>
      <c r="B24" s="118"/>
      <c r="C24" s="83">
        <v>2.9999999999999997E-4</v>
      </c>
      <c r="D24" s="18">
        <f>B6</f>
        <v>2914026.75</v>
      </c>
      <c r="E24" s="82">
        <f t="shared" si="1"/>
        <v>874.20802499999991</v>
      </c>
      <c r="F24" s="58">
        <v>-2.5999999999999999E-3</v>
      </c>
      <c r="G24" s="19">
        <f>C6</f>
        <v>1763179.7435502335</v>
      </c>
      <c r="H24" s="57">
        <f t="shared" si="2"/>
        <v>-4584.2673332306067</v>
      </c>
      <c r="I24" s="94">
        <f t="shared" si="3"/>
        <v>-5113.2212562956765</v>
      </c>
      <c r="J24" s="50">
        <f t="shared" si="4"/>
        <v>-345.25410193492991</v>
      </c>
      <c r="K24" s="108">
        <f t="shared" si="0"/>
        <v>-5458.4753582306066</v>
      </c>
      <c r="L24" s="109">
        <f t="shared" si="5"/>
        <v>-6.2439090035013205</v>
      </c>
    </row>
    <row r="25" spans="1:12" x14ac:dyDescent="0.2">
      <c r="A25" s="117" t="s">
        <v>30</v>
      </c>
      <c r="B25" s="118"/>
      <c r="C25" s="83">
        <v>0</v>
      </c>
      <c r="D25" s="17">
        <f>IF($B7&gt;0, $B7, $B6)</f>
        <v>8236.8333333333339</v>
      </c>
      <c r="E25" s="82">
        <f t="shared" si="1"/>
        <v>0</v>
      </c>
      <c r="F25" s="58">
        <v>0</v>
      </c>
      <c r="G25" s="19">
        <f>IF($C7&gt;0, $C7, $C6)</f>
        <v>4975.220256579154</v>
      </c>
      <c r="H25" s="57">
        <f t="shared" si="2"/>
        <v>0</v>
      </c>
      <c r="I25" s="94">
        <f t="shared" si="3"/>
        <v>0</v>
      </c>
      <c r="J25" s="50">
        <f t="shared" si="4"/>
        <v>0</v>
      </c>
      <c r="K25" s="108">
        <f t="shared" si="0"/>
        <v>0</v>
      </c>
      <c r="L25" s="109" t="str">
        <f t="shared" si="5"/>
        <v/>
      </c>
    </row>
    <row r="26" spans="1:12" x14ac:dyDescent="0.2">
      <c r="A26" s="121" t="s">
        <v>31</v>
      </c>
      <c r="B26" s="118"/>
      <c r="C26" s="83">
        <v>0</v>
      </c>
      <c r="D26" s="10">
        <f>+D15</f>
        <v>19919</v>
      </c>
      <c r="E26" s="82">
        <f t="shared" si="1"/>
        <v>0</v>
      </c>
      <c r="F26" s="61">
        <v>0</v>
      </c>
      <c r="G26" s="20">
        <f>C8</f>
        <v>19919</v>
      </c>
      <c r="H26" s="57">
        <f t="shared" si="2"/>
        <v>0</v>
      </c>
      <c r="I26" s="94">
        <f t="shared" si="3"/>
        <v>0</v>
      </c>
      <c r="J26" s="50">
        <f t="shared" si="4"/>
        <v>0</v>
      </c>
      <c r="K26" s="108">
        <f t="shared" si="0"/>
        <v>0</v>
      </c>
      <c r="L26" s="109" t="str">
        <f t="shared" si="5"/>
        <v/>
      </c>
    </row>
    <row r="27" spans="1:12" ht="25.5" x14ac:dyDescent="0.2">
      <c r="A27" s="122" t="s">
        <v>45</v>
      </c>
      <c r="B27" s="123"/>
      <c r="C27" s="85"/>
      <c r="D27" s="21"/>
      <c r="E27" s="63">
        <f>SUM(E20:E26)</f>
        <v>195381.454975</v>
      </c>
      <c r="F27" s="62"/>
      <c r="G27" s="22"/>
      <c r="H27" s="63">
        <f>SUM(H20:H26)</f>
        <v>188101.92381419888</v>
      </c>
      <c r="I27" s="95">
        <f>SUM(I20:I26)</f>
        <v>49973.36942041773</v>
      </c>
      <c r="J27" s="51">
        <f>SUM(J20:J26)</f>
        <v>-57252.900581218841</v>
      </c>
      <c r="K27" s="112">
        <f t="shared" si="0"/>
        <v>-7279.5311608011252</v>
      </c>
      <c r="L27" s="111">
        <f t="shared" si="5"/>
        <v>-3.725804560997141E-2</v>
      </c>
    </row>
    <row r="28" spans="1:12" x14ac:dyDescent="0.2">
      <c r="A28" s="124" t="s">
        <v>32</v>
      </c>
      <c r="B28" s="118"/>
      <c r="C28" s="83">
        <v>2.8512</v>
      </c>
      <c r="D28" s="23">
        <f>IF($B7&gt;0, $B7, $B6)</f>
        <v>8236.8333333333339</v>
      </c>
      <c r="E28" s="82">
        <f>D28*C28</f>
        <v>23484.859200000003</v>
      </c>
      <c r="F28" s="64">
        <v>3.1486000000000001</v>
      </c>
      <c r="G28" s="16">
        <f>IF($C7&gt;0, $C7, $C6*$C10)</f>
        <v>4975.220256579154</v>
      </c>
      <c r="H28" s="57">
        <f>G28*F28</f>
        <v>15664.978499865125</v>
      </c>
      <c r="I28" s="94">
        <f>(F28-C28)*G28</f>
        <v>1479.6305043066409</v>
      </c>
      <c r="J28" s="50">
        <f>H28-E28</f>
        <v>-7819.8807001348778</v>
      </c>
      <c r="K28" s="108">
        <f t="shared" si="0"/>
        <v>-7819.8807001348778</v>
      </c>
      <c r="L28" s="109">
        <f t="shared" si="5"/>
        <v>-0.33297541337334807</v>
      </c>
    </row>
    <row r="29" spans="1:12" ht="25.5" x14ac:dyDescent="0.2">
      <c r="A29" s="125" t="s">
        <v>33</v>
      </c>
      <c r="B29" s="118"/>
      <c r="C29" s="83">
        <v>1.8795999999999999</v>
      </c>
      <c r="D29" s="23">
        <f>IF($B7&gt;0, $B7, $B6)</f>
        <v>8236.8333333333339</v>
      </c>
      <c r="E29" s="82">
        <f>D29*C29</f>
        <v>15481.951933333334</v>
      </c>
      <c r="F29" s="64">
        <v>1.9948999999999999</v>
      </c>
      <c r="G29" s="16">
        <f>IF($C7&gt;0, $C7, $C6*$C10)</f>
        <v>4975.220256579154</v>
      </c>
      <c r="H29" s="57">
        <f>G29*F29</f>
        <v>9925.0668898497534</v>
      </c>
      <c r="I29" s="94">
        <f>(F29-C29)*G29</f>
        <v>573.64289558357621</v>
      </c>
      <c r="J29" s="50">
        <f>H29-E29</f>
        <v>-5556.8850434835804</v>
      </c>
      <c r="K29" s="108">
        <f t="shared" si="0"/>
        <v>-5556.8850434835804</v>
      </c>
      <c r="L29" s="109">
        <f t="shared" si="5"/>
        <v>-0.35892664357905407</v>
      </c>
    </row>
    <row r="30" spans="1:12" ht="25.5" x14ac:dyDescent="0.2">
      <c r="A30" s="122" t="s">
        <v>34</v>
      </c>
      <c r="B30" s="120"/>
      <c r="C30" s="85"/>
      <c r="D30" s="21"/>
      <c r="E30" s="63">
        <f>SUM(E27:E29)</f>
        <v>234348.26610833334</v>
      </c>
      <c r="F30" s="62">
        <v>0</v>
      </c>
      <c r="G30" s="14"/>
      <c r="H30" s="63">
        <f>SUM(H27:H29)</f>
        <v>213691.96920391376</v>
      </c>
      <c r="I30" s="95">
        <f>SUM(I27:I29)</f>
        <v>52026.642820307941</v>
      </c>
      <c r="J30" s="51">
        <f>SUM(J27:J29)</f>
        <v>-70629.666324837293</v>
      </c>
      <c r="K30" s="112">
        <f>SUM(K27:K29)</f>
        <v>-20656.296904419585</v>
      </c>
      <c r="L30" s="111">
        <f t="shared" si="5"/>
        <v>-8.8143587522301947E-2</v>
      </c>
    </row>
    <row r="31" spans="1:12" x14ac:dyDescent="0.2">
      <c r="A31" s="126" t="s">
        <v>35</v>
      </c>
      <c r="B31" s="118"/>
      <c r="C31" s="83">
        <v>3.4000000000000002E-3</v>
      </c>
      <c r="D31" s="15">
        <f>B6*B9</f>
        <v>3013395.0621750001</v>
      </c>
      <c r="E31" s="86">
        <f>D31*C31</f>
        <v>10245.543211395001</v>
      </c>
      <c r="F31" s="58">
        <v>3.4000000000000002E-3</v>
      </c>
      <c r="G31" s="16">
        <f>C6*C10</f>
        <v>1823304.1728052965</v>
      </c>
      <c r="H31" s="57">
        <f>G31*F31</f>
        <v>6199.2341875380089</v>
      </c>
      <c r="I31" s="94">
        <f>(F31-C31)*G31</f>
        <v>0</v>
      </c>
      <c r="J31" s="50">
        <f>H31-E31</f>
        <v>-4046.3090238569921</v>
      </c>
      <c r="K31" s="108">
        <f>H31-E31</f>
        <v>-4046.3090238569921</v>
      </c>
      <c r="L31" s="109">
        <f t="shared" si="5"/>
        <v>-0.3949335765190784</v>
      </c>
    </row>
    <row r="32" spans="1:12" x14ac:dyDescent="0.2">
      <c r="A32" s="126" t="s">
        <v>36</v>
      </c>
      <c r="B32" s="118"/>
      <c r="C32" s="83">
        <v>5.0000000000000001E-4</v>
      </c>
      <c r="D32" s="15">
        <f>B6*B9</f>
        <v>3013395.0621750001</v>
      </c>
      <c r="E32" s="86">
        <f>D32*C32</f>
        <v>1506.6975310875</v>
      </c>
      <c r="F32" s="58">
        <v>5.0000000000000001E-4</v>
      </c>
      <c r="G32" s="16">
        <f>C6*C10</f>
        <v>1823304.1728052965</v>
      </c>
      <c r="H32" s="57">
        <f>G32*F32</f>
        <v>911.65208640264825</v>
      </c>
      <c r="I32" s="94">
        <f>(F32-C32)*G32</f>
        <v>0</v>
      </c>
      <c r="J32" s="50">
        <f>H32-E32</f>
        <v>-595.04544468485176</v>
      </c>
      <c r="K32" s="108">
        <f>H32-E32</f>
        <v>-595.04544468485176</v>
      </c>
      <c r="L32" s="109">
        <f t="shared" si="5"/>
        <v>-0.39493357651907846</v>
      </c>
    </row>
    <row r="33" spans="1:12" x14ac:dyDescent="0.2">
      <c r="A33" s="127" t="s">
        <v>37</v>
      </c>
      <c r="B33" s="118"/>
      <c r="C33" s="87">
        <v>0.25</v>
      </c>
      <c r="D33" s="10">
        <f>+D15</f>
        <v>19919</v>
      </c>
      <c r="E33" s="86">
        <f>D33*C33</f>
        <v>4979.75</v>
      </c>
      <c r="F33" s="61">
        <v>0.25</v>
      </c>
      <c r="G33" s="11">
        <f>C8</f>
        <v>19919</v>
      </c>
      <c r="H33" s="57">
        <f>G33*F33</f>
        <v>4979.75</v>
      </c>
      <c r="I33" s="94">
        <f>(F33-C33)*G33</f>
        <v>0</v>
      </c>
      <c r="J33" s="50">
        <f>H33-E33</f>
        <v>0</v>
      </c>
      <c r="K33" s="108">
        <f>H33-E33</f>
        <v>0</v>
      </c>
      <c r="L33" s="109">
        <f t="shared" si="5"/>
        <v>0</v>
      </c>
    </row>
    <row r="34" spans="1:12" ht="13.5" thickBot="1" x14ac:dyDescent="0.25">
      <c r="A34" s="127" t="s">
        <v>38</v>
      </c>
      <c r="B34" s="118"/>
      <c r="C34" s="88">
        <v>9.6699999999999994E-2</v>
      </c>
      <c r="D34" s="24">
        <f>IF(AND(B6*12&gt;=150000),B6*B9,B6)</f>
        <v>3013395.0621750001</v>
      </c>
      <c r="E34" s="86">
        <f>D34*C34</f>
        <v>291395.30251232249</v>
      </c>
      <c r="F34" s="65">
        <v>9.6699999999999994E-2</v>
      </c>
      <c r="G34" s="25">
        <f>IF(AND(C6*12&gt;=150000),C6*C10,C6)</f>
        <v>1823304.1728052965</v>
      </c>
      <c r="H34" s="57">
        <f>G34*F34</f>
        <v>176313.51351027217</v>
      </c>
      <c r="I34" s="94">
        <f>(F34-C34)*G34</f>
        <v>0</v>
      </c>
      <c r="J34" s="50">
        <f>H34-E34</f>
        <v>-115081.78900205033</v>
      </c>
      <c r="K34" s="108">
        <f>H34-E34</f>
        <v>-115081.78900205033</v>
      </c>
      <c r="L34" s="109">
        <f t="shared" si="5"/>
        <v>-0.39493357651907846</v>
      </c>
    </row>
    <row r="35" spans="1:12" ht="13.5" thickBot="1" x14ac:dyDescent="0.25">
      <c r="A35" s="26"/>
      <c r="B35" s="128"/>
      <c r="C35" s="66"/>
      <c r="D35" s="27"/>
      <c r="E35" s="67"/>
      <c r="F35" s="66"/>
      <c r="G35" s="28"/>
      <c r="H35" s="67"/>
      <c r="I35" s="96">
        <f>SUM(I31:I34)</f>
        <v>0</v>
      </c>
      <c r="J35" s="52">
        <f>SUM(J31:J34)</f>
        <v>-119723.14347059217</v>
      </c>
      <c r="K35" s="113">
        <f>SUM(K31:K34)</f>
        <v>-119723.14347059217</v>
      </c>
      <c r="L35" s="29"/>
    </row>
    <row r="36" spans="1:12" hidden="1" x14ac:dyDescent="0.2">
      <c r="A36" s="129" t="s">
        <v>39</v>
      </c>
      <c r="B36" s="130"/>
      <c r="C36" s="75" t="e">
        <f>+#REF!</f>
        <v>#REF!</v>
      </c>
      <c r="D36" s="89"/>
      <c r="E36" s="69">
        <f>SUM(E31:E33,E30)</f>
        <v>251080.25685081584</v>
      </c>
      <c r="F36" s="68"/>
      <c r="G36" s="32"/>
      <c r="H36" s="69">
        <f>SUM(H31:H33,H30)</f>
        <v>225782.60547785441</v>
      </c>
      <c r="I36" s="97" t="e">
        <f>#REF!-D36</f>
        <v>#REF!</v>
      </c>
      <c r="J36" s="33" t="e">
        <f>F36-#REF!</f>
        <v>#REF!</v>
      </c>
      <c r="K36" s="97" t="e">
        <f>F36-#REF!</f>
        <v>#REF!</v>
      </c>
      <c r="L36" s="98" t="e">
        <f>IF((#REF!)=0,"",(K36/#REF!))</f>
        <v>#REF!</v>
      </c>
    </row>
    <row r="37" spans="1:12" hidden="1" x14ac:dyDescent="0.2">
      <c r="A37" s="131" t="s">
        <v>40</v>
      </c>
      <c r="B37" s="130"/>
      <c r="C37" s="75" t="e">
        <f>+#REF!</f>
        <v>#REF!</v>
      </c>
      <c r="D37" s="90"/>
      <c r="E37" s="71" t="e">
        <f>E36*C37</f>
        <v>#REF!</v>
      </c>
      <c r="F37" s="70">
        <v>0.13</v>
      </c>
      <c r="G37" s="10"/>
      <c r="H37" s="71">
        <f>H36*F37</f>
        <v>29351.738712121074</v>
      </c>
      <c r="I37" s="99" t="e">
        <f>#REF!-D37</f>
        <v>#REF!</v>
      </c>
      <c r="J37" s="12" t="e">
        <f>F37-#REF!</f>
        <v>#REF!</v>
      </c>
      <c r="K37" s="99" t="e">
        <f>F37-#REF!</f>
        <v>#REF!</v>
      </c>
      <c r="L37" s="100" t="e">
        <f>IF((#REF!)=0,"",(K37/#REF!))</f>
        <v>#REF!</v>
      </c>
    </row>
    <row r="38" spans="1:12" ht="15" hidden="1" x14ac:dyDescent="0.25">
      <c r="A38" s="131" t="s">
        <v>41</v>
      </c>
      <c r="B38" s="132"/>
      <c r="C38" s="72" t="e">
        <f>+#REF!</f>
        <v>#REF!</v>
      </c>
      <c r="D38" s="90"/>
      <c r="E38" s="71" t="e">
        <f>IF(OR(ISNUMBER( SEARCH("[DGEN]",#REF!))=TRUE, ISNUMBER( SEARCH("STREET LIGHT",#REF!))=TRUE), 0, IF(AND(#REF!=0,#REF!= 0),0, IF(AND(#REF!=0,#REF!* 12&gt;250000), 0, IF(AND(#REF!=0,#REF!&gt;= 50), 0, IF(#REF!*12&lt;=250000, C38*E36*-1, IF(#REF!&lt;50, C38*E36*-1, 0))))))</f>
        <v>#REF!</v>
      </c>
      <c r="F38" s="72">
        <v>0.189</v>
      </c>
      <c r="G38" s="10"/>
      <c r="H38" s="71">
        <f>IF(OR(ISNUMBER(SEARCH("[DGEN]", B3))=TRUE, ISNUMBER(SEARCH("STREET LIGHT", B3))=TRUE), 0, IF(AND(C6=0, C7=0),0, IF(AND(C7=0, C6*12&gt;250000), 0, IF(AND(C6=0, C7&gt;=50), 0, IF(C6*12&lt;=250000, F38*H36*-1, IF(C7&lt;50, F38*H36*-1, 0))))))</f>
        <v>0</v>
      </c>
      <c r="I38" s="99" t="e">
        <f>#REF!-D38</f>
        <v>#REF!</v>
      </c>
      <c r="J38" s="12" t="e">
        <f>F38-#REF!</f>
        <v>#REF!</v>
      </c>
      <c r="K38" s="99" t="e">
        <f>F38-#REF!</f>
        <v>#REF!</v>
      </c>
      <c r="L38" s="100"/>
    </row>
    <row r="39" spans="1:12" hidden="1" x14ac:dyDescent="0.2">
      <c r="A39" s="175" t="s">
        <v>42</v>
      </c>
      <c r="B39" s="176"/>
      <c r="C39" s="91" t="e">
        <f>+#REF!</f>
        <v>#REF!</v>
      </c>
      <c r="D39" s="35"/>
      <c r="E39" s="77" t="e">
        <f>E36+E37+E38</f>
        <v>#REF!</v>
      </c>
      <c r="F39" s="73"/>
      <c r="G39" s="36"/>
      <c r="H39" s="74">
        <f>H36+H37+H38</f>
        <v>255134.34418997547</v>
      </c>
      <c r="I39" s="101" t="e">
        <f>#REF!-D39</f>
        <v>#REF!</v>
      </c>
      <c r="J39" s="37" t="e">
        <f>F39-#REF!</f>
        <v>#REF!</v>
      </c>
      <c r="K39" s="101" t="e">
        <f>F39-#REF!</f>
        <v>#REF!</v>
      </c>
      <c r="L39" s="102" t="e">
        <f>IF((#REF!)=0,"",(K39/#REF!))</f>
        <v>#REF!</v>
      </c>
    </row>
    <row r="40" spans="1:12" ht="13.5" hidden="1" thickBot="1" x14ac:dyDescent="0.25">
      <c r="A40" s="26"/>
      <c r="B40" s="128"/>
      <c r="C40" s="66" t="e">
        <f>+#REF!</f>
        <v>#REF!</v>
      </c>
      <c r="D40" s="27"/>
      <c r="E40" s="67"/>
      <c r="F40" s="66"/>
      <c r="G40" s="28"/>
      <c r="H40" s="67"/>
      <c r="I40" s="103"/>
      <c r="J40" s="30"/>
      <c r="K40" s="103"/>
      <c r="L40" s="31"/>
    </row>
    <row r="41" spans="1:12" hidden="1" x14ac:dyDescent="0.2">
      <c r="A41" s="129" t="s">
        <v>43</v>
      </c>
      <c r="B41" s="130"/>
      <c r="C41" s="75" t="e">
        <f>+#REF!</f>
        <v>#REF!</v>
      </c>
      <c r="D41" s="89"/>
      <c r="E41" s="69" t="e">
        <f>SUM(#REF!,E31:E33,E30)</f>
        <v>#REF!</v>
      </c>
      <c r="F41" s="68"/>
      <c r="G41" s="32"/>
      <c r="H41" s="69" t="e">
        <f>SUM(#REF!,H31:H33,H30)</f>
        <v>#REF!</v>
      </c>
      <c r="I41" s="97" t="e">
        <f>#REF!-D41</f>
        <v>#REF!</v>
      </c>
      <c r="J41" s="33" t="e">
        <f>F41-#REF!</f>
        <v>#REF!</v>
      </c>
      <c r="K41" s="97" t="e">
        <f>F41-#REF!</f>
        <v>#REF!</v>
      </c>
      <c r="L41" s="98" t="e">
        <f>IF((#REF!)=0,"",(K41/#REF!))</f>
        <v>#REF!</v>
      </c>
    </row>
    <row r="42" spans="1:12" hidden="1" x14ac:dyDescent="0.2">
      <c r="A42" s="131" t="s">
        <v>40</v>
      </c>
      <c r="B42" s="130"/>
      <c r="C42" s="75" t="e">
        <f>+#REF!</f>
        <v>#REF!</v>
      </c>
      <c r="D42" s="89"/>
      <c r="E42" s="71" t="e">
        <f>E41*C42</f>
        <v>#REF!</v>
      </c>
      <c r="F42" s="75">
        <v>0.13</v>
      </c>
      <c r="G42" s="34"/>
      <c r="H42" s="71" t="e">
        <f>H41*F42</f>
        <v>#REF!</v>
      </c>
      <c r="I42" s="99" t="e">
        <f>#REF!-D42</f>
        <v>#REF!</v>
      </c>
      <c r="J42" s="12" t="e">
        <f>F42-#REF!</f>
        <v>#REF!</v>
      </c>
      <c r="K42" s="99" t="e">
        <f>F42-#REF!</f>
        <v>#REF!</v>
      </c>
      <c r="L42" s="100" t="e">
        <f>IF((#REF!)=0,"",(K42/#REF!))</f>
        <v>#REF!</v>
      </c>
    </row>
    <row r="43" spans="1:12" ht="15" hidden="1" x14ac:dyDescent="0.25">
      <c r="A43" s="131" t="s">
        <v>41</v>
      </c>
      <c r="B43" s="132"/>
      <c r="C43" s="72" t="e">
        <f>+#REF!</f>
        <v>#REF!</v>
      </c>
      <c r="D43" s="89"/>
      <c r="E43" s="71" t="e">
        <f>IF(OR(ISNUMBER( SEARCH("[DGEN]",#REF!))=TRUE, ISNUMBER( SEARCH("STREET LIGHT",#REF!))=TRUE), 0, IF(AND(#REF!=0,#REF!= 0),0, IF(AND(#REF!=0,#REF!* 12&gt;250000), 0, IF(AND(#REF!=0,#REF!&gt;= 50), 0, IF(#REF!*12&lt;=250000, C43*E41*-1, IF(#REF!&lt;50, C43*E41*-1, 0))))))</f>
        <v>#REF!</v>
      </c>
      <c r="F43" s="72">
        <v>0.189</v>
      </c>
      <c r="G43" s="34"/>
      <c r="H43" s="71">
        <f>IF(OR(ISNUMBER(SEARCH("[DGEN]", B3))=TRUE, ISNUMBER(SEARCH("STREET LIGHT", B3))=TRUE), 0, IF(AND(C6=0, C7=0),0, IF(AND(C7=0, C6*12&gt;250000), 0, IF(AND(C6=0, C7&gt;=50), 0, IF(C6*12&lt;=250000, F43*H41*-1, IF(C7&lt;50, F43*H41*-1, 0))))))</f>
        <v>0</v>
      </c>
      <c r="I43" s="99"/>
      <c r="J43" s="12"/>
      <c r="K43" s="99"/>
      <c r="L43" s="100"/>
    </row>
    <row r="44" spans="1:12" hidden="1" x14ac:dyDescent="0.2">
      <c r="A44" s="175" t="s">
        <v>43</v>
      </c>
      <c r="B44" s="176"/>
      <c r="C44" s="92" t="e">
        <f>+#REF!</f>
        <v>#REF!</v>
      </c>
      <c r="D44" s="93"/>
      <c r="E44" s="77" t="e">
        <f>SUM(E41,E42)</f>
        <v>#REF!</v>
      </c>
      <c r="F44" s="76"/>
      <c r="G44" s="38"/>
      <c r="H44" s="77" t="e">
        <f>SUM(H41,H42)</f>
        <v>#REF!</v>
      </c>
      <c r="I44" s="104" t="e">
        <f>#REF!-D44</f>
        <v>#REF!</v>
      </c>
      <c r="J44" s="39" t="e">
        <f>F44-#REF!</f>
        <v>#REF!</v>
      </c>
      <c r="K44" s="104" t="e">
        <f>F44-#REF!</f>
        <v>#REF!</v>
      </c>
      <c r="L44" s="105" t="e">
        <f>IF((#REF!)=0,"",(K44/#REF!))</f>
        <v>#REF!</v>
      </c>
    </row>
    <row r="45" spans="1:12" ht="13.5" hidden="1" thickBot="1" x14ac:dyDescent="0.25">
      <c r="A45" s="26"/>
      <c r="B45" s="128"/>
      <c r="C45" s="66" t="e">
        <f>+#REF!</f>
        <v>#REF!</v>
      </c>
      <c r="D45" s="40"/>
      <c r="E45" s="78"/>
      <c r="F45" s="66"/>
      <c r="G45" s="27"/>
      <c r="H45" s="78"/>
      <c r="I45" s="103"/>
      <c r="J45" s="41"/>
      <c r="K45" s="103"/>
      <c r="L45" s="31"/>
    </row>
    <row r="46" spans="1:12" x14ac:dyDescent="0.2">
      <c r="A46" s="129" t="s">
        <v>44</v>
      </c>
      <c r="B46" s="130"/>
      <c r="C46" s="75"/>
      <c r="D46" s="89"/>
      <c r="E46" s="69">
        <f>SUM(E34,E31:E33,E30)</f>
        <v>542475.55936313828</v>
      </c>
      <c r="F46" s="68"/>
      <c r="G46" s="32"/>
      <c r="H46" s="69">
        <f>SUM(H34,H31:H33,H30)</f>
        <v>402096.11898812657</v>
      </c>
      <c r="I46" s="106">
        <f>SUM(I34,I31:I33,I30)</f>
        <v>52026.642820307941</v>
      </c>
      <c r="J46" s="33">
        <f>SUM(J34,J31:J33,J30)</f>
        <v>-190352.80979542946</v>
      </c>
      <c r="K46" s="97">
        <f>SUM(K34,K31:K33,K30)</f>
        <v>-140379.44037501173</v>
      </c>
      <c r="L46" s="98">
        <f>IF(ISERROR(K46/E46), "", K46/E46)</f>
        <v>-0.25877560371533792</v>
      </c>
    </row>
    <row r="47" spans="1:12" x14ac:dyDescent="0.2">
      <c r="A47" s="131" t="s">
        <v>40</v>
      </c>
      <c r="B47" s="130"/>
      <c r="C47" s="75">
        <v>0.13</v>
      </c>
      <c r="D47" s="89"/>
      <c r="E47" s="71">
        <f>E46*C47</f>
        <v>70521.822717207979</v>
      </c>
      <c r="F47" s="75">
        <v>0.13</v>
      </c>
      <c r="G47" s="34"/>
      <c r="H47" s="71">
        <f>H46*F47</f>
        <v>52272.495468456458</v>
      </c>
      <c r="I47" s="99">
        <f>F47-C47</f>
        <v>0</v>
      </c>
      <c r="J47" s="12">
        <f>H47-E47</f>
        <v>-18249.327248751521</v>
      </c>
      <c r="K47" s="99">
        <f>H47-E47</f>
        <v>-18249.327248751521</v>
      </c>
      <c r="L47" s="107"/>
    </row>
    <row r="48" spans="1:12" ht="15" x14ac:dyDescent="0.25">
      <c r="A48" s="131" t="s">
        <v>41</v>
      </c>
      <c r="B48" s="132"/>
      <c r="C48" s="72">
        <v>0.17</v>
      </c>
      <c r="D48" s="89"/>
      <c r="E48" s="71" t="e">
        <f>IF(OR(ISNUMBER( SEARCH("[DGEN]",#REF!))=TRUE, ISNUMBER( SEARCH("STREET LIGHT",#REF!))=TRUE), 0, IF(AND(#REF!=0,#REF!= 0),0, IF(AND(#REF!=0,#REF!* 12&gt;250000), 0, IF(AND(#REF!=0,#REF!&gt;= 50), 0, IF(#REF!*12&lt;=250000, C48*E46*-1, IF(#REF!&lt;50, C48*E46*-1, 0))))))</f>
        <v>#REF!</v>
      </c>
      <c r="F48" s="72">
        <v>0.17</v>
      </c>
      <c r="G48" s="34"/>
      <c r="H48" s="71">
        <f>IF(OR(ISNUMBER(SEARCH("[DGEN]", B3))=TRUE, ISNUMBER(SEARCH("STREET LIGHT", B3))=TRUE), 0, IF(AND(C6=0, C7=0),0, IF(AND(C7=0, C6*12&gt;250000), 0, IF(AND(C6=0, C7&gt;=50), 0, IF(C6*12&lt;=250000, F48*H46*-1, IF(C7&lt;50, F48*H46*-1, 0))))))</f>
        <v>0</v>
      </c>
      <c r="I48" s="99"/>
      <c r="J48" s="12"/>
      <c r="K48" s="99"/>
      <c r="L48" s="100"/>
    </row>
    <row r="49" spans="1:12" ht="13.5" thickBot="1" x14ac:dyDescent="0.25">
      <c r="A49" s="175" t="s">
        <v>44</v>
      </c>
      <c r="B49" s="176"/>
      <c r="C49" s="92"/>
      <c r="D49" s="93"/>
      <c r="E49" s="77">
        <f>SUM(E46,E47)</f>
        <v>612997.38208034623</v>
      </c>
      <c r="F49" s="76"/>
      <c r="G49" s="38"/>
      <c r="H49" s="77">
        <f>SUM(H46,H47)</f>
        <v>454368.61445658305</v>
      </c>
      <c r="I49" s="104">
        <f>SUM(I46,I47)</f>
        <v>52026.642820307941</v>
      </c>
      <c r="J49" s="39">
        <f>SUM(J46,J47)</f>
        <v>-208602.137044181</v>
      </c>
      <c r="K49" s="104">
        <f>SUM(K46,K47)</f>
        <v>-158628.76762376324</v>
      </c>
      <c r="L49" s="105">
        <f>IF(ISERROR(K49/E49), "", K49/E49)</f>
        <v>-0.25877560371533787</v>
      </c>
    </row>
    <row r="50" spans="1:12" ht="13.5" thickBot="1" x14ac:dyDescent="0.25">
      <c r="A50" s="26"/>
      <c r="B50" s="128"/>
      <c r="C50" s="79"/>
      <c r="D50" s="40"/>
      <c r="E50" s="80"/>
      <c r="F50" s="79"/>
      <c r="G50" s="27"/>
      <c r="H50" s="80"/>
      <c r="I50" s="103"/>
      <c r="J50" s="41"/>
      <c r="K50" s="103"/>
      <c r="L50" s="42"/>
    </row>
  </sheetData>
  <mergeCells count="13">
    <mergeCell ref="A44:B44"/>
    <mergeCell ref="A49:B49"/>
    <mergeCell ref="K12:L12"/>
    <mergeCell ref="B13:B14"/>
    <mergeCell ref="I13:I14"/>
    <mergeCell ref="J13:J14"/>
    <mergeCell ref="K13:K14"/>
    <mergeCell ref="L13:L14"/>
    <mergeCell ref="B3:E3"/>
    <mergeCell ref="B4:D4"/>
    <mergeCell ref="C12:E12"/>
    <mergeCell ref="F12:H12"/>
    <mergeCell ref="A39:B39"/>
  </mergeCells>
  <dataValidations count="1">
    <dataValidation type="list" allowBlank="1" showInputMessage="1" showErrorMessage="1" prompt="Select Charge Unit - monthly, per kWh, per kW" sqref="B45 B50 B35 B40" xr:uid="{481DE923-40A3-46DB-9175-7913DCFB737F}">
      <formula1>"Monthly, per kWh, per kW"</formula1>
    </dataValidation>
  </dataValidations>
  <pageMargins left="0.7" right="0.7" top="0.75" bottom="0.75" header="0.3" footer="0.3"/>
  <pageSetup scale="55" fitToHeight="0" orientation="landscape" r:id="rId1"/>
  <ignoredErrors>
    <ignoredError sqref="B6:C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53C8D-B080-4B62-BBE1-1C4BFEB3A7FF}">
  <sheetPr>
    <pageSetUpPr fitToPage="1"/>
  </sheetPr>
  <dimension ref="A3:N50"/>
  <sheetViews>
    <sheetView showGridLines="0" zoomScale="80" zoomScaleNormal="80" workbookViewId="0">
      <selection activeCell="R69" sqref="R69"/>
    </sheetView>
  </sheetViews>
  <sheetFormatPr defaultColWidth="9.28515625" defaultRowHeight="12.75" x14ac:dyDescent="0.2"/>
  <cols>
    <col min="1" max="1" width="40.28515625" style="1" customWidth="1"/>
    <col min="2" max="2" width="13.28515625" style="1" customWidth="1"/>
    <col min="3" max="3" width="26.7109375" style="1" customWidth="1"/>
    <col min="4" max="4" width="16.7109375" style="1" bestFit="1" customWidth="1"/>
    <col min="5" max="5" width="18.28515625" style="1" customWidth="1"/>
    <col min="6" max="6" width="13.5703125" style="1" bestFit="1" customWidth="1"/>
    <col min="7" max="7" width="15.7109375" style="1" customWidth="1"/>
    <col min="8" max="8" width="13.5703125" style="1" customWidth="1"/>
    <col min="9" max="11" width="17.85546875" style="1" customWidth="1"/>
    <col min="12" max="12" width="10.85546875" style="1" bestFit="1" customWidth="1"/>
    <col min="13" max="13" width="9.28515625" style="1"/>
    <col min="14" max="14" width="9.28515625" style="1" hidden="1" customWidth="1"/>
    <col min="15" max="16384" width="9.28515625" style="1"/>
  </cols>
  <sheetData>
    <row r="3" spans="1:14" x14ac:dyDescent="0.2">
      <c r="A3" s="2" t="s">
        <v>0</v>
      </c>
      <c r="B3" s="170" t="s">
        <v>67</v>
      </c>
      <c r="C3" s="170"/>
      <c r="D3" s="170"/>
      <c r="E3" s="170"/>
      <c r="N3" s="1" t="s">
        <v>1</v>
      </c>
    </row>
    <row r="4" spans="1:14" x14ac:dyDescent="0.2">
      <c r="A4" s="2" t="s">
        <v>2</v>
      </c>
      <c r="B4" s="171" t="s">
        <v>3</v>
      </c>
      <c r="C4" s="171"/>
      <c r="D4" s="171"/>
      <c r="E4" s="43"/>
      <c r="F4" s="44"/>
      <c r="G4" s="44"/>
      <c r="H4" s="44"/>
      <c r="I4" s="44"/>
      <c r="J4" s="44"/>
    </row>
    <row r="5" spans="1:14" ht="36" customHeight="1" x14ac:dyDescent="0.2">
      <c r="A5" s="2"/>
      <c r="B5" s="143" t="s">
        <v>57</v>
      </c>
      <c r="C5" s="143" t="s">
        <v>56</v>
      </c>
      <c r="E5" s="45"/>
      <c r="F5" s="44"/>
      <c r="G5" s="44"/>
      <c r="H5" s="44"/>
      <c r="I5" s="44"/>
      <c r="J5" s="44"/>
    </row>
    <row r="6" spans="1:14" ht="15.75" x14ac:dyDescent="0.2">
      <c r="A6" s="2" t="s">
        <v>4</v>
      </c>
      <c r="B6" s="3">
        <f>'RRR Data'!D25</f>
        <v>4073662.75</v>
      </c>
      <c r="C6" s="144">
        <f>'RRR Data'!G25</f>
        <v>3883587.194357384</v>
      </c>
      <c r="D6" s="46" t="s">
        <v>5</v>
      </c>
      <c r="E6" s="146"/>
      <c r="F6" s="139"/>
      <c r="G6" s="47"/>
      <c r="H6" s="47"/>
      <c r="I6" s="44"/>
      <c r="J6" s="44"/>
    </row>
    <row r="7" spans="1:14" ht="15.75" x14ac:dyDescent="0.2">
      <c r="A7" s="2" t="s">
        <v>6</v>
      </c>
      <c r="B7" s="137">
        <f>'RRR Data'!C25</f>
        <v>11179.333333333334</v>
      </c>
      <c r="C7" s="145">
        <f>'RRR Data'!F25</f>
        <v>10930.365561319997</v>
      </c>
      <c r="D7" s="48" t="s">
        <v>7</v>
      </c>
      <c r="E7" s="146"/>
      <c r="F7" s="139"/>
      <c r="G7" s="44"/>
      <c r="H7" s="44"/>
      <c r="I7" s="44"/>
      <c r="J7" s="44"/>
    </row>
    <row r="8" spans="1:14" ht="15.75" x14ac:dyDescent="0.2">
      <c r="A8" s="2" t="s">
        <v>54</v>
      </c>
      <c r="B8" s="137">
        <f>'RRR Data'!E25</f>
        <v>91446</v>
      </c>
      <c r="C8" s="145">
        <f>'RRR Data'!H25</f>
        <v>91446</v>
      </c>
      <c r="D8" s="48"/>
      <c r="E8" s="146"/>
      <c r="F8" s="139"/>
      <c r="G8" s="44"/>
      <c r="H8" s="44"/>
      <c r="I8" s="44"/>
      <c r="J8" s="44"/>
    </row>
    <row r="9" spans="1:14" x14ac:dyDescent="0.2">
      <c r="A9" s="2" t="s">
        <v>8</v>
      </c>
      <c r="B9" s="5">
        <v>1.0368999999999999</v>
      </c>
      <c r="C9" s="5">
        <v>1.0368999999999999</v>
      </c>
    </row>
    <row r="10" spans="1:14" x14ac:dyDescent="0.2">
      <c r="A10" s="2" t="s">
        <v>9</v>
      </c>
      <c r="B10" s="5">
        <v>1.0368999999999999</v>
      </c>
      <c r="C10" s="5">
        <v>1.0368999999999999</v>
      </c>
    </row>
    <row r="11" spans="1:14" ht="13.5" thickBot="1" x14ac:dyDescent="0.25"/>
    <row r="12" spans="1:14" x14ac:dyDescent="0.2">
      <c r="A12" s="114"/>
      <c r="B12" s="115"/>
      <c r="C12" s="172" t="s">
        <v>60</v>
      </c>
      <c r="D12" s="173"/>
      <c r="E12" s="174"/>
      <c r="F12" s="172" t="s">
        <v>55</v>
      </c>
      <c r="G12" s="173"/>
      <c r="H12" s="174"/>
      <c r="I12" s="161" t="s">
        <v>10</v>
      </c>
      <c r="J12" s="162" t="s">
        <v>11</v>
      </c>
      <c r="K12" s="177" t="s">
        <v>12</v>
      </c>
      <c r="L12" s="178"/>
    </row>
    <row r="13" spans="1:14" x14ac:dyDescent="0.2">
      <c r="A13" s="116"/>
      <c r="B13" s="179"/>
      <c r="C13" s="53" t="s">
        <v>14</v>
      </c>
      <c r="D13" s="6" t="s">
        <v>15</v>
      </c>
      <c r="E13" s="54" t="s">
        <v>16</v>
      </c>
      <c r="F13" s="53" t="s">
        <v>14</v>
      </c>
      <c r="G13" s="7" t="s">
        <v>15</v>
      </c>
      <c r="H13" s="54" t="s">
        <v>16</v>
      </c>
      <c r="I13" s="181" t="s">
        <v>17</v>
      </c>
      <c r="J13" s="183" t="s">
        <v>17</v>
      </c>
      <c r="K13" s="185" t="s">
        <v>17</v>
      </c>
      <c r="L13" s="187" t="s">
        <v>18</v>
      </c>
    </row>
    <row r="14" spans="1:14" x14ac:dyDescent="0.2">
      <c r="A14" s="116"/>
      <c r="B14" s="180"/>
      <c r="C14" s="55" t="s">
        <v>19</v>
      </c>
      <c r="D14" s="8"/>
      <c r="E14" s="56" t="s">
        <v>19</v>
      </c>
      <c r="F14" s="55" t="s">
        <v>19</v>
      </c>
      <c r="G14" s="9"/>
      <c r="H14" s="56" t="s">
        <v>19</v>
      </c>
      <c r="I14" s="182"/>
      <c r="J14" s="184"/>
      <c r="K14" s="186"/>
      <c r="L14" s="188"/>
    </row>
    <row r="15" spans="1:14" x14ac:dyDescent="0.2">
      <c r="A15" s="117" t="s">
        <v>20</v>
      </c>
      <c r="B15" s="118"/>
      <c r="C15" s="81">
        <v>1.29</v>
      </c>
      <c r="D15" s="147">
        <f>B8</f>
        <v>91446</v>
      </c>
      <c r="E15" s="82">
        <f>D15*C15</f>
        <v>117965.34</v>
      </c>
      <c r="F15" s="135">
        <v>1.33</v>
      </c>
      <c r="G15" s="11">
        <f>C8</f>
        <v>91446</v>
      </c>
      <c r="H15" s="57">
        <f>G15*F15</f>
        <v>121623.18000000001</v>
      </c>
      <c r="I15" s="94">
        <f>(F15-C15)*G15</f>
        <v>3657.8400000000033</v>
      </c>
      <c r="J15" s="50">
        <f>(G15-D15)*C15</f>
        <v>0</v>
      </c>
      <c r="K15" s="108">
        <f t="shared" ref="K15:K29" si="0">H15-E15</f>
        <v>3657.8400000000111</v>
      </c>
      <c r="L15" s="109">
        <f>IF(ISERROR(K15/E15), "", K15/E15)</f>
        <v>3.1007751937984589E-2</v>
      </c>
    </row>
    <row r="16" spans="1:14" x14ac:dyDescent="0.2">
      <c r="A16" s="117" t="s">
        <v>21</v>
      </c>
      <c r="B16" s="118"/>
      <c r="C16" s="83">
        <v>6.8906999999999998</v>
      </c>
      <c r="D16" s="134">
        <f>IF($B7&gt;0, $B7, $B6)</f>
        <v>11179.333333333334</v>
      </c>
      <c r="E16" s="82">
        <f>D16*C16</f>
        <v>77033.432199999996</v>
      </c>
      <c r="F16" s="138">
        <v>7.0974000000000004</v>
      </c>
      <c r="G16" s="133">
        <f>IF($C7&gt;0, $C7, $C6)</f>
        <v>10930.365561319997</v>
      </c>
      <c r="H16" s="57">
        <f>G16*F16</f>
        <v>77577.176534912549</v>
      </c>
      <c r="I16" s="94">
        <f>(F16-C16)*G16</f>
        <v>2259.3065615248493</v>
      </c>
      <c r="J16" s="50">
        <f>(G16-D16)*C16</f>
        <v>-1715.5622266122998</v>
      </c>
      <c r="K16" s="108">
        <f t="shared" si="0"/>
        <v>543.74433491255331</v>
      </c>
      <c r="L16" s="109">
        <f>IF(ISERROR(K16/E16), "", K16/E16)</f>
        <v>7.0585500267058504E-3</v>
      </c>
    </row>
    <row r="17" spans="1:12" x14ac:dyDescent="0.2">
      <c r="A17" s="117" t="s">
        <v>22</v>
      </c>
      <c r="B17" s="118"/>
      <c r="C17" s="81">
        <v>0.01</v>
      </c>
      <c r="D17" s="10">
        <f>+D15</f>
        <v>91446</v>
      </c>
      <c r="E17" s="82">
        <f>D17*C17</f>
        <v>914.46</v>
      </c>
      <c r="F17" s="135">
        <v>0.02</v>
      </c>
      <c r="G17" s="11">
        <f>C8</f>
        <v>91446</v>
      </c>
      <c r="H17" s="57">
        <f>G17*F17</f>
        <v>1828.92</v>
      </c>
      <c r="I17" s="94">
        <f>(F17-C17)*G17</f>
        <v>914.46</v>
      </c>
      <c r="J17" s="50">
        <f>(G17-D17)*C17</f>
        <v>0</v>
      </c>
      <c r="K17" s="108">
        <f t="shared" si="0"/>
        <v>914.46</v>
      </c>
      <c r="L17" s="109">
        <f>IF(ISERROR(K17/E17), "", K17/E17)</f>
        <v>1</v>
      </c>
    </row>
    <row r="18" spans="1:12" x14ac:dyDescent="0.2">
      <c r="A18" s="117" t="s">
        <v>23</v>
      </c>
      <c r="B18" s="118"/>
      <c r="C18" s="83">
        <v>0.86629999999999996</v>
      </c>
      <c r="D18" s="134">
        <f>IF($B7&gt;0, $B7, $B6)</f>
        <v>11179.333333333334</v>
      </c>
      <c r="E18" s="82">
        <f>D18*C18</f>
        <v>9684.6564666666673</v>
      </c>
      <c r="F18" s="136">
        <v>4.7759999999999998</v>
      </c>
      <c r="G18" s="133">
        <f>C7</f>
        <v>10930.365561319997</v>
      </c>
      <c r="H18" s="57">
        <f>G18*F18</f>
        <v>52203.425920864305</v>
      </c>
      <c r="I18" s="94">
        <f>(F18-C18)*G18</f>
        <v>42734.450235092794</v>
      </c>
      <c r="J18" s="50">
        <f>(G18-D18)*C18</f>
        <v>-215.68078089515365</v>
      </c>
      <c r="K18" s="108">
        <f t="shared" si="0"/>
        <v>42518.769454197638</v>
      </c>
      <c r="L18" s="109">
        <f>IF(ISERROR(K18/E18), "", K18/E18)</f>
        <v>4.3903229402655359</v>
      </c>
    </row>
    <row r="19" spans="1:12" x14ac:dyDescent="0.2">
      <c r="A19" s="117" t="s">
        <v>24</v>
      </c>
      <c r="B19" s="118"/>
      <c r="C19" s="83">
        <v>7.4099999999999999E-2</v>
      </c>
      <c r="D19" s="134">
        <f>IF($B7&gt;0, $B7, $B6)</f>
        <v>11179.333333333334</v>
      </c>
      <c r="E19" s="82">
        <f>D19*C19</f>
        <v>828.3886</v>
      </c>
      <c r="F19" s="138">
        <v>0.11070000000000046</v>
      </c>
      <c r="G19" s="133">
        <f>IF($C7&gt;0, $C7, $C6)</f>
        <v>10930.365561319997</v>
      </c>
      <c r="H19" s="57">
        <f>G19*F19</f>
        <v>1209.9914676381288</v>
      </c>
      <c r="I19" s="94">
        <f>(F19-C19)*G19</f>
        <v>400.051379544317</v>
      </c>
      <c r="J19" s="50">
        <f>(G19-D19)*C19</f>
        <v>-18.448511906188255</v>
      </c>
      <c r="K19" s="108">
        <f t="shared" si="0"/>
        <v>381.60286763812883</v>
      </c>
      <c r="L19" s="109" t="str">
        <f>IF(ISERROR(K19/#REF!), "", K19/#REF!)</f>
        <v/>
      </c>
    </row>
    <row r="20" spans="1:12" x14ac:dyDescent="0.2">
      <c r="A20" s="119" t="s">
        <v>25</v>
      </c>
      <c r="B20" s="120"/>
      <c r="C20" s="84"/>
      <c r="D20" s="13"/>
      <c r="E20" s="60">
        <f>SUM(E15:E19)</f>
        <v>206426.27726666667</v>
      </c>
      <c r="F20" s="59"/>
      <c r="G20" s="14"/>
      <c r="H20" s="60">
        <f>SUM(H15:H19)</f>
        <v>254442.69392341498</v>
      </c>
      <c r="I20" s="95">
        <f>SUM(I15:I19)</f>
        <v>49966.108176161964</v>
      </c>
      <c r="J20" s="51">
        <f>SUM(J15:J19)</f>
        <v>-1949.6915194136418</v>
      </c>
      <c r="K20" s="110">
        <f t="shared" si="0"/>
        <v>48016.416656748304</v>
      </c>
      <c r="L20" s="111">
        <f>IF(ISERROR(K20/E20), "", K20/E20)</f>
        <v>0.23260806372397777</v>
      </c>
    </row>
    <row r="21" spans="1:12" x14ac:dyDescent="0.2">
      <c r="A21" s="121" t="s">
        <v>26</v>
      </c>
      <c r="B21" s="118"/>
      <c r="C21" s="83">
        <v>9.6699999999999994E-2</v>
      </c>
      <c r="D21" s="15">
        <f>IF(C21=0, 0, $B6*B9-B6)</f>
        <v>150318.15547499992</v>
      </c>
      <c r="E21" s="82">
        <f t="shared" ref="E21:E25" si="1">D21*C21</f>
        <v>14535.765634432491</v>
      </c>
      <c r="F21" s="58">
        <v>9.6699999999999994E-2</v>
      </c>
      <c r="G21" s="16">
        <f>IF(F21=0, 0, C6*C10-C6)</f>
        <v>143304.36747178715</v>
      </c>
      <c r="H21" s="57">
        <f t="shared" ref="H21:H26" si="2">G21*F21</f>
        <v>13857.532334521817</v>
      </c>
      <c r="I21" s="94">
        <f t="shared" ref="I21:I26" si="3">(F21-C21)*G21</f>
        <v>0</v>
      </c>
      <c r="J21" s="50">
        <f t="shared" ref="J21:J26" si="4">(G21-D21)*C21</f>
        <v>-678.23329991067499</v>
      </c>
      <c r="K21" s="108">
        <f t="shared" si="0"/>
        <v>-678.23329991067476</v>
      </c>
      <c r="L21" s="109" t="str">
        <f>IF(ISERROR(K21/#REF!), "", K21/#REF!)</f>
        <v/>
      </c>
    </row>
    <row r="22" spans="1:12" x14ac:dyDescent="0.2">
      <c r="A22" s="121" t="s">
        <v>27</v>
      </c>
      <c r="B22" s="118"/>
      <c r="C22" s="83">
        <v>0.12870000000000001</v>
      </c>
      <c r="D22" s="18">
        <f>IF($B7&gt;0, $B7, $B6)</f>
        <v>11179.333333333334</v>
      </c>
      <c r="E22" s="82">
        <f t="shared" si="1"/>
        <v>1438.7802000000001</v>
      </c>
      <c r="F22" s="58">
        <v>1.179</v>
      </c>
      <c r="G22" s="19">
        <f>IF($C7&gt;0, $C7, $C6)</f>
        <v>10930.365561319997</v>
      </c>
      <c r="H22" s="57">
        <f t="shared" si="2"/>
        <v>12886.900996796277</v>
      </c>
      <c r="I22" s="94">
        <f t="shared" si="3"/>
        <v>11480.162949054393</v>
      </c>
      <c r="J22" s="50">
        <f t="shared" si="4"/>
        <v>-32.042152258116445</v>
      </c>
      <c r="K22" s="108">
        <f t="shared" si="0"/>
        <v>11448.120796796276</v>
      </c>
      <c r="L22" s="109">
        <f t="shared" ref="L22:L34" si="5">IF(ISERROR(K22/E22), "", K22/E22)</f>
        <v>7.9568239796435032</v>
      </c>
    </row>
    <row r="23" spans="1:12" x14ac:dyDescent="0.2">
      <c r="A23" s="121" t="s">
        <v>28</v>
      </c>
      <c r="B23" s="118"/>
      <c r="C23" s="83">
        <v>-1.9699999999999999E-2</v>
      </c>
      <c r="D23" s="18">
        <f>IF($B7&gt;0, $B7, $B6)</f>
        <v>11179.333333333334</v>
      </c>
      <c r="E23" s="82">
        <f t="shared" si="1"/>
        <v>-220.23286666666667</v>
      </c>
      <c r="F23" s="58">
        <v>-4.9299999999999997E-2</v>
      </c>
      <c r="G23" s="19">
        <f>IF($C7&gt;0, $C7, $C6)</f>
        <v>10930.365561319997</v>
      </c>
      <c r="H23" s="57">
        <f t="shared" si="2"/>
        <v>-538.86702217307584</v>
      </c>
      <c r="I23" s="94">
        <f t="shared" si="3"/>
        <v>-323.53882061507187</v>
      </c>
      <c r="J23" s="50">
        <f t="shared" si="4"/>
        <v>4.9046651086627344</v>
      </c>
      <c r="K23" s="108">
        <f t="shared" si="0"/>
        <v>-318.63415550640917</v>
      </c>
      <c r="L23" s="109">
        <f t="shared" si="5"/>
        <v>1.4468056486259053</v>
      </c>
    </row>
    <row r="24" spans="1:12" x14ac:dyDescent="0.2">
      <c r="A24" s="121" t="s">
        <v>29</v>
      </c>
      <c r="B24" s="118"/>
      <c r="C24" s="83">
        <v>2.0000000000000001E-4</v>
      </c>
      <c r="D24" s="18">
        <f>B6</f>
        <v>4073662.75</v>
      </c>
      <c r="E24" s="82">
        <f t="shared" si="1"/>
        <v>814.73255000000006</v>
      </c>
      <c r="F24" s="58">
        <v>-3.0999999999999999E-3</v>
      </c>
      <c r="G24" s="19">
        <f>C6</f>
        <v>3883587.194357384</v>
      </c>
      <c r="H24" s="57">
        <f t="shared" si="2"/>
        <v>-12039.12030250789</v>
      </c>
      <c r="I24" s="94">
        <f t="shared" si="3"/>
        <v>-12815.837741379368</v>
      </c>
      <c r="J24" s="50">
        <f t="shared" si="4"/>
        <v>-38.015111128523202</v>
      </c>
      <c r="K24" s="108">
        <f t="shared" si="0"/>
        <v>-12853.852852507891</v>
      </c>
      <c r="L24" s="109">
        <f t="shared" si="5"/>
        <v>-15.77677589106743</v>
      </c>
    </row>
    <row r="25" spans="1:12" x14ac:dyDescent="0.2">
      <c r="A25" s="117" t="s">
        <v>30</v>
      </c>
      <c r="B25" s="118"/>
      <c r="C25" s="83">
        <v>0.1288</v>
      </c>
      <c r="D25" s="18">
        <f>IF($B7&gt;0, $B7, $B6)</f>
        <v>11179.333333333334</v>
      </c>
      <c r="E25" s="82">
        <f t="shared" si="1"/>
        <v>1439.8981333333334</v>
      </c>
      <c r="F25" s="58">
        <v>0.1288</v>
      </c>
      <c r="G25" s="19">
        <f>IF($C7&gt;0, $C7, $C6)</f>
        <v>10930.365561319997</v>
      </c>
      <c r="H25" s="57">
        <f t="shared" si="2"/>
        <v>1407.8310842980156</v>
      </c>
      <c r="I25" s="94">
        <f t="shared" si="3"/>
        <v>0</v>
      </c>
      <c r="J25" s="50">
        <f t="shared" si="4"/>
        <v>-32.06704903531778</v>
      </c>
      <c r="K25" s="108">
        <f t="shared" si="0"/>
        <v>-32.067049035317723</v>
      </c>
      <c r="L25" s="109">
        <f t="shared" si="5"/>
        <v>-2.2270359474029729E-2</v>
      </c>
    </row>
    <row r="26" spans="1:12" x14ac:dyDescent="0.2">
      <c r="A26" s="121" t="s">
        <v>31</v>
      </c>
      <c r="B26" s="118"/>
      <c r="C26" s="83">
        <v>0</v>
      </c>
      <c r="D26" s="10">
        <f>+D15</f>
        <v>91446</v>
      </c>
      <c r="E26" s="82">
        <f>D26*C26</f>
        <v>0</v>
      </c>
      <c r="F26" s="61">
        <v>0</v>
      </c>
      <c r="G26" s="20">
        <f>C8</f>
        <v>91446</v>
      </c>
      <c r="H26" s="57">
        <f t="shared" si="2"/>
        <v>0</v>
      </c>
      <c r="I26" s="94">
        <f t="shared" si="3"/>
        <v>0</v>
      </c>
      <c r="J26" s="50">
        <f t="shared" si="4"/>
        <v>0</v>
      </c>
      <c r="K26" s="108">
        <f t="shared" si="0"/>
        <v>0</v>
      </c>
      <c r="L26" s="109" t="str">
        <f t="shared" si="5"/>
        <v/>
      </c>
    </row>
    <row r="27" spans="1:12" ht="25.5" x14ac:dyDescent="0.2">
      <c r="A27" s="122" t="s">
        <v>45</v>
      </c>
      <c r="B27" s="123"/>
      <c r="C27" s="85"/>
      <c r="D27" s="21"/>
      <c r="E27" s="63">
        <f>SUM(E20:E26)</f>
        <v>224435.22091776584</v>
      </c>
      <c r="F27" s="62"/>
      <c r="G27" s="22"/>
      <c r="H27" s="63">
        <f>SUM(H20:H26)</f>
        <v>270016.97101435013</v>
      </c>
      <c r="I27" s="95">
        <f>SUM(I20:I26)</f>
        <v>48306.894563221911</v>
      </c>
      <c r="J27" s="51">
        <f>SUM(J20:J26)</f>
        <v>-2725.144466637611</v>
      </c>
      <c r="K27" s="112">
        <f t="shared" si="0"/>
        <v>45581.750096584292</v>
      </c>
      <c r="L27" s="111">
        <f t="shared" si="5"/>
        <v>0.20309535156821784</v>
      </c>
    </row>
    <row r="28" spans="1:12" x14ac:dyDescent="0.2">
      <c r="A28" s="124" t="s">
        <v>32</v>
      </c>
      <c r="B28" s="118"/>
      <c r="C28" s="140">
        <v>3.4281000000000001</v>
      </c>
      <c r="D28" s="15">
        <f>IF($B7&gt;0, $B7, $B6)</f>
        <v>11179.333333333334</v>
      </c>
      <c r="E28" s="82">
        <f>D28*C28</f>
        <v>38323.872600000002</v>
      </c>
      <c r="F28" s="64">
        <v>3.8887999999999998</v>
      </c>
      <c r="G28" s="16">
        <f>IF($C7&gt;0, $C7, $C6*$C10)</f>
        <v>10930.365561319997</v>
      </c>
      <c r="H28" s="57">
        <f>G28*F28</f>
        <v>42506.005594861206</v>
      </c>
      <c r="I28" s="94">
        <f>(F28-C28)*G28</f>
        <v>5035.6194141001188</v>
      </c>
      <c r="J28" s="50">
        <f>H28-E28</f>
        <v>4182.1329948612038</v>
      </c>
      <c r="K28" s="108">
        <f t="shared" si="0"/>
        <v>4182.1329948612038</v>
      </c>
      <c r="L28" s="109">
        <f t="shared" si="5"/>
        <v>0.10912605410501243</v>
      </c>
    </row>
    <row r="29" spans="1:12" ht="25.5" x14ac:dyDescent="0.2">
      <c r="A29" s="125" t="s">
        <v>33</v>
      </c>
      <c r="B29" s="118"/>
      <c r="C29" s="140">
        <v>1.3775999999999999</v>
      </c>
      <c r="D29" s="15">
        <f>IF($B7&gt;0, $B7, $B6)</f>
        <v>11179.333333333334</v>
      </c>
      <c r="E29" s="82">
        <f>D29*C29</f>
        <v>15400.649600000001</v>
      </c>
      <c r="F29" s="64">
        <v>1.4846999999999999</v>
      </c>
      <c r="G29" s="16">
        <f>IF($C7&gt;0, $C7, $C6*$C10)</f>
        <v>10930.365561319997</v>
      </c>
      <c r="H29" s="57">
        <f>G29*F29</f>
        <v>16228.313748891798</v>
      </c>
      <c r="I29" s="94">
        <f>(F29-C29)*G29</f>
        <v>1170.6421516173714</v>
      </c>
      <c r="J29" s="50">
        <f>H29-E29</f>
        <v>827.66414889179759</v>
      </c>
      <c r="K29" s="108">
        <f t="shared" si="0"/>
        <v>827.66414889179759</v>
      </c>
      <c r="L29" s="109">
        <f t="shared" si="5"/>
        <v>5.3742158310763566E-2</v>
      </c>
    </row>
    <row r="30" spans="1:12" ht="25.5" x14ac:dyDescent="0.2">
      <c r="A30" s="122" t="s">
        <v>34</v>
      </c>
      <c r="B30" s="120"/>
      <c r="C30" s="85"/>
      <c r="D30" s="21"/>
      <c r="E30" s="63">
        <f>SUM(E27:E29)</f>
        <v>278159.74311776587</v>
      </c>
      <c r="F30" s="62">
        <v>0</v>
      </c>
      <c r="G30" s="14"/>
      <c r="H30" s="63">
        <f>SUM(H27:H29)</f>
        <v>328751.29035810317</v>
      </c>
      <c r="I30" s="95">
        <f>SUM(I27:I29)</f>
        <v>54513.156128939401</v>
      </c>
      <c r="J30" s="51">
        <f>SUM(J27:J29)</f>
        <v>2284.6526771153904</v>
      </c>
      <c r="K30" s="112">
        <f>SUM(K27:K29)</f>
        <v>50591.547240337291</v>
      </c>
      <c r="L30" s="111">
        <f t="shared" si="5"/>
        <v>0.18187947210937025</v>
      </c>
    </row>
    <row r="31" spans="1:12" x14ac:dyDescent="0.2">
      <c r="A31" s="126" t="s">
        <v>35</v>
      </c>
      <c r="B31" s="118"/>
      <c r="C31" s="83">
        <v>3.4000000000000002E-3</v>
      </c>
      <c r="D31" s="15">
        <f>B6*B9</f>
        <v>4223980.9054749999</v>
      </c>
      <c r="E31" s="86">
        <f>D31*C31</f>
        <v>14361.535078615001</v>
      </c>
      <c r="F31" s="58">
        <v>3.4000000000000002E-3</v>
      </c>
      <c r="G31" s="16">
        <f>C6*C10</f>
        <v>4026891.5618291711</v>
      </c>
      <c r="H31" s="57">
        <f>G31*F31</f>
        <v>13691.431310219183</v>
      </c>
      <c r="I31" s="94">
        <f>(F31-C31)*G31</f>
        <v>0</v>
      </c>
      <c r="J31" s="50">
        <f>H31-E31</f>
        <v>-670.10376839581841</v>
      </c>
      <c r="K31" s="108">
        <f>H31-E31</f>
        <v>-670.10376839581841</v>
      </c>
      <c r="L31" s="109">
        <f t="shared" si="5"/>
        <v>-4.6659619931133565E-2</v>
      </c>
    </row>
    <row r="32" spans="1:12" x14ac:dyDescent="0.2">
      <c r="A32" s="126" t="s">
        <v>36</v>
      </c>
      <c r="B32" s="118"/>
      <c r="C32" s="83">
        <v>5.0000000000000001E-4</v>
      </c>
      <c r="D32" s="15">
        <f>B6*B9</f>
        <v>4223980.9054749999</v>
      </c>
      <c r="E32" s="86">
        <f>D32*C32</f>
        <v>2111.9904527375002</v>
      </c>
      <c r="F32" s="58">
        <v>5.0000000000000001E-4</v>
      </c>
      <c r="G32" s="16">
        <f>C6*C10</f>
        <v>4026891.5618291711</v>
      </c>
      <c r="H32" s="57">
        <f>G32*F32</f>
        <v>2013.4457809145856</v>
      </c>
      <c r="I32" s="94">
        <f>(F32-C32)*G32</f>
        <v>0</v>
      </c>
      <c r="J32" s="50">
        <f>H32-E32</f>
        <v>-98.544671822914552</v>
      </c>
      <c r="K32" s="108">
        <f>H32-E32</f>
        <v>-98.544671822914552</v>
      </c>
      <c r="L32" s="109">
        <f t="shared" si="5"/>
        <v>-4.6659619931133607E-2</v>
      </c>
    </row>
    <row r="33" spans="1:12" x14ac:dyDescent="0.2">
      <c r="A33" s="127" t="s">
        <v>37</v>
      </c>
      <c r="B33" s="118"/>
      <c r="C33" s="87">
        <v>0.25</v>
      </c>
      <c r="D33" s="10">
        <f>+D15</f>
        <v>91446</v>
      </c>
      <c r="E33" s="86">
        <f>D33*C33</f>
        <v>22861.5</v>
      </c>
      <c r="F33" s="61">
        <v>0.25</v>
      </c>
      <c r="G33" s="11">
        <f>C8</f>
        <v>91446</v>
      </c>
      <c r="H33" s="57">
        <f>G33*F33</f>
        <v>22861.5</v>
      </c>
      <c r="I33" s="94">
        <f>(F33-C33)*G33</f>
        <v>0</v>
      </c>
      <c r="J33" s="50">
        <f>H33-E33</f>
        <v>0</v>
      </c>
      <c r="K33" s="108">
        <f>H33-E33</f>
        <v>0</v>
      </c>
      <c r="L33" s="109">
        <f t="shared" si="5"/>
        <v>0</v>
      </c>
    </row>
    <row r="34" spans="1:12" ht="13.5" thickBot="1" x14ac:dyDescent="0.25">
      <c r="A34" s="127" t="s">
        <v>38</v>
      </c>
      <c r="B34" s="118"/>
      <c r="C34" s="88">
        <v>9.6699999999999994E-2</v>
      </c>
      <c r="D34" s="24">
        <f>IF(AND(B6*12&gt;=150000),B6*B9,B6)</f>
        <v>4223980.9054749999</v>
      </c>
      <c r="E34" s="86">
        <f>D34*C34</f>
        <v>408458.95355943247</v>
      </c>
      <c r="F34" s="65">
        <v>9.6699999999999994E-2</v>
      </c>
      <c r="G34" s="25">
        <f>IF(AND(C6*12&gt;=150000),C6*C10,C6)</f>
        <v>4026891.5618291711</v>
      </c>
      <c r="H34" s="57">
        <f>G34*F34</f>
        <v>389400.41402888083</v>
      </c>
      <c r="I34" s="94">
        <f>(F34-C34)*G34</f>
        <v>0</v>
      </c>
      <c r="J34" s="50">
        <f>H34-E34</f>
        <v>-19058.539530551643</v>
      </c>
      <c r="K34" s="108">
        <f>H34-E34</f>
        <v>-19058.539530551643</v>
      </c>
      <c r="L34" s="109">
        <f t="shared" si="5"/>
        <v>-4.6659619931133538E-2</v>
      </c>
    </row>
    <row r="35" spans="1:12" ht="13.5" thickBot="1" x14ac:dyDescent="0.25">
      <c r="A35" s="26"/>
      <c r="B35" s="128"/>
      <c r="C35" s="66"/>
      <c r="D35" s="27"/>
      <c r="E35" s="67"/>
      <c r="F35" s="66"/>
      <c r="G35" s="28"/>
      <c r="H35" s="67"/>
      <c r="I35" s="96">
        <f>SUM(I31:I34)</f>
        <v>0</v>
      </c>
      <c r="J35" s="52">
        <f>SUM(J31:J34)</f>
        <v>-19827.187970770377</v>
      </c>
      <c r="K35" s="113">
        <f>SUM(K31:K34)</f>
        <v>-19827.187970770377</v>
      </c>
      <c r="L35" s="29"/>
    </row>
    <row r="36" spans="1:12" hidden="1" x14ac:dyDescent="0.2">
      <c r="A36" s="129" t="s">
        <v>39</v>
      </c>
      <c r="B36" s="130"/>
      <c r="C36" s="75" t="e">
        <f>+#REF!</f>
        <v>#REF!</v>
      </c>
      <c r="D36" s="89"/>
      <c r="E36" s="69">
        <f>SUM(E31:E33,E30)</f>
        <v>317494.76864911837</v>
      </c>
      <c r="F36" s="68"/>
      <c r="G36" s="32"/>
      <c r="H36" s="69">
        <f>SUM(H31:H33,H30)</f>
        <v>367317.66744923696</v>
      </c>
      <c r="I36" s="97" t="e">
        <f>#REF!-D36</f>
        <v>#REF!</v>
      </c>
      <c r="J36" s="33" t="e">
        <f>F36-#REF!</f>
        <v>#REF!</v>
      </c>
      <c r="K36" s="97" t="e">
        <f>F36-#REF!</f>
        <v>#REF!</v>
      </c>
      <c r="L36" s="98" t="e">
        <f>IF((#REF!)=0,"",(K36/#REF!))</f>
        <v>#REF!</v>
      </c>
    </row>
    <row r="37" spans="1:12" hidden="1" x14ac:dyDescent="0.2">
      <c r="A37" s="131" t="s">
        <v>40</v>
      </c>
      <c r="B37" s="130"/>
      <c r="C37" s="75" t="e">
        <f>+#REF!</f>
        <v>#REF!</v>
      </c>
      <c r="D37" s="90"/>
      <c r="E37" s="71" t="e">
        <f>E36*C37</f>
        <v>#REF!</v>
      </c>
      <c r="F37" s="70">
        <v>0.13</v>
      </c>
      <c r="G37" s="10"/>
      <c r="H37" s="71">
        <f>H36*F37</f>
        <v>47751.296768400804</v>
      </c>
      <c r="I37" s="99" t="e">
        <f>#REF!-D37</f>
        <v>#REF!</v>
      </c>
      <c r="J37" s="12" t="e">
        <f>F37-#REF!</f>
        <v>#REF!</v>
      </c>
      <c r="K37" s="99" t="e">
        <f>F37-#REF!</f>
        <v>#REF!</v>
      </c>
      <c r="L37" s="100" t="e">
        <f>IF((#REF!)=0,"",(K37/#REF!))</f>
        <v>#REF!</v>
      </c>
    </row>
    <row r="38" spans="1:12" ht="15" hidden="1" x14ac:dyDescent="0.25">
      <c r="A38" s="131" t="s">
        <v>41</v>
      </c>
      <c r="B38" s="132"/>
      <c r="C38" s="72" t="e">
        <f>+#REF!</f>
        <v>#REF!</v>
      </c>
      <c r="D38" s="90"/>
      <c r="E38" s="71" t="e">
        <f>IF(OR(ISNUMBER( SEARCH("[DGEN]",#REF!))=TRUE, ISNUMBER( SEARCH("STREET LIGHT",#REF!))=TRUE), 0, IF(AND(#REF!=0,#REF!= 0),0, IF(AND(#REF!=0,#REF!* 12&gt;250000), 0, IF(AND(#REF!=0,#REF!&gt;= 50), 0, IF(#REF!*12&lt;=250000, C38*E36*-1, IF(#REF!&lt;50, C38*E36*-1, 0))))))</f>
        <v>#REF!</v>
      </c>
      <c r="F38" s="72">
        <v>0.189</v>
      </c>
      <c r="G38" s="10"/>
      <c r="H38" s="71">
        <f>IF(OR(ISNUMBER(SEARCH("[DGEN]", B3))=TRUE, ISNUMBER(SEARCH("STREET LIGHT", B3))=TRUE), 0, IF(AND(C6=0, C7=0),0, IF(AND(C7=0, C6*12&gt;250000), 0, IF(AND(C6=0, C7&gt;=50), 0, IF(C6*12&lt;=250000, F38*H36*-1, IF(C7&lt;50, F38*H36*-1, 0))))))</f>
        <v>0</v>
      </c>
      <c r="I38" s="99" t="e">
        <f>#REF!-D38</f>
        <v>#REF!</v>
      </c>
      <c r="J38" s="12" t="e">
        <f>F38-#REF!</f>
        <v>#REF!</v>
      </c>
      <c r="K38" s="99" t="e">
        <f>F38-#REF!</f>
        <v>#REF!</v>
      </c>
      <c r="L38" s="100"/>
    </row>
    <row r="39" spans="1:12" hidden="1" x14ac:dyDescent="0.2">
      <c r="A39" s="175" t="s">
        <v>42</v>
      </c>
      <c r="B39" s="176"/>
      <c r="C39" s="91" t="e">
        <f>+#REF!</f>
        <v>#REF!</v>
      </c>
      <c r="D39" s="35"/>
      <c r="E39" s="77" t="e">
        <f>E36+E37+E38</f>
        <v>#REF!</v>
      </c>
      <c r="F39" s="73"/>
      <c r="G39" s="36"/>
      <c r="H39" s="74">
        <f>H36+H37+H38</f>
        <v>415068.96421763778</v>
      </c>
      <c r="I39" s="101" t="e">
        <f>#REF!-D39</f>
        <v>#REF!</v>
      </c>
      <c r="J39" s="37" t="e">
        <f>F39-#REF!</f>
        <v>#REF!</v>
      </c>
      <c r="K39" s="101" t="e">
        <f>F39-#REF!</f>
        <v>#REF!</v>
      </c>
      <c r="L39" s="102" t="e">
        <f>IF((#REF!)=0,"",(K39/#REF!))</f>
        <v>#REF!</v>
      </c>
    </row>
    <row r="40" spans="1:12" ht="13.5" hidden="1" thickBot="1" x14ac:dyDescent="0.25">
      <c r="A40" s="26"/>
      <c r="B40" s="128"/>
      <c r="C40" s="66" t="e">
        <f>+#REF!</f>
        <v>#REF!</v>
      </c>
      <c r="D40" s="27"/>
      <c r="E40" s="67"/>
      <c r="F40" s="66"/>
      <c r="G40" s="28"/>
      <c r="H40" s="67"/>
      <c r="I40" s="103"/>
      <c r="J40" s="30"/>
      <c r="K40" s="103"/>
      <c r="L40" s="31"/>
    </row>
    <row r="41" spans="1:12" hidden="1" x14ac:dyDescent="0.2">
      <c r="A41" s="129" t="s">
        <v>43</v>
      </c>
      <c r="B41" s="130"/>
      <c r="C41" s="75" t="e">
        <f>+#REF!</f>
        <v>#REF!</v>
      </c>
      <c r="D41" s="89"/>
      <c r="E41" s="69" t="e">
        <f>SUM(#REF!,E31:E33,E30)</f>
        <v>#REF!</v>
      </c>
      <c r="F41" s="68"/>
      <c r="G41" s="32"/>
      <c r="H41" s="69" t="e">
        <f>SUM(#REF!,H31:H33,H30)</f>
        <v>#REF!</v>
      </c>
      <c r="I41" s="97" t="e">
        <f>#REF!-D41</f>
        <v>#REF!</v>
      </c>
      <c r="J41" s="33" t="e">
        <f>F41-#REF!</f>
        <v>#REF!</v>
      </c>
      <c r="K41" s="97" t="e">
        <f>F41-#REF!</f>
        <v>#REF!</v>
      </c>
      <c r="L41" s="98" t="e">
        <f>IF((#REF!)=0,"",(K41/#REF!))</f>
        <v>#REF!</v>
      </c>
    </row>
    <row r="42" spans="1:12" hidden="1" x14ac:dyDescent="0.2">
      <c r="A42" s="131" t="s">
        <v>40</v>
      </c>
      <c r="B42" s="130"/>
      <c r="C42" s="75" t="e">
        <f>+#REF!</f>
        <v>#REF!</v>
      </c>
      <c r="D42" s="89"/>
      <c r="E42" s="71" t="e">
        <f>E41*C42</f>
        <v>#REF!</v>
      </c>
      <c r="F42" s="75">
        <v>0.13</v>
      </c>
      <c r="G42" s="34"/>
      <c r="H42" s="71" t="e">
        <f>H41*F42</f>
        <v>#REF!</v>
      </c>
      <c r="I42" s="99" t="e">
        <f>#REF!-D42</f>
        <v>#REF!</v>
      </c>
      <c r="J42" s="12" t="e">
        <f>F42-#REF!</f>
        <v>#REF!</v>
      </c>
      <c r="K42" s="99" t="e">
        <f>F42-#REF!</f>
        <v>#REF!</v>
      </c>
      <c r="L42" s="100" t="e">
        <f>IF((#REF!)=0,"",(K42/#REF!))</f>
        <v>#REF!</v>
      </c>
    </row>
    <row r="43" spans="1:12" ht="15" hidden="1" x14ac:dyDescent="0.25">
      <c r="A43" s="131" t="s">
        <v>41</v>
      </c>
      <c r="B43" s="132"/>
      <c r="C43" s="72" t="e">
        <f>+#REF!</f>
        <v>#REF!</v>
      </c>
      <c r="D43" s="89"/>
      <c r="E43" s="71" t="e">
        <f>IF(OR(ISNUMBER( SEARCH("[DGEN]",#REF!))=TRUE, ISNUMBER( SEARCH("STREET LIGHT",#REF!))=TRUE), 0, IF(AND(#REF!=0,#REF!= 0),0, IF(AND(#REF!=0,#REF!* 12&gt;250000), 0, IF(AND(#REF!=0,#REF!&gt;= 50), 0, IF(#REF!*12&lt;=250000, C43*E41*-1, IF(#REF!&lt;50, C43*E41*-1, 0))))))</f>
        <v>#REF!</v>
      </c>
      <c r="F43" s="72">
        <v>0.189</v>
      </c>
      <c r="G43" s="34"/>
      <c r="H43" s="71">
        <f>IF(OR(ISNUMBER(SEARCH("[DGEN]", B3))=TRUE, ISNUMBER(SEARCH("STREET LIGHT", B3))=TRUE), 0, IF(AND(C6=0, C7=0),0, IF(AND(C7=0, C6*12&gt;250000), 0, IF(AND(C6=0, C7&gt;=50), 0, IF(C6*12&lt;=250000, F43*H41*-1, IF(C7&lt;50, F43*H41*-1, 0))))))</f>
        <v>0</v>
      </c>
      <c r="I43" s="99"/>
      <c r="J43" s="12"/>
      <c r="K43" s="99"/>
      <c r="L43" s="100"/>
    </row>
    <row r="44" spans="1:12" hidden="1" x14ac:dyDescent="0.2">
      <c r="A44" s="175" t="s">
        <v>43</v>
      </c>
      <c r="B44" s="176"/>
      <c r="C44" s="92" t="e">
        <f>+#REF!</f>
        <v>#REF!</v>
      </c>
      <c r="D44" s="93"/>
      <c r="E44" s="77" t="e">
        <f>SUM(E41,E42)</f>
        <v>#REF!</v>
      </c>
      <c r="F44" s="76"/>
      <c r="G44" s="38"/>
      <c r="H44" s="77" t="e">
        <f>SUM(H41,H42)</f>
        <v>#REF!</v>
      </c>
      <c r="I44" s="104" t="e">
        <f>#REF!-D44</f>
        <v>#REF!</v>
      </c>
      <c r="J44" s="39" t="e">
        <f>F44-#REF!</f>
        <v>#REF!</v>
      </c>
      <c r="K44" s="104" t="e">
        <f>F44-#REF!</f>
        <v>#REF!</v>
      </c>
      <c r="L44" s="105" t="e">
        <f>IF((#REF!)=0,"",(K44/#REF!))</f>
        <v>#REF!</v>
      </c>
    </row>
    <row r="45" spans="1:12" ht="13.5" hidden="1" thickBot="1" x14ac:dyDescent="0.25">
      <c r="A45" s="26"/>
      <c r="B45" s="128"/>
      <c r="C45" s="66" t="e">
        <f>+#REF!</f>
        <v>#REF!</v>
      </c>
      <c r="D45" s="40"/>
      <c r="E45" s="78"/>
      <c r="F45" s="66"/>
      <c r="G45" s="27"/>
      <c r="H45" s="78"/>
      <c r="I45" s="103"/>
      <c r="J45" s="41"/>
      <c r="K45" s="103"/>
      <c r="L45" s="31"/>
    </row>
    <row r="46" spans="1:12" x14ac:dyDescent="0.2">
      <c r="A46" s="129" t="s">
        <v>44</v>
      </c>
      <c r="B46" s="130"/>
      <c r="C46" s="75"/>
      <c r="D46" s="89"/>
      <c r="E46" s="69">
        <f>SUM(E34,E31:E33,E30)</f>
        <v>725953.7222085509</v>
      </c>
      <c r="F46" s="68"/>
      <c r="G46" s="32"/>
      <c r="H46" s="69">
        <f>SUM(H34,H31:H33,H30)</f>
        <v>756718.08147811773</v>
      </c>
      <c r="I46" s="106">
        <f>SUM(I34,I31:I33,I30)</f>
        <v>54513.156128939401</v>
      </c>
      <c r="J46" s="33">
        <f>SUM(J34,J31:J33,J30)</f>
        <v>-17542.535293654986</v>
      </c>
      <c r="K46" s="97">
        <f>SUM(K34,K31:K33,K30)</f>
        <v>30764.359269566914</v>
      </c>
      <c r="L46" s="98">
        <f>IF(ISERROR(K46/E46), "", K46/E46)</f>
        <v>4.2377851822252899E-2</v>
      </c>
    </row>
    <row r="47" spans="1:12" x14ac:dyDescent="0.2">
      <c r="A47" s="131" t="s">
        <v>40</v>
      </c>
      <c r="B47" s="130"/>
      <c r="C47" s="75">
        <v>0.13</v>
      </c>
      <c r="D47" s="89"/>
      <c r="E47" s="71">
        <f>E46*C47</f>
        <v>94373.983887111623</v>
      </c>
      <c r="F47" s="75">
        <v>0.13</v>
      </c>
      <c r="G47" s="34"/>
      <c r="H47" s="71">
        <f>H46*F47</f>
        <v>98373.350592155315</v>
      </c>
      <c r="I47" s="99">
        <f>F47-C47</f>
        <v>0</v>
      </c>
      <c r="J47" s="12">
        <f>H47-E47</f>
        <v>3999.3667050436925</v>
      </c>
      <c r="K47" s="99">
        <f>H47-E47</f>
        <v>3999.3667050436925</v>
      </c>
      <c r="L47" s="107"/>
    </row>
    <row r="48" spans="1:12" ht="15" x14ac:dyDescent="0.25">
      <c r="A48" s="131" t="s">
        <v>41</v>
      </c>
      <c r="B48" s="132"/>
      <c r="C48" s="72">
        <v>0.17</v>
      </c>
      <c r="D48" s="89"/>
      <c r="E48" s="71" t="e">
        <f>IF(OR(ISNUMBER( SEARCH("[DGEN]",#REF!))=TRUE, ISNUMBER( SEARCH("STREET LIGHT",#REF!))=TRUE), 0, IF(AND(#REF!=0,#REF!= 0),0, IF(AND(#REF!=0,#REF!* 12&gt;250000), 0, IF(AND(#REF!=0,#REF!&gt;= 50), 0, IF(#REF!*12&lt;=250000, C48*E46*-1, IF(#REF!&lt;50, C48*E46*-1, 0))))))</f>
        <v>#REF!</v>
      </c>
      <c r="F48" s="72">
        <v>0.17</v>
      </c>
      <c r="G48" s="34"/>
      <c r="H48" s="71">
        <f>IF(OR(ISNUMBER(SEARCH("[DGEN]", B3))=TRUE, ISNUMBER(SEARCH("STREET LIGHT", B3))=TRUE), 0, IF(AND(C6=0, C7=0),0, IF(AND(C7=0, C6*12&gt;250000), 0, IF(AND(C6=0, C7&gt;=50), 0, IF(C6*12&lt;=250000, F48*H46*-1, IF(C7&lt;50, F48*H46*-1, 0))))))</f>
        <v>0</v>
      </c>
      <c r="I48" s="99"/>
      <c r="J48" s="12"/>
      <c r="K48" s="99"/>
      <c r="L48" s="100"/>
    </row>
    <row r="49" spans="1:12" ht="13.5" thickBot="1" x14ac:dyDescent="0.25">
      <c r="A49" s="175" t="s">
        <v>44</v>
      </c>
      <c r="B49" s="176"/>
      <c r="C49" s="92"/>
      <c r="D49" s="93"/>
      <c r="E49" s="77">
        <f>SUM(E46,E47)</f>
        <v>820327.70609566255</v>
      </c>
      <c r="F49" s="76"/>
      <c r="G49" s="38"/>
      <c r="H49" s="77">
        <f>SUM(H46,H47)</f>
        <v>855091.43207027309</v>
      </c>
      <c r="I49" s="104">
        <f>SUM(I46,I47)</f>
        <v>54513.156128939401</v>
      </c>
      <c r="J49" s="39">
        <f>SUM(J46,J47)</f>
        <v>-13543.168588611294</v>
      </c>
      <c r="K49" s="104">
        <f>SUM(K46,K47)</f>
        <v>34763.725974610606</v>
      </c>
      <c r="L49" s="105">
        <f>IF(ISERROR(K49/E49), "", K49/E49)</f>
        <v>4.2377851822252892E-2</v>
      </c>
    </row>
    <row r="50" spans="1:12" ht="13.5" thickBot="1" x14ac:dyDescent="0.25">
      <c r="A50" s="26"/>
      <c r="B50" s="128"/>
      <c r="C50" s="79"/>
      <c r="D50" s="40"/>
      <c r="E50" s="80"/>
      <c r="F50" s="79"/>
      <c r="G50" s="27"/>
      <c r="H50" s="80"/>
      <c r="I50" s="103"/>
      <c r="J50" s="41"/>
      <c r="K50" s="103"/>
      <c r="L50" s="42"/>
    </row>
  </sheetData>
  <mergeCells count="13">
    <mergeCell ref="A44:B44"/>
    <mergeCell ref="A49:B49"/>
    <mergeCell ref="K12:L12"/>
    <mergeCell ref="B13:B14"/>
    <mergeCell ref="I13:I14"/>
    <mergeCell ref="J13:J14"/>
    <mergeCell ref="K13:K14"/>
    <mergeCell ref="L13:L14"/>
    <mergeCell ref="B3:E3"/>
    <mergeCell ref="B4:D4"/>
    <mergeCell ref="C12:E12"/>
    <mergeCell ref="F12:H12"/>
    <mergeCell ref="A39:B39"/>
  </mergeCells>
  <dataValidations disablePrompts="1" count="1">
    <dataValidation type="list" allowBlank="1" showInputMessage="1" showErrorMessage="1" prompt="Select Charge Unit - monthly, per kWh, per kW" sqref="B45 B50 B35 B40" xr:uid="{4A0C7ED0-4B1D-4766-A07E-371588E7B945}">
      <formula1>"Monthly, per kWh, per kW"</formula1>
    </dataValidation>
  </dataValidations>
  <pageMargins left="0.7" right="0.7" top="0.75" bottom="0.75" header="0.3" footer="0.3"/>
  <pageSetup scale="55" fitToHeight="0" orientation="landscape" r:id="rId1"/>
  <ignoredErrors>
    <ignoredError sqref="B6:C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E3E29-EFCD-4757-92B7-48DC32650270}">
  <sheetPr>
    <pageSetUpPr fitToPage="1"/>
  </sheetPr>
  <dimension ref="A3:N50"/>
  <sheetViews>
    <sheetView showGridLines="0" zoomScale="80" zoomScaleNormal="80" workbookViewId="0">
      <selection activeCell="R69" sqref="R69"/>
    </sheetView>
  </sheetViews>
  <sheetFormatPr defaultColWidth="9.28515625" defaultRowHeight="12.75" x14ac:dyDescent="0.2"/>
  <cols>
    <col min="1" max="1" width="39" style="1" customWidth="1"/>
    <col min="2" max="2" width="13.28515625" style="1" customWidth="1"/>
    <col min="3" max="3" width="24.85546875" style="1" customWidth="1"/>
    <col min="4" max="4" width="16.7109375" style="1" bestFit="1" customWidth="1"/>
    <col min="5" max="5" width="18.28515625" style="1" customWidth="1"/>
    <col min="6" max="6" width="13.5703125" style="1" bestFit="1" customWidth="1"/>
    <col min="7" max="7" width="15.7109375" style="1" customWidth="1"/>
    <col min="8" max="8" width="13.5703125" style="1" customWidth="1"/>
    <col min="9" max="11" width="17.85546875" style="1" customWidth="1"/>
    <col min="12" max="12" width="10.85546875" style="1" bestFit="1" customWidth="1"/>
    <col min="13" max="13" width="9.28515625" style="1"/>
    <col min="14" max="14" width="9.28515625" style="1" hidden="1" customWidth="1"/>
    <col min="15" max="16384" width="9.28515625" style="1"/>
  </cols>
  <sheetData>
    <row r="3" spans="1:14" x14ac:dyDescent="0.2">
      <c r="A3" s="2" t="s">
        <v>0</v>
      </c>
      <c r="B3" s="170" t="s">
        <v>68</v>
      </c>
      <c r="C3" s="170"/>
      <c r="D3" s="170"/>
      <c r="E3" s="170"/>
      <c r="N3" s="1" t="s">
        <v>1</v>
      </c>
    </row>
    <row r="4" spans="1:14" x14ac:dyDescent="0.2">
      <c r="A4" s="2" t="s">
        <v>2</v>
      </c>
      <c r="B4" s="171" t="s">
        <v>3</v>
      </c>
      <c r="C4" s="171"/>
      <c r="D4" s="171"/>
      <c r="E4" s="43"/>
      <c r="F4" s="44"/>
      <c r="G4" s="44"/>
      <c r="H4" s="44"/>
      <c r="I4" s="44"/>
      <c r="J4" s="44"/>
    </row>
    <row r="5" spans="1:14" ht="36" customHeight="1" x14ac:dyDescent="0.2">
      <c r="A5" s="2"/>
      <c r="B5" s="143" t="s">
        <v>57</v>
      </c>
      <c r="C5" s="143" t="s">
        <v>56</v>
      </c>
      <c r="E5" s="45"/>
      <c r="F5" s="44"/>
      <c r="G5" s="44"/>
      <c r="H5" s="44"/>
      <c r="I5" s="44"/>
      <c r="J5" s="44"/>
    </row>
    <row r="6" spans="1:14" ht="15.75" x14ac:dyDescent="0.2">
      <c r="A6" s="2" t="s">
        <v>4</v>
      </c>
      <c r="B6" s="3">
        <f>'RRR Data'!D26</f>
        <v>848562.5</v>
      </c>
      <c r="C6" s="3">
        <f>'RRR Data'!G26</f>
        <v>288204.13431338232</v>
      </c>
      <c r="D6" s="46" t="s">
        <v>5</v>
      </c>
      <c r="F6" s="47"/>
      <c r="G6" s="47"/>
      <c r="H6" s="47"/>
      <c r="I6" s="44"/>
      <c r="J6" s="44"/>
    </row>
    <row r="7" spans="1:14" x14ac:dyDescent="0.2">
      <c r="A7" s="2" t="s">
        <v>6</v>
      </c>
      <c r="B7" s="4">
        <f>'RRR Data'!C26</f>
        <v>2368.75</v>
      </c>
      <c r="C7" s="3">
        <f>'RRR Data'!F26</f>
        <v>837.79311632248289</v>
      </c>
      <c r="D7" s="48" t="s">
        <v>7</v>
      </c>
      <c r="F7" s="49"/>
      <c r="G7" s="44"/>
      <c r="H7" s="44"/>
      <c r="I7" s="44"/>
      <c r="J7" s="44"/>
    </row>
    <row r="8" spans="1:14" x14ac:dyDescent="0.2">
      <c r="A8" s="2" t="s">
        <v>54</v>
      </c>
      <c r="B8" s="4">
        <f>'RRR Data'!E26</f>
        <v>14152</v>
      </c>
      <c r="C8" s="3">
        <f>'RRR Data'!H26</f>
        <v>14152</v>
      </c>
      <c r="D8" s="48"/>
      <c r="F8" s="49"/>
      <c r="G8" s="44"/>
      <c r="H8" s="44"/>
      <c r="I8" s="44"/>
      <c r="J8" s="44"/>
    </row>
    <row r="9" spans="1:14" x14ac:dyDescent="0.2">
      <c r="A9" s="2" t="s">
        <v>8</v>
      </c>
      <c r="B9" s="5">
        <v>1.026</v>
      </c>
      <c r="C9" s="5">
        <v>1.026</v>
      </c>
    </row>
    <row r="10" spans="1:14" x14ac:dyDescent="0.2">
      <c r="A10" s="2" t="s">
        <v>9</v>
      </c>
      <c r="B10" s="5">
        <v>1.026</v>
      </c>
      <c r="C10" s="5">
        <v>1.026</v>
      </c>
    </row>
    <row r="11" spans="1:14" ht="13.5" thickBot="1" x14ac:dyDescent="0.25"/>
    <row r="12" spans="1:14" x14ac:dyDescent="0.2">
      <c r="A12" s="114"/>
      <c r="B12" s="115"/>
      <c r="C12" s="172" t="s">
        <v>60</v>
      </c>
      <c r="D12" s="173"/>
      <c r="E12" s="174"/>
      <c r="F12" s="172" t="s">
        <v>55</v>
      </c>
      <c r="G12" s="173"/>
      <c r="H12" s="174"/>
      <c r="I12" s="161" t="s">
        <v>10</v>
      </c>
      <c r="J12" s="162" t="s">
        <v>11</v>
      </c>
      <c r="K12" s="177" t="s">
        <v>12</v>
      </c>
      <c r="L12" s="178"/>
    </row>
    <row r="13" spans="1:14" x14ac:dyDescent="0.2">
      <c r="A13" s="116"/>
      <c r="B13" s="179"/>
      <c r="C13" s="53" t="s">
        <v>14</v>
      </c>
      <c r="D13" s="6" t="s">
        <v>15</v>
      </c>
      <c r="E13" s="54" t="s">
        <v>16</v>
      </c>
      <c r="F13" s="53" t="s">
        <v>14</v>
      </c>
      <c r="G13" s="7" t="s">
        <v>15</v>
      </c>
      <c r="H13" s="54" t="s">
        <v>16</v>
      </c>
      <c r="I13" s="181" t="s">
        <v>17</v>
      </c>
      <c r="J13" s="183" t="s">
        <v>17</v>
      </c>
      <c r="K13" s="185" t="s">
        <v>17</v>
      </c>
      <c r="L13" s="187" t="s">
        <v>18</v>
      </c>
    </row>
    <row r="14" spans="1:14" x14ac:dyDescent="0.2">
      <c r="A14" s="116"/>
      <c r="B14" s="180"/>
      <c r="C14" s="55" t="s">
        <v>19</v>
      </c>
      <c r="D14" s="8"/>
      <c r="E14" s="56" t="s">
        <v>19</v>
      </c>
      <c r="F14" s="55" t="s">
        <v>19</v>
      </c>
      <c r="G14" s="9"/>
      <c r="H14" s="56" t="s">
        <v>19</v>
      </c>
      <c r="I14" s="182"/>
      <c r="J14" s="184"/>
      <c r="K14" s="186"/>
      <c r="L14" s="188"/>
    </row>
    <row r="15" spans="1:14" x14ac:dyDescent="0.2">
      <c r="A15" s="117" t="s">
        <v>20</v>
      </c>
      <c r="B15" s="118"/>
      <c r="C15" s="81">
        <v>0.47</v>
      </c>
      <c r="D15" s="147">
        <f>B8</f>
        <v>14152</v>
      </c>
      <c r="E15" s="82">
        <f>D15*C15</f>
        <v>6651.44</v>
      </c>
      <c r="F15" s="135">
        <v>0.48</v>
      </c>
      <c r="G15" s="11">
        <f>C8</f>
        <v>14152</v>
      </c>
      <c r="H15" s="57">
        <f>G15*F15</f>
        <v>6792.96</v>
      </c>
      <c r="I15" s="94">
        <f>(F15-C15)*G15</f>
        <v>141.52000000000012</v>
      </c>
      <c r="J15" s="50">
        <f>(G15-D15)*C15</f>
        <v>0</v>
      </c>
      <c r="K15" s="108">
        <f t="shared" ref="K15:K29" si="0">H15-E15</f>
        <v>141.52000000000044</v>
      </c>
      <c r="L15" s="109">
        <f>IF(ISERROR(K15/E15), "", K15/E15)</f>
        <v>2.1276595744680916E-2</v>
      </c>
    </row>
    <row r="16" spans="1:14" x14ac:dyDescent="0.2">
      <c r="A16" s="117" t="s">
        <v>21</v>
      </c>
      <c r="B16" s="118"/>
      <c r="C16" s="83">
        <v>11.1096</v>
      </c>
      <c r="D16" s="147">
        <f>IF($B7&gt;0, $B7, $B6)</f>
        <v>2368.75</v>
      </c>
      <c r="E16" s="82">
        <f>D16*C16</f>
        <v>26315.865000000002</v>
      </c>
      <c r="F16" s="138">
        <v>11.4429</v>
      </c>
      <c r="G16" s="133">
        <f>IF($C7&gt;0, $C7, $C6)</f>
        <v>837.79311632248289</v>
      </c>
      <c r="H16" s="57">
        <f>G16*F16</f>
        <v>9586.7828507665399</v>
      </c>
      <c r="I16" s="94">
        <f>(F16-C16)*G16</f>
        <v>279.2364456702831</v>
      </c>
      <c r="J16" s="50">
        <f>(G16-D16)*C16</f>
        <v>-17008.318594903743</v>
      </c>
      <c r="K16" s="108">
        <f t="shared" si="0"/>
        <v>-16729.082149233462</v>
      </c>
      <c r="L16" s="109">
        <f>IF(ISERROR(K16/E16), "", K16/E16)</f>
        <v>-0.63570329720240848</v>
      </c>
    </row>
    <row r="17" spans="1:12" x14ac:dyDescent="0.2">
      <c r="A17" s="117" t="s">
        <v>22</v>
      </c>
      <c r="B17" s="118"/>
      <c r="C17" s="81">
        <v>-0.01</v>
      </c>
      <c r="D17" s="147">
        <f>+D15</f>
        <v>14152</v>
      </c>
      <c r="E17" s="82">
        <f>D17*C17</f>
        <v>-141.52000000000001</v>
      </c>
      <c r="F17" s="135">
        <v>-0.01</v>
      </c>
      <c r="G17" s="11">
        <f>G15</f>
        <v>14152</v>
      </c>
      <c r="H17" s="57">
        <f>G17*F17</f>
        <v>-141.52000000000001</v>
      </c>
      <c r="I17" s="94">
        <f>(F17-C17)*G17</f>
        <v>0</v>
      </c>
      <c r="J17" s="50">
        <f>(G17-D17)*C17</f>
        <v>0</v>
      </c>
      <c r="K17" s="108">
        <f t="shared" si="0"/>
        <v>0</v>
      </c>
      <c r="L17" s="109">
        <f>IF(ISERROR(K17/E17), "", K17/E17)</f>
        <v>0</v>
      </c>
    </row>
    <row r="18" spans="1:12" x14ac:dyDescent="0.2">
      <c r="A18" s="117" t="s">
        <v>23</v>
      </c>
      <c r="B18" s="118"/>
      <c r="C18" s="83">
        <v>-1.6225000000000001</v>
      </c>
      <c r="D18" s="147">
        <f>IF($B7&gt;0, $B7, $B6)</f>
        <v>2368.75</v>
      </c>
      <c r="E18" s="82">
        <f>D18*C18</f>
        <v>-3843.296875</v>
      </c>
      <c r="F18" s="136">
        <v>35.527500000000003</v>
      </c>
      <c r="G18" s="133">
        <f>IF($C7&gt;0, $C7, $C6)</f>
        <v>837.79311632248289</v>
      </c>
      <c r="H18" s="57">
        <f>G18*F18</f>
        <v>29764.694940147012</v>
      </c>
      <c r="I18" s="94">
        <f>(F18-C18)*G18</f>
        <v>31124.014271380245</v>
      </c>
      <c r="J18" s="50">
        <f>(G18-D18)*C18</f>
        <v>2483.9775437667713</v>
      </c>
      <c r="K18" s="108">
        <f t="shared" si="0"/>
        <v>33607.991815147012</v>
      </c>
      <c r="L18" s="109">
        <f>IF(ISERROR(K18/E18), "", K18/E18)</f>
        <v>-8.7445734504043511</v>
      </c>
    </row>
    <row r="19" spans="1:12" x14ac:dyDescent="0.2">
      <c r="A19" s="117" t="s">
        <v>24</v>
      </c>
      <c r="B19" s="118"/>
      <c r="C19" s="83">
        <v>0</v>
      </c>
      <c r="D19" s="147">
        <f>IF($B7&gt;0, $B7, $B6)</f>
        <v>2368.75</v>
      </c>
      <c r="E19" s="82">
        <f>D19*C19</f>
        <v>0</v>
      </c>
      <c r="F19" s="58">
        <v>0</v>
      </c>
      <c r="G19" s="133">
        <f>IF($C7&gt;0, $C7, $C6)</f>
        <v>837.79311632248289</v>
      </c>
      <c r="H19" s="57">
        <f>G19*F19</f>
        <v>0</v>
      </c>
      <c r="I19" s="94">
        <f>(F19-C19)*G19</f>
        <v>0</v>
      </c>
      <c r="J19" s="50">
        <f>(G19-D19)*C19</f>
        <v>0</v>
      </c>
      <c r="K19" s="108">
        <f t="shared" si="0"/>
        <v>0</v>
      </c>
      <c r="L19" s="109" t="str">
        <f>IF(ISERROR(K19/#REF!), "", K19/#REF!)</f>
        <v/>
      </c>
    </row>
    <row r="20" spans="1:12" x14ac:dyDescent="0.2">
      <c r="A20" s="119" t="s">
        <v>25</v>
      </c>
      <c r="B20" s="120"/>
      <c r="C20" s="84"/>
      <c r="D20" s="13"/>
      <c r="E20" s="60">
        <f>SUM(E15:E19)</f>
        <v>28982.488125000003</v>
      </c>
      <c r="F20" s="59"/>
      <c r="G20" s="14"/>
      <c r="H20" s="60">
        <f>SUM(H15:H19)</f>
        <v>46002.917790913547</v>
      </c>
      <c r="I20" s="95">
        <f>SUM(I15:I19)</f>
        <v>31544.770717050527</v>
      </c>
      <c r="J20" s="51">
        <f>SUM(J15:J19)</f>
        <v>-14524.341051136973</v>
      </c>
      <c r="K20" s="110">
        <f t="shared" si="0"/>
        <v>17020.429665913543</v>
      </c>
      <c r="L20" s="111">
        <f>IF(ISERROR(K20/E20), "", K20/E20)</f>
        <v>0.58726599291631876</v>
      </c>
    </row>
    <row r="21" spans="1:12" x14ac:dyDescent="0.2">
      <c r="A21" s="121" t="s">
        <v>26</v>
      </c>
      <c r="B21" s="118"/>
      <c r="C21" s="83">
        <v>0</v>
      </c>
      <c r="D21" s="15">
        <f>IF(C21=0, 0, $B6*B9-B6)</f>
        <v>0</v>
      </c>
      <c r="E21" s="82">
        <f t="shared" ref="E21:E26" si="1">D21*C21</f>
        <v>0</v>
      </c>
      <c r="F21" s="58">
        <v>0</v>
      </c>
      <c r="G21" s="16">
        <f>IF(F21=0, 0, C6*C10-C6)</f>
        <v>0</v>
      </c>
      <c r="H21" s="57">
        <f t="shared" ref="H21:H26" si="2">G21*F21</f>
        <v>0</v>
      </c>
      <c r="I21" s="94">
        <f t="shared" ref="I21:I26" si="3">(F21-C21)*G21</f>
        <v>0</v>
      </c>
      <c r="J21" s="50">
        <f t="shared" ref="J21:J26" si="4">(G21-D21)*C21</f>
        <v>0</v>
      </c>
      <c r="K21" s="108">
        <f t="shared" si="0"/>
        <v>0</v>
      </c>
      <c r="L21" s="109" t="str">
        <f>IF(ISERROR(K21/#REF!), "", K21/#REF!)</f>
        <v/>
      </c>
    </row>
    <row r="22" spans="1:12" x14ac:dyDescent="0.2">
      <c r="A22" s="121" t="s">
        <v>27</v>
      </c>
      <c r="B22" s="118"/>
      <c r="C22" s="83">
        <v>0.18360000000000001</v>
      </c>
      <c r="D22" s="17">
        <f>IF($B7&gt;0, $B7, $B6)</f>
        <v>2368.75</v>
      </c>
      <c r="E22" s="82">
        <f t="shared" si="1"/>
        <v>434.90250000000003</v>
      </c>
      <c r="F22" s="58">
        <v>1.2901</v>
      </c>
      <c r="G22" s="19">
        <f>IF($C7&gt;0, $C7, $C6)</f>
        <v>837.79311632248289</v>
      </c>
      <c r="H22" s="57">
        <f t="shared" si="2"/>
        <v>1080.8368993676352</v>
      </c>
      <c r="I22" s="94">
        <f t="shared" si="3"/>
        <v>927.0180832108274</v>
      </c>
      <c r="J22" s="50">
        <f t="shared" si="4"/>
        <v>-281.08368384319215</v>
      </c>
      <c r="K22" s="108">
        <f t="shared" si="0"/>
        <v>645.93439936763514</v>
      </c>
      <c r="L22" s="109">
        <f t="shared" ref="L22:L34" si="5">IF(ISERROR(K22/E22), "", K22/E22)</f>
        <v>1.4852395637358606</v>
      </c>
    </row>
    <row r="23" spans="1:12" x14ac:dyDescent="0.2">
      <c r="A23" s="121" t="s">
        <v>28</v>
      </c>
      <c r="B23" s="118"/>
      <c r="C23" s="83">
        <v>0</v>
      </c>
      <c r="D23" s="17">
        <f>IF($B7&gt;0, $B7, $B6)</f>
        <v>2368.75</v>
      </c>
      <c r="E23" s="82">
        <f t="shared" si="1"/>
        <v>0</v>
      </c>
      <c r="F23" s="58">
        <v>-4.3900000000000002E-2</v>
      </c>
      <c r="G23" s="19">
        <f>IF($C7&gt;0, $C7, $C6)</f>
        <v>837.79311632248289</v>
      </c>
      <c r="H23" s="57">
        <f t="shared" si="2"/>
        <v>-36.779117806556997</v>
      </c>
      <c r="I23" s="94">
        <f t="shared" si="3"/>
        <v>-36.779117806556997</v>
      </c>
      <c r="J23" s="50">
        <f t="shared" si="4"/>
        <v>0</v>
      </c>
      <c r="K23" s="108">
        <f t="shared" si="0"/>
        <v>-36.779117806556997</v>
      </c>
      <c r="L23" s="109" t="str">
        <f t="shared" si="5"/>
        <v/>
      </c>
    </row>
    <row r="24" spans="1:12" x14ac:dyDescent="0.2">
      <c r="A24" s="121" t="s">
        <v>29</v>
      </c>
      <c r="B24" s="118"/>
      <c r="C24" s="83">
        <v>-2.0999999999999999E-3</v>
      </c>
      <c r="D24" s="18">
        <f>B6</f>
        <v>848562.5</v>
      </c>
      <c r="E24" s="82">
        <f t="shared" si="1"/>
        <v>-1781.9812499999998</v>
      </c>
      <c r="F24" s="58">
        <v>4.7999999999999996E-3</v>
      </c>
      <c r="G24" s="19">
        <f>C6</f>
        <v>288204.13431338232</v>
      </c>
      <c r="H24" s="57">
        <f t="shared" si="2"/>
        <v>1383.379844704235</v>
      </c>
      <c r="I24" s="94">
        <f t="shared" si="3"/>
        <v>1988.608526762338</v>
      </c>
      <c r="J24" s="50">
        <f t="shared" si="4"/>
        <v>1176.752567941897</v>
      </c>
      <c r="K24" s="108">
        <f t="shared" si="0"/>
        <v>3165.3610947042348</v>
      </c>
      <c r="L24" s="109">
        <f t="shared" si="5"/>
        <v>-1.7763156007978396</v>
      </c>
    </row>
    <row r="25" spans="1:12" x14ac:dyDescent="0.2">
      <c r="A25" s="117" t="s">
        <v>30</v>
      </c>
      <c r="B25" s="118"/>
      <c r="C25" s="83">
        <v>1.0699999999999999E-2</v>
      </c>
      <c r="D25" s="17">
        <f>IF($B7&gt;0, $B7, $B6)</f>
        <v>2368.75</v>
      </c>
      <c r="E25" s="82">
        <f t="shared" si="1"/>
        <v>25.345624999999998</v>
      </c>
      <c r="F25" s="58">
        <v>1.0699999999999999E-2</v>
      </c>
      <c r="G25" s="19">
        <f>IF($C7&gt;0, $C7, $C6)</f>
        <v>837.79311632248289</v>
      </c>
      <c r="H25" s="57">
        <f t="shared" si="2"/>
        <v>8.9643863446505669</v>
      </c>
      <c r="I25" s="94">
        <f t="shared" si="3"/>
        <v>0</v>
      </c>
      <c r="J25" s="50">
        <f t="shared" si="4"/>
        <v>-16.381238655349431</v>
      </c>
      <c r="K25" s="108">
        <f t="shared" si="0"/>
        <v>-16.381238655349431</v>
      </c>
      <c r="L25" s="109">
        <f t="shared" si="5"/>
        <v>-0.6463142516844399</v>
      </c>
    </row>
    <row r="26" spans="1:12" x14ac:dyDescent="0.2">
      <c r="A26" s="121" t="s">
        <v>31</v>
      </c>
      <c r="B26" s="118"/>
      <c r="C26" s="83">
        <v>0</v>
      </c>
      <c r="D26" s="10">
        <f>+D15</f>
        <v>14152</v>
      </c>
      <c r="E26" s="82">
        <f t="shared" si="1"/>
        <v>0</v>
      </c>
      <c r="F26" s="61">
        <v>0</v>
      </c>
      <c r="G26" s="20">
        <f>G15</f>
        <v>14152</v>
      </c>
      <c r="H26" s="57">
        <f t="shared" si="2"/>
        <v>0</v>
      </c>
      <c r="I26" s="94">
        <f t="shared" si="3"/>
        <v>0</v>
      </c>
      <c r="J26" s="50">
        <f t="shared" si="4"/>
        <v>0</v>
      </c>
      <c r="K26" s="108">
        <f t="shared" si="0"/>
        <v>0</v>
      </c>
      <c r="L26" s="109" t="str">
        <f t="shared" si="5"/>
        <v/>
      </c>
    </row>
    <row r="27" spans="1:12" ht="25.5" x14ac:dyDescent="0.2">
      <c r="A27" s="122" t="s">
        <v>45</v>
      </c>
      <c r="B27" s="123"/>
      <c r="C27" s="85"/>
      <c r="D27" s="21"/>
      <c r="E27" s="63">
        <f>SUM(E20:E26)</f>
        <v>27660.755000000005</v>
      </c>
      <c r="F27" s="62"/>
      <c r="G27" s="22"/>
      <c r="H27" s="63">
        <f>SUM(H20:H26)</f>
        <v>48439.319803523504</v>
      </c>
      <c r="I27" s="95">
        <f>SUM(I20:I26)</f>
        <v>34423.618209217137</v>
      </c>
      <c r="J27" s="51">
        <f>SUM(J20:J26)</f>
        <v>-13645.053405693616</v>
      </c>
      <c r="K27" s="112">
        <f t="shared" si="0"/>
        <v>20778.564803523499</v>
      </c>
      <c r="L27" s="111">
        <f t="shared" si="5"/>
        <v>0.75119297371035232</v>
      </c>
    </row>
    <row r="28" spans="1:12" x14ac:dyDescent="0.2">
      <c r="A28" s="124" t="s">
        <v>32</v>
      </c>
      <c r="B28" s="118"/>
      <c r="C28" s="83">
        <v>3.2023000000000001</v>
      </c>
      <c r="D28" s="15">
        <f>IF($B7&gt;0, $B7, $B6)</f>
        <v>2368.75</v>
      </c>
      <c r="E28" s="82">
        <f>D28*C28</f>
        <v>7585.4481250000008</v>
      </c>
      <c r="F28" s="64">
        <v>3.5754000000000001</v>
      </c>
      <c r="G28" s="16">
        <f>IF($C7&gt;0, $C7, $C6*$C10)</f>
        <v>837.79311632248289</v>
      </c>
      <c r="H28" s="57">
        <f>G28*F28</f>
        <v>2995.4455080994053</v>
      </c>
      <c r="I28" s="94">
        <f>(F28-C28)*G28</f>
        <v>312.58061169991834</v>
      </c>
      <c r="J28" s="50">
        <f>H28-E28</f>
        <v>-4590.002616900596</v>
      </c>
      <c r="K28" s="108">
        <f t="shared" si="0"/>
        <v>-4590.002616900596</v>
      </c>
      <c r="L28" s="109">
        <f t="shared" si="5"/>
        <v>-0.60510632216611404</v>
      </c>
    </row>
    <row r="29" spans="1:12" ht="25.5" x14ac:dyDescent="0.2">
      <c r="A29" s="125" t="s">
        <v>33</v>
      </c>
      <c r="B29" s="118"/>
      <c r="C29" s="83">
        <v>2.2728000000000002</v>
      </c>
      <c r="D29" s="15">
        <f>IF($B7&gt;0, $B7, $B6)</f>
        <v>2368.75</v>
      </c>
      <c r="E29" s="82">
        <f>D29*C29</f>
        <v>5383.6950000000006</v>
      </c>
      <c r="F29" s="64">
        <v>2.3759999999999999</v>
      </c>
      <c r="G29" s="16">
        <f>IF($C7&gt;0, $C7, $C6*$C10)</f>
        <v>837.79311632248289</v>
      </c>
      <c r="H29" s="57">
        <f>G29*F29</f>
        <v>1990.5964443822193</v>
      </c>
      <c r="I29" s="94">
        <f>(F29-C29)*G29</f>
        <v>86.460249604480012</v>
      </c>
      <c r="J29" s="50">
        <f>H29-E29</f>
        <v>-3393.0985556177811</v>
      </c>
      <c r="K29" s="108">
        <f t="shared" si="0"/>
        <v>-3393.0985556177811</v>
      </c>
      <c r="L29" s="109">
        <f t="shared" si="5"/>
        <v>-0.63025460313368065</v>
      </c>
    </row>
    <row r="30" spans="1:12" ht="25.5" x14ac:dyDescent="0.2">
      <c r="A30" s="122" t="s">
        <v>34</v>
      </c>
      <c r="B30" s="120"/>
      <c r="C30" s="85"/>
      <c r="D30" s="21"/>
      <c r="E30" s="63">
        <f>SUM(E27:E29)</f>
        <v>40629.898125000007</v>
      </c>
      <c r="F30" s="62">
        <v>0</v>
      </c>
      <c r="G30" s="14"/>
      <c r="H30" s="63">
        <f>SUM(H27:H29)</f>
        <v>53425.361756005128</v>
      </c>
      <c r="I30" s="95">
        <f>SUM(I27:I29)</f>
        <v>34822.659070521535</v>
      </c>
      <c r="J30" s="51">
        <f>SUM(J27:J29)</f>
        <v>-21628.15457821199</v>
      </c>
      <c r="K30" s="112">
        <f>SUM(K27:K29)</f>
        <v>12795.463631005121</v>
      </c>
      <c r="L30" s="111">
        <f t="shared" si="5"/>
        <v>0.31492728806848613</v>
      </c>
    </row>
    <row r="31" spans="1:12" x14ac:dyDescent="0.2">
      <c r="A31" s="126" t="s">
        <v>35</v>
      </c>
      <c r="B31" s="118"/>
      <c r="C31" s="83">
        <v>3.4000000000000002E-3</v>
      </c>
      <c r="D31" s="15">
        <f>B6*B9</f>
        <v>870625.125</v>
      </c>
      <c r="E31" s="86">
        <f>D31*C31</f>
        <v>2960.1254250000002</v>
      </c>
      <c r="F31" s="58">
        <v>3.4000000000000002E-3</v>
      </c>
      <c r="G31" s="16">
        <f>C6*C10</f>
        <v>295697.44180553028</v>
      </c>
      <c r="H31" s="57">
        <f>G31*F31</f>
        <v>1005.371302138803</v>
      </c>
      <c r="I31" s="94">
        <f>(F31-C31)*G31</f>
        <v>0</v>
      </c>
      <c r="J31" s="50">
        <f>H31-E31</f>
        <v>-1954.7541228611972</v>
      </c>
      <c r="K31" s="108">
        <f>H31-E31</f>
        <v>-1954.7541228611972</v>
      </c>
      <c r="L31" s="109">
        <f t="shared" si="5"/>
        <v>-0.66036192465094512</v>
      </c>
    </row>
    <row r="32" spans="1:12" x14ac:dyDescent="0.2">
      <c r="A32" s="126" t="s">
        <v>36</v>
      </c>
      <c r="B32" s="118"/>
      <c r="C32" s="83">
        <v>5.0000000000000001E-4</v>
      </c>
      <c r="D32" s="15">
        <f>B6*B9</f>
        <v>870625.125</v>
      </c>
      <c r="E32" s="86">
        <f>D32*C32</f>
        <v>435.31256250000001</v>
      </c>
      <c r="F32" s="58">
        <v>5.0000000000000001E-4</v>
      </c>
      <c r="G32" s="16">
        <f>C6*C10</f>
        <v>295697.44180553028</v>
      </c>
      <c r="H32" s="57">
        <f>G32*F32</f>
        <v>147.84872090276514</v>
      </c>
      <c r="I32" s="94">
        <f>(F32-C32)*G32</f>
        <v>0</v>
      </c>
      <c r="J32" s="50">
        <f>H32-E32</f>
        <v>-287.46384159723488</v>
      </c>
      <c r="K32" s="108">
        <f>H32-E32</f>
        <v>-287.46384159723488</v>
      </c>
      <c r="L32" s="109">
        <f t="shared" si="5"/>
        <v>-0.66036192465094523</v>
      </c>
    </row>
    <row r="33" spans="1:12" x14ac:dyDescent="0.2">
      <c r="A33" s="127" t="s">
        <v>37</v>
      </c>
      <c r="B33" s="118"/>
      <c r="C33" s="87">
        <v>0.25</v>
      </c>
      <c r="D33" s="10">
        <f>+D15</f>
        <v>14152</v>
      </c>
      <c r="E33" s="86">
        <f>D33*C33</f>
        <v>3538</v>
      </c>
      <c r="F33" s="61">
        <v>0.25</v>
      </c>
      <c r="G33" s="11">
        <f>G15</f>
        <v>14152</v>
      </c>
      <c r="H33" s="57">
        <f>G33*F33</f>
        <v>3538</v>
      </c>
      <c r="I33" s="94">
        <f>(F33-C33)*G33</f>
        <v>0</v>
      </c>
      <c r="J33" s="50">
        <f>H33-E33</f>
        <v>0</v>
      </c>
      <c r="K33" s="108">
        <f>H33-E33</f>
        <v>0</v>
      </c>
      <c r="L33" s="109">
        <f t="shared" si="5"/>
        <v>0</v>
      </c>
    </row>
    <row r="34" spans="1:12" ht="13.5" thickBot="1" x14ac:dyDescent="0.25">
      <c r="A34" s="127" t="s">
        <v>38</v>
      </c>
      <c r="B34" s="118"/>
      <c r="C34" s="88">
        <v>9.6699999999999994E-2</v>
      </c>
      <c r="D34" s="24">
        <f>IF(AND(B6*12&gt;=150000),B6*B9,B6)</f>
        <v>870625.125</v>
      </c>
      <c r="E34" s="86">
        <f>D34*C34</f>
        <v>84189.449587499999</v>
      </c>
      <c r="F34" s="65">
        <v>9.6699999999999994E-2</v>
      </c>
      <c r="G34" s="25">
        <f>IF(AND(C6*12&gt;=150000),C6*C10,C6)</f>
        <v>295697.44180553028</v>
      </c>
      <c r="H34" s="57">
        <f>G34*F34</f>
        <v>28593.942622594775</v>
      </c>
      <c r="I34" s="94">
        <f>(F34-C34)*G34</f>
        <v>0</v>
      </c>
      <c r="J34" s="50">
        <f>H34-E34</f>
        <v>-55595.506964905224</v>
      </c>
      <c r="K34" s="108">
        <f>H34-E34</f>
        <v>-55595.506964905224</v>
      </c>
      <c r="L34" s="109">
        <f t="shared" si="5"/>
        <v>-0.66036192465094523</v>
      </c>
    </row>
    <row r="35" spans="1:12" ht="13.5" thickBot="1" x14ac:dyDescent="0.25">
      <c r="A35" s="26"/>
      <c r="B35" s="128"/>
      <c r="C35" s="66"/>
      <c r="D35" s="27"/>
      <c r="E35" s="67"/>
      <c r="F35" s="66"/>
      <c r="G35" s="28"/>
      <c r="H35" s="67"/>
      <c r="I35" s="96">
        <f>SUM(I31:I34)</f>
        <v>0</v>
      </c>
      <c r="J35" s="52">
        <f>SUM(J31:J34)</f>
        <v>-57837.724929363656</v>
      </c>
      <c r="K35" s="113">
        <f>SUM(K31:K34)</f>
        <v>-57837.724929363656</v>
      </c>
      <c r="L35" s="29"/>
    </row>
    <row r="36" spans="1:12" hidden="1" x14ac:dyDescent="0.2">
      <c r="A36" s="129" t="s">
        <v>39</v>
      </c>
      <c r="B36" s="130"/>
      <c r="C36" s="75" t="e">
        <f>+#REF!</f>
        <v>#REF!</v>
      </c>
      <c r="D36" s="89"/>
      <c r="E36" s="69">
        <f>SUM(E31:E33,E30)</f>
        <v>47563.336112500008</v>
      </c>
      <c r="F36" s="68"/>
      <c r="G36" s="32"/>
      <c r="H36" s="69">
        <f>SUM(H31:H33,H30)</f>
        <v>58116.581779046697</v>
      </c>
      <c r="I36" s="97" t="e">
        <f>#REF!-D36</f>
        <v>#REF!</v>
      </c>
      <c r="J36" s="33" t="e">
        <f>F36-#REF!</f>
        <v>#REF!</v>
      </c>
      <c r="K36" s="97" t="e">
        <f>F36-#REF!</f>
        <v>#REF!</v>
      </c>
      <c r="L36" s="98" t="e">
        <f>IF((#REF!)=0,"",(K36/#REF!))</f>
        <v>#REF!</v>
      </c>
    </row>
    <row r="37" spans="1:12" hidden="1" x14ac:dyDescent="0.2">
      <c r="A37" s="131" t="s">
        <v>40</v>
      </c>
      <c r="B37" s="130"/>
      <c r="C37" s="75" t="e">
        <f>+#REF!</f>
        <v>#REF!</v>
      </c>
      <c r="D37" s="90"/>
      <c r="E37" s="71" t="e">
        <f>E36*C37</f>
        <v>#REF!</v>
      </c>
      <c r="F37" s="70">
        <v>0.13</v>
      </c>
      <c r="G37" s="10"/>
      <c r="H37" s="71">
        <f>H36*F37</f>
        <v>7555.1556312760713</v>
      </c>
      <c r="I37" s="99" t="e">
        <f>#REF!-D37</f>
        <v>#REF!</v>
      </c>
      <c r="J37" s="12" t="e">
        <f>F37-#REF!</f>
        <v>#REF!</v>
      </c>
      <c r="K37" s="99" t="e">
        <f>F37-#REF!</f>
        <v>#REF!</v>
      </c>
      <c r="L37" s="100" t="e">
        <f>IF((#REF!)=0,"",(K37/#REF!))</f>
        <v>#REF!</v>
      </c>
    </row>
    <row r="38" spans="1:12" ht="15" hidden="1" x14ac:dyDescent="0.25">
      <c r="A38" s="131" t="s">
        <v>41</v>
      </c>
      <c r="B38" s="132"/>
      <c r="C38" s="72" t="e">
        <f>+#REF!</f>
        <v>#REF!</v>
      </c>
      <c r="D38" s="90"/>
      <c r="E38" s="71" t="e">
        <f>IF(OR(ISNUMBER( SEARCH("[DGEN]",#REF!))=TRUE, ISNUMBER( SEARCH("STREET LIGHT",#REF!))=TRUE), 0, IF(AND(#REF!=0,#REF!= 0),0, IF(AND(#REF!=0,#REF!* 12&gt;250000), 0, IF(AND(#REF!=0,#REF!&gt;= 50), 0, IF(#REF!*12&lt;=250000, C38*E36*-1, IF(#REF!&lt;50, C38*E36*-1, 0))))))</f>
        <v>#REF!</v>
      </c>
      <c r="F38" s="72">
        <v>0.189</v>
      </c>
      <c r="G38" s="10"/>
      <c r="H38" s="71">
        <f>IF(OR(ISNUMBER(SEARCH("[DGEN]", B3))=TRUE, ISNUMBER(SEARCH("STREET LIGHT", B3))=TRUE), 0, IF(AND(C6=0, C7=0),0, IF(AND(C7=0, C6*12&gt;250000), 0, IF(AND(C6=0, C7&gt;=50), 0, IF(C6*12&lt;=250000, F38*H36*-1, IF(C7&lt;50, F38*H36*-1, 0))))))</f>
        <v>0</v>
      </c>
      <c r="I38" s="99" t="e">
        <f>#REF!-D38</f>
        <v>#REF!</v>
      </c>
      <c r="J38" s="12" t="e">
        <f>F38-#REF!</f>
        <v>#REF!</v>
      </c>
      <c r="K38" s="99" t="e">
        <f>F38-#REF!</f>
        <v>#REF!</v>
      </c>
      <c r="L38" s="100"/>
    </row>
    <row r="39" spans="1:12" hidden="1" x14ac:dyDescent="0.2">
      <c r="A39" s="175" t="s">
        <v>42</v>
      </c>
      <c r="B39" s="176"/>
      <c r="C39" s="91" t="e">
        <f>+#REF!</f>
        <v>#REF!</v>
      </c>
      <c r="D39" s="35"/>
      <c r="E39" s="77" t="e">
        <f>E36+E37+E38</f>
        <v>#REF!</v>
      </c>
      <c r="F39" s="73"/>
      <c r="G39" s="36"/>
      <c r="H39" s="74">
        <f>H36+H37+H38</f>
        <v>65671.737410322763</v>
      </c>
      <c r="I39" s="101" t="e">
        <f>#REF!-D39</f>
        <v>#REF!</v>
      </c>
      <c r="J39" s="37" t="e">
        <f>F39-#REF!</f>
        <v>#REF!</v>
      </c>
      <c r="K39" s="101" t="e">
        <f>F39-#REF!</f>
        <v>#REF!</v>
      </c>
      <c r="L39" s="102" t="e">
        <f>IF((#REF!)=0,"",(K39/#REF!))</f>
        <v>#REF!</v>
      </c>
    </row>
    <row r="40" spans="1:12" ht="13.5" hidden="1" thickBot="1" x14ac:dyDescent="0.25">
      <c r="A40" s="26"/>
      <c r="B40" s="128"/>
      <c r="C40" s="66" t="e">
        <f>+#REF!</f>
        <v>#REF!</v>
      </c>
      <c r="D40" s="27"/>
      <c r="E40" s="67"/>
      <c r="F40" s="66"/>
      <c r="G40" s="28"/>
      <c r="H40" s="67"/>
      <c r="I40" s="103"/>
      <c r="J40" s="30"/>
      <c r="K40" s="103"/>
      <c r="L40" s="31"/>
    </row>
    <row r="41" spans="1:12" hidden="1" x14ac:dyDescent="0.2">
      <c r="A41" s="129" t="s">
        <v>43</v>
      </c>
      <c r="B41" s="130"/>
      <c r="C41" s="75" t="e">
        <f>+#REF!</f>
        <v>#REF!</v>
      </c>
      <c r="D41" s="89"/>
      <c r="E41" s="69" t="e">
        <f>SUM(#REF!,E31:E33,E30)</f>
        <v>#REF!</v>
      </c>
      <c r="F41" s="68"/>
      <c r="G41" s="32"/>
      <c r="H41" s="69" t="e">
        <f>SUM(#REF!,H31:H33,H30)</f>
        <v>#REF!</v>
      </c>
      <c r="I41" s="97" t="e">
        <f>#REF!-D41</f>
        <v>#REF!</v>
      </c>
      <c r="J41" s="33" t="e">
        <f>F41-#REF!</f>
        <v>#REF!</v>
      </c>
      <c r="K41" s="97" t="e">
        <f>F41-#REF!</f>
        <v>#REF!</v>
      </c>
      <c r="L41" s="98" t="e">
        <f>IF((#REF!)=0,"",(K41/#REF!))</f>
        <v>#REF!</v>
      </c>
    </row>
    <row r="42" spans="1:12" hidden="1" x14ac:dyDescent="0.2">
      <c r="A42" s="131" t="s">
        <v>40</v>
      </c>
      <c r="B42" s="130"/>
      <c r="C42" s="75" t="e">
        <f>+#REF!</f>
        <v>#REF!</v>
      </c>
      <c r="D42" s="89"/>
      <c r="E42" s="71" t="e">
        <f>E41*C42</f>
        <v>#REF!</v>
      </c>
      <c r="F42" s="75">
        <v>0.13</v>
      </c>
      <c r="G42" s="34"/>
      <c r="H42" s="71" t="e">
        <f>H41*F42</f>
        <v>#REF!</v>
      </c>
      <c r="I42" s="99" t="e">
        <f>#REF!-D42</f>
        <v>#REF!</v>
      </c>
      <c r="J42" s="12" t="e">
        <f>F42-#REF!</f>
        <v>#REF!</v>
      </c>
      <c r="K42" s="99" t="e">
        <f>F42-#REF!</f>
        <v>#REF!</v>
      </c>
      <c r="L42" s="100" t="e">
        <f>IF((#REF!)=0,"",(K42/#REF!))</f>
        <v>#REF!</v>
      </c>
    </row>
    <row r="43" spans="1:12" ht="15" hidden="1" x14ac:dyDescent="0.25">
      <c r="A43" s="131" t="s">
        <v>41</v>
      </c>
      <c r="B43" s="132"/>
      <c r="C43" s="72" t="e">
        <f>+#REF!</f>
        <v>#REF!</v>
      </c>
      <c r="D43" s="89"/>
      <c r="E43" s="71" t="e">
        <f>IF(OR(ISNUMBER( SEARCH("[DGEN]",#REF!))=TRUE, ISNUMBER( SEARCH("STREET LIGHT",#REF!))=TRUE), 0, IF(AND(#REF!=0,#REF!= 0),0, IF(AND(#REF!=0,#REF!* 12&gt;250000), 0, IF(AND(#REF!=0,#REF!&gt;= 50), 0, IF(#REF!*12&lt;=250000, C43*E41*-1, IF(#REF!&lt;50, C43*E41*-1, 0))))))</f>
        <v>#REF!</v>
      </c>
      <c r="F43" s="72">
        <v>0.189</v>
      </c>
      <c r="G43" s="34"/>
      <c r="H43" s="71">
        <f>IF(OR(ISNUMBER(SEARCH("[DGEN]", B3))=TRUE, ISNUMBER(SEARCH("STREET LIGHT", B3))=TRUE), 0, IF(AND(C6=0, C7=0),0, IF(AND(C7=0, C6*12&gt;250000), 0, IF(AND(C6=0, C7&gt;=50), 0, IF(C6*12&lt;=250000, F43*H41*-1, IF(C7&lt;50, F43*H41*-1, 0))))))</f>
        <v>0</v>
      </c>
      <c r="I43" s="99"/>
      <c r="J43" s="12"/>
      <c r="K43" s="99"/>
      <c r="L43" s="100"/>
    </row>
    <row r="44" spans="1:12" hidden="1" x14ac:dyDescent="0.2">
      <c r="A44" s="175" t="s">
        <v>43</v>
      </c>
      <c r="B44" s="176"/>
      <c r="C44" s="92" t="e">
        <f>+#REF!</f>
        <v>#REF!</v>
      </c>
      <c r="D44" s="93"/>
      <c r="E44" s="77" t="e">
        <f>SUM(E41,E42)</f>
        <v>#REF!</v>
      </c>
      <c r="F44" s="76"/>
      <c r="G44" s="38"/>
      <c r="H44" s="77" t="e">
        <f>SUM(H41,H42)</f>
        <v>#REF!</v>
      </c>
      <c r="I44" s="104" t="e">
        <f>#REF!-D44</f>
        <v>#REF!</v>
      </c>
      <c r="J44" s="39" t="e">
        <f>F44-#REF!</f>
        <v>#REF!</v>
      </c>
      <c r="K44" s="104" t="e">
        <f>F44-#REF!</f>
        <v>#REF!</v>
      </c>
      <c r="L44" s="105" t="e">
        <f>IF((#REF!)=0,"",(K44/#REF!))</f>
        <v>#REF!</v>
      </c>
    </row>
    <row r="45" spans="1:12" ht="13.5" hidden="1" thickBot="1" x14ac:dyDescent="0.25">
      <c r="A45" s="26"/>
      <c r="B45" s="128"/>
      <c r="C45" s="66" t="e">
        <f>+#REF!</f>
        <v>#REF!</v>
      </c>
      <c r="D45" s="40"/>
      <c r="E45" s="78"/>
      <c r="F45" s="66"/>
      <c r="G45" s="27"/>
      <c r="H45" s="78"/>
      <c r="I45" s="103"/>
      <c r="J45" s="41"/>
      <c r="K45" s="103"/>
      <c r="L45" s="31"/>
    </row>
    <row r="46" spans="1:12" x14ac:dyDescent="0.2">
      <c r="A46" s="129" t="s">
        <v>44</v>
      </c>
      <c r="B46" s="130"/>
      <c r="C46" s="75"/>
      <c r="D46" s="89"/>
      <c r="E46" s="69">
        <f>SUM(E34,E31:E33,E30)</f>
        <v>131752.78570000001</v>
      </c>
      <c r="F46" s="68"/>
      <c r="G46" s="32"/>
      <c r="H46" s="69">
        <f>SUM(H34,H31:H33,H30)</f>
        <v>86710.52440164148</v>
      </c>
      <c r="I46" s="106">
        <f>SUM(I34,I31:I33,I30)</f>
        <v>34822.659070521535</v>
      </c>
      <c r="J46" s="33">
        <f>SUM(J34,J31:J33,J30)</f>
        <v>-79465.87950757565</v>
      </c>
      <c r="K46" s="97">
        <f>SUM(K34,K31:K33,K30)</f>
        <v>-45042.261298358535</v>
      </c>
      <c r="L46" s="98">
        <f>IF(ISERROR(K46/E46), "", K46/E46)</f>
        <v>-0.34186951766560281</v>
      </c>
    </row>
    <row r="47" spans="1:12" x14ac:dyDescent="0.2">
      <c r="A47" s="131" t="s">
        <v>40</v>
      </c>
      <c r="B47" s="130"/>
      <c r="C47" s="75">
        <v>0.13</v>
      </c>
      <c r="D47" s="89"/>
      <c r="E47" s="71">
        <f>E46*C47</f>
        <v>17127.862141000001</v>
      </c>
      <c r="F47" s="75">
        <v>0.13</v>
      </c>
      <c r="G47" s="34"/>
      <c r="H47" s="71">
        <f>H46*F47</f>
        <v>11272.368172213393</v>
      </c>
      <c r="I47" s="99">
        <f>F47-C47</f>
        <v>0</v>
      </c>
      <c r="J47" s="12">
        <f>H47-E47</f>
        <v>-5855.4939687866081</v>
      </c>
      <c r="K47" s="99">
        <f>H47-E47</f>
        <v>-5855.4939687866081</v>
      </c>
      <c r="L47" s="107"/>
    </row>
    <row r="48" spans="1:12" ht="15" x14ac:dyDescent="0.25">
      <c r="A48" s="131" t="s">
        <v>41</v>
      </c>
      <c r="B48" s="132"/>
      <c r="C48" s="72">
        <v>0.17</v>
      </c>
      <c r="D48" s="89"/>
      <c r="E48" s="71" t="e">
        <f>IF(OR(ISNUMBER( SEARCH("[DGEN]",#REF!))=TRUE, ISNUMBER( SEARCH("STREET LIGHT",#REF!))=TRUE), 0, IF(AND(#REF!=0,#REF!= 0),0, IF(AND(#REF!=0,#REF!* 12&gt;250000), 0, IF(AND(#REF!=0,#REF!&gt;= 50), 0, IF(#REF!*12&lt;=250000, C48*E46*-1, IF(#REF!&lt;50, C48*E46*-1, 0))))))</f>
        <v>#REF!</v>
      </c>
      <c r="F48" s="72">
        <v>0.17</v>
      </c>
      <c r="G48" s="34"/>
      <c r="H48" s="71">
        <f>IF(OR(ISNUMBER(SEARCH("[DGEN]", B3))=TRUE, ISNUMBER(SEARCH("STREET LIGHT", B3))=TRUE), 0, IF(AND(C6=0, C7=0),0, IF(AND(C7=0, C6*12&gt;250000), 0, IF(AND(C6=0, C7&gt;=50), 0, IF(C6*12&lt;=250000, F48*H46*-1, IF(C7&lt;50, F48*H46*-1, 0))))))</f>
        <v>0</v>
      </c>
      <c r="I48" s="99"/>
      <c r="J48" s="12"/>
      <c r="K48" s="99"/>
      <c r="L48" s="100"/>
    </row>
    <row r="49" spans="1:12" ht="13.5" thickBot="1" x14ac:dyDescent="0.25">
      <c r="A49" s="175" t="s">
        <v>44</v>
      </c>
      <c r="B49" s="176"/>
      <c r="C49" s="92"/>
      <c r="D49" s="93"/>
      <c r="E49" s="77">
        <f>SUM(E46,E47)</f>
        <v>148880.647841</v>
      </c>
      <c r="F49" s="76"/>
      <c r="G49" s="38"/>
      <c r="H49" s="77">
        <f>SUM(H46,H47)</f>
        <v>97982.892573854871</v>
      </c>
      <c r="I49" s="104">
        <f>SUM(I46,I47)</f>
        <v>34822.659070521535</v>
      </c>
      <c r="J49" s="39">
        <f>SUM(J46,J47)</f>
        <v>-85321.373476362263</v>
      </c>
      <c r="K49" s="104">
        <f>SUM(K46,K47)</f>
        <v>-50897.755267145141</v>
      </c>
      <c r="L49" s="105">
        <f>IF(ISERROR(K49/E49), "", K49/E49)</f>
        <v>-0.34186951766560281</v>
      </c>
    </row>
    <row r="50" spans="1:12" ht="13.5" thickBot="1" x14ac:dyDescent="0.25">
      <c r="A50" s="26"/>
      <c r="B50" s="128"/>
      <c r="C50" s="79"/>
      <c r="D50" s="40"/>
      <c r="E50" s="80"/>
      <c r="F50" s="79"/>
      <c r="G50" s="27"/>
      <c r="H50" s="80"/>
      <c r="I50" s="103"/>
      <c r="J50" s="41"/>
      <c r="K50" s="103"/>
      <c r="L50" s="42"/>
    </row>
  </sheetData>
  <mergeCells count="13">
    <mergeCell ref="B3:E3"/>
    <mergeCell ref="B4:D4"/>
    <mergeCell ref="C12:E12"/>
    <mergeCell ref="F12:H12"/>
    <mergeCell ref="A39:B39"/>
    <mergeCell ref="A44:B44"/>
    <mergeCell ref="A49:B49"/>
    <mergeCell ref="K12:L12"/>
    <mergeCell ref="B13:B14"/>
    <mergeCell ref="I13:I14"/>
    <mergeCell ref="J13:J14"/>
    <mergeCell ref="K13:K14"/>
    <mergeCell ref="L13:L14"/>
  </mergeCells>
  <dataValidations count="1">
    <dataValidation type="list" allowBlank="1" showInputMessage="1" showErrorMessage="1" prompt="Select Charge Unit - monthly, per kWh, per kW" sqref="B45 B50 B35 B40" xr:uid="{243E060D-9B8B-435E-B9EF-C10E858A1726}">
      <formula1>"Monthly, per kWh, per kW"</formula1>
    </dataValidation>
  </dataValidations>
  <pageMargins left="0.7" right="0.7" top="0.75" bottom="0.75" header="0.3" footer="0.3"/>
  <pageSetup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E14C-0E20-4A6D-A10B-E09994A5FFAB}">
  <sheetPr>
    <pageSetUpPr fitToPage="1"/>
  </sheetPr>
  <dimension ref="A3:N50"/>
  <sheetViews>
    <sheetView showGridLines="0" zoomScale="80" zoomScaleNormal="80" workbookViewId="0">
      <selection activeCell="D79" sqref="D79"/>
    </sheetView>
  </sheetViews>
  <sheetFormatPr defaultColWidth="9.28515625" defaultRowHeight="12.75" x14ac:dyDescent="0.2"/>
  <cols>
    <col min="1" max="1" width="39.28515625" style="1" customWidth="1"/>
    <col min="2" max="2" width="13.28515625" style="1" customWidth="1"/>
    <col min="3" max="3" width="26.7109375" style="1" customWidth="1"/>
    <col min="4" max="4" width="16.7109375" style="1" bestFit="1" customWidth="1"/>
    <col min="5" max="5" width="18.28515625" style="1" customWidth="1"/>
    <col min="6" max="6" width="13.5703125" style="1" bestFit="1" customWidth="1"/>
    <col min="7" max="7" width="15.7109375" style="1" customWidth="1"/>
    <col min="8" max="8" width="13.5703125" style="1" customWidth="1"/>
    <col min="9" max="11" width="17.85546875" style="1" customWidth="1"/>
    <col min="12" max="12" width="10.85546875" style="1" bestFit="1" customWidth="1"/>
    <col min="13" max="13" width="9.28515625" style="1"/>
    <col min="14" max="14" width="9.28515625" style="1" hidden="1" customWidth="1"/>
    <col min="15" max="16384" width="9.28515625" style="1"/>
  </cols>
  <sheetData>
    <row r="3" spans="1:14" x14ac:dyDescent="0.2">
      <c r="A3" s="2" t="s">
        <v>0</v>
      </c>
      <c r="B3" s="170" t="s">
        <v>69</v>
      </c>
      <c r="C3" s="170"/>
      <c r="D3" s="170"/>
      <c r="E3" s="170"/>
      <c r="N3" s="1" t="s">
        <v>1</v>
      </c>
    </row>
    <row r="4" spans="1:14" x14ac:dyDescent="0.2">
      <c r="A4" s="2" t="s">
        <v>2</v>
      </c>
      <c r="B4" s="171" t="s">
        <v>3</v>
      </c>
      <c r="C4" s="171"/>
      <c r="D4" s="171"/>
      <c r="E4" s="43"/>
      <c r="F4" s="44"/>
      <c r="G4" s="44"/>
      <c r="H4" s="44"/>
      <c r="I4" s="44"/>
      <c r="J4" s="44"/>
    </row>
    <row r="5" spans="1:14" ht="36" customHeight="1" x14ac:dyDescent="0.2">
      <c r="A5" s="2"/>
      <c r="B5" s="143" t="s">
        <v>62</v>
      </c>
      <c r="C5" s="143" t="s">
        <v>56</v>
      </c>
      <c r="E5" s="45"/>
      <c r="F5" s="44"/>
      <c r="G5" s="44"/>
      <c r="H5" s="44"/>
      <c r="I5" s="44"/>
      <c r="J5" s="44"/>
    </row>
    <row r="6" spans="1:14" ht="15.75" x14ac:dyDescent="0.2">
      <c r="A6" s="2" t="s">
        <v>4</v>
      </c>
      <c r="B6" s="152">
        <f>'RRR Data'!D23</f>
        <v>2599472.6917333086</v>
      </c>
      <c r="C6" s="152">
        <f>'RRR Data'!G23</f>
        <v>1417004.6058105815</v>
      </c>
      <c r="D6" s="46" t="s">
        <v>5</v>
      </c>
      <c r="F6" s="139"/>
      <c r="G6" s="139"/>
      <c r="H6" s="139"/>
      <c r="I6" s="44"/>
      <c r="J6" s="44"/>
    </row>
    <row r="7" spans="1:14" x14ac:dyDescent="0.2">
      <c r="A7" s="2" t="s">
        <v>6</v>
      </c>
      <c r="B7" s="152">
        <f>'RRR Data'!C23</f>
        <v>7278.666666666667</v>
      </c>
      <c r="C7" s="152">
        <f>'RRR Data'!F23</f>
        <v>4024.3738017903415</v>
      </c>
      <c r="D7" s="48" t="s">
        <v>7</v>
      </c>
      <c r="F7" s="49"/>
      <c r="G7" s="44"/>
      <c r="H7" s="44"/>
      <c r="I7" s="44"/>
      <c r="J7" s="44"/>
    </row>
    <row r="8" spans="1:14" x14ac:dyDescent="0.2">
      <c r="A8" s="2" t="s">
        <v>54</v>
      </c>
      <c r="B8" s="152">
        <f>'RRR Data'!E23</f>
        <v>53035</v>
      </c>
      <c r="C8" s="152">
        <f>'RRR Data'!H23</f>
        <v>53035</v>
      </c>
      <c r="D8" s="48"/>
      <c r="F8" s="49"/>
      <c r="G8" s="44"/>
      <c r="H8" s="44"/>
      <c r="I8" s="44"/>
      <c r="J8" s="44"/>
    </row>
    <row r="9" spans="1:14" x14ac:dyDescent="0.2">
      <c r="A9" s="2" t="s">
        <v>8</v>
      </c>
      <c r="B9" s="5">
        <v>1.0379</v>
      </c>
      <c r="C9" s="5">
        <v>1.0379</v>
      </c>
    </row>
    <row r="10" spans="1:14" x14ac:dyDescent="0.2">
      <c r="A10" s="2" t="s">
        <v>9</v>
      </c>
      <c r="B10" s="5">
        <v>1.0379</v>
      </c>
      <c r="C10" s="5">
        <v>1.0379</v>
      </c>
    </row>
    <row r="11" spans="1:14" ht="13.5" thickBot="1" x14ac:dyDescent="0.25"/>
    <row r="12" spans="1:14" x14ac:dyDescent="0.2">
      <c r="A12" s="114"/>
      <c r="B12" s="115"/>
      <c r="C12" s="172" t="s">
        <v>60</v>
      </c>
      <c r="D12" s="173"/>
      <c r="E12" s="174"/>
      <c r="F12" s="172" t="s">
        <v>55</v>
      </c>
      <c r="G12" s="173"/>
      <c r="H12" s="174"/>
      <c r="I12" s="161" t="s">
        <v>10</v>
      </c>
      <c r="J12" s="162" t="s">
        <v>11</v>
      </c>
      <c r="K12" s="177" t="s">
        <v>12</v>
      </c>
      <c r="L12" s="178"/>
    </row>
    <row r="13" spans="1:14" x14ac:dyDescent="0.2">
      <c r="A13" s="116"/>
      <c r="B13" s="179"/>
      <c r="C13" s="53" t="s">
        <v>14</v>
      </c>
      <c r="D13" s="6" t="s">
        <v>15</v>
      </c>
      <c r="E13" s="54" t="s">
        <v>16</v>
      </c>
      <c r="F13" s="53" t="s">
        <v>14</v>
      </c>
      <c r="G13" s="7" t="s">
        <v>15</v>
      </c>
      <c r="H13" s="54" t="s">
        <v>16</v>
      </c>
      <c r="I13" s="181" t="s">
        <v>17</v>
      </c>
      <c r="J13" s="183" t="s">
        <v>17</v>
      </c>
      <c r="K13" s="185" t="s">
        <v>17</v>
      </c>
      <c r="L13" s="187" t="s">
        <v>18</v>
      </c>
    </row>
    <row r="14" spans="1:14" x14ac:dyDescent="0.2">
      <c r="A14" s="116"/>
      <c r="B14" s="180"/>
      <c r="C14" s="55" t="s">
        <v>19</v>
      </c>
      <c r="D14" s="8"/>
      <c r="E14" s="56" t="s">
        <v>19</v>
      </c>
      <c r="F14" s="55" t="s">
        <v>19</v>
      </c>
      <c r="G14" s="9"/>
      <c r="H14" s="56" t="s">
        <v>19</v>
      </c>
      <c r="I14" s="182"/>
      <c r="J14" s="184"/>
      <c r="K14" s="186"/>
      <c r="L14" s="188"/>
    </row>
    <row r="15" spans="1:14" x14ac:dyDescent="0.2">
      <c r="A15" s="117" t="s">
        <v>20</v>
      </c>
      <c r="B15" s="118"/>
      <c r="C15" s="81">
        <v>2.08</v>
      </c>
      <c r="D15" s="147">
        <f>B8</f>
        <v>53035</v>
      </c>
      <c r="E15" s="82">
        <f>D15*C15</f>
        <v>110312.8</v>
      </c>
      <c r="F15" s="135">
        <v>2.14</v>
      </c>
      <c r="G15" s="11">
        <f>C8</f>
        <v>53035</v>
      </c>
      <c r="H15" s="57">
        <f>G15*F15</f>
        <v>113494.90000000001</v>
      </c>
      <c r="I15" s="94">
        <f>(F15-C15)*G15</f>
        <v>3182.1000000000026</v>
      </c>
      <c r="J15" s="50">
        <f>(G15-D15)*C15</f>
        <v>0</v>
      </c>
      <c r="K15" s="108">
        <f t="shared" ref="K15:K29" si="0">H15-E15</f>
        <v>3182.1000000000058</v>
      </c>
      <c r="L15" s="109">
        <f>IF(ISERROR(K15/E15), "", K15/E15)</f>
        <v>2.88461538461539E-2</v>
      </c>
    </row>
    <row r="16" spans="1:14" x14ac:dyDescent="0.2">
      <c r="A16" s="117" t="s">
        <v>21</v>
      </c>
      <c r="B16" s="118"/>
      <c r="C16" s="83">
        <v>5.5240999999999998</v>
      </c>
      <c r="D16" s="134">
        <f>IF($B7&gt;0, $B7, $B6)</f>
        <v>7278.666666666667</v>
      </c>
      <c r="E16" s="82">
        <f>D16*C16</f>
        <v>40208.082533333334</v>
      </c>
      <c r="F16" s="58">
        <v>5.6898</v>
      </c>
      <c r="G16" s="133">
        <f>IF($C7&gt;0, $C7, $C6)</f>
        <v>4024.3738017903415</v>
      </c>
      <c r="H16" s="57">
        <f>G16*F16</f>
        <v>22897.882057426687</v>
      </c>
      <c r="I16" s="94">
        <f>(F16-C16)*G16</f>
        <v>666.83873895666034</v>
      </c>
      <c r="J16" s="50">
        <f>(G16-D16)*C16</f>
        <v>-17977.039214863307</v>
      </c>
      <c r="K16" s="108">
        <f t="shared" si="0"/>
        <v>-17310.200475906648</v>
      </c>
      <c r="L16" s="109">
        <f>IF(ISERROR(K16/E16), "", K16/E16)</f>
        <v>-0.43051544329566405</v>
      </c>
    </row>
    <row r="17" spans="1:12" x14ac:dyDescent="0.2">
      <c r="A17" s="117" t="s">
        <v>22</v>
      </c>
      <c r="B17" s="118"/>
      <c r="C17" s="81"/>
      <c r="D17" s="134">
        <f>+D15</f>
        <v>53035</v>
      </c>
      <c r="E17" s="82">
        <f>D17*C17</f>
        <v>0</v>
      </c>
      <c r="F17" s="135"/>
      <c r="G17" s="133">
        <f>C8</f>
        <v>53035</v>
      </c>
      <c r="H17" s="57">
        <f>G17*F17</f>
        <v>0</v>
      </c>
      <c r="I17" s="94">
        <f>(F17-C17)*G17</f>
        <v>0</v>
      </c>
      <c r="J17" s="50">
        <f>(G17-D17)*C17</f>
        <v>0</v>
      </c>
      <c r="K17" s="108">
        <f t="shared" si="0"/>
        <v>0</v>
      </c>
      <c r="L17" s="109" t="str">
        <f>IF(ISERROR(K17/E17), "", K17/E17)</f>
        <v/>
      </c>
    </row>
    <row r="18" spans="1:12" x14ac:dyDescent="0.2">
      <c r="A18" s="117" t="s">
        <v>23</v>
      </c>
      <c r="B18" s="118"/>
      <c r="C18" s="83">
        <v>3.8996</v>
      </c>
      <c r="D18" s="134">
        <f>IF($B7&gt;0, $B7, $B6)</f>
        <v>7278.666666666667</v>
      </c>
      <c r="E18" s="82">
        <f>D18*C18</f>
        <v>28383.888533333335</v>
      </c>
      <c r="F18" s="136">
        <v>8.2719000000000005</v>
      </c>
      <c r="G18" s="133">
        <f>IF($C7&gt;0, $C7, $C6)</f>
        <v>4024.3738017903415</v>
      </c>
      <c r="H18" s="57">
        <f>G18*F18</f>
        <v>33289.217651029525</v>
      </c>
      <c r="I18" s="94">
        <f>(F18-C18)*G18</f>
        <v>17595.769573567915</v>
      </c>
      <c r="J18" s="50">
        <f>(G18-D18)*C18</f>
        <v>-12690.440455871718</v>
      </c>
      <c r="K18" s="108">
        <f t="shared" si="0"/>
        <v>4905.3291176961902</v>
      </c>
      <c r="L18" s="109">
        <f>IF(ISERROR(K18/E18), "", K18/E18)</f>
        <v>0.17282089844509829</v>
      </c>
    </row>
    <row r="19" spans="1:12" x14ac:dyDescent="0.2">
      <c r="A19" s="117" t="s">
        <v>24</v>
      </c>
      <c r="B19" s="118"/>
      <c r="C19" s="83"/>
      <c r="D19" s="134">
        <f>IF($B7&gt;0, $B7, $B6)</f>
        <v>7278.666666666667</v>
      </c>
      <c r="E19" s="82">
        <f>D19*C19</f>
        <v>0</v>
      </c>
      <c r="F19" s="58"/>
      <c r="G19" s="133">
        <f>IF($C7&gt;0, $C7, $C6)</f>
        <v>4024.3738017903415</v>
      </c>
      <c r="H19" s="57">
        <f>G19*F19</f>
        <v>0</v>
      </c>
      <c r="I19" s="94">
        <f>(F19-C19)*G19</f>
        <v>0</v>
      </c>
      <c r="J19" s="50">
        <f>(G19-D19)*C19</f>
        <v>0</v>
      </c>
      <c r="K19" s="108">
        <f t="shared" si="0"/>
        <v>0</v>
      </c>
      <c r="L19" s="109" t="str">
        <f>IF(ISERROR(K19/#REF!), "", K19/#REF!)</f>
        <v/>
      </c>
    </row>
    <row r="20" spans="1:12" x14ac:dyDescent="0.2">
      <c r="A20" s="119" t="s">
        <v>25</v>
      </c>
      <c r="B20" s="120"/>
      <c r="C20" s="84"/>
      <c r="D20" s="13"/>
      <c r="E20" s="60">
        <f>SUM(E15:E19)</f>
        <v>178904.77106666667</v>
      </c>
      <c r="F20" s="59"/>
      <c r="G20" s="14"/>
      <c r="H20" s="60">
        <f>SUM(H15:H19)</f>
        <v>169681.99970845622</v>
      </c>
      <c r="I20" s="95">
        <f>SUM(I15:I19)</f>
        <v>21444.708312524577</v>
      </c>
      <c r="J20" s="51">
        <f>SUM(J15:J19)</f>
        <v>-30667.479670735025</v>
      </c>
      <c r="K20" s="110">
        <f t="shared" si="0"/>
        <v>-9222.7713582104479</v>
      </c>
      <c r="L20" s="111">
        <f>IF(ISERROR(K20/E20), "", K20/E20)</f>
        <v>-5.1551287890325155E-2</v>
      </c>
    </row>
    <row r="21" spans="1:12" x14ac:dyDescent="0.2">
      <c r="A21" s="121" t="s">
        <v>26</v>
      </c>
      <c r="B21" s="118"/>
      <c r="C21" s="83">
        <v>0</v>
      </c>
      <c r="D21" s="15">
        <f>IF(C21=0, 0, $B6*B9-B6)</f>
        <v>0</v>
      </c>
      <c r="E21" s="82">
        <f t="shared" ref="E21:E26" si="1">D21*C21</f>
        <v>0</v>
      </c>
      <c r="F21" s="58">
        <v>0</v>
      </c>
      <c r="G21" s="16">
        <f>IF(F21=0, 0, C6*C10-C6)</f>
        <v>0</v>
      </c>
      <c r="H21" s="57">
        <f t="shared" ref="H21:H26" si="2">G21*F21</f>
        <v>0</v>
      </c>
      <c r="I21" s="94">
        <f t="shared" ref="I21:I26" si="3">(F21-C21)*G21</f>
        <v>0</v>
      </c>
      <c r="J21" s="50">
        <f t="shared" ref="J21:J26" si="4">(G21-D21)*C21</f>
        <v>0</v>
      </c>
      <c r="K21" s="108">
        <f t="shared" si="0"/>
        <v>0</v>
      </c>
      <c r="L21" s="109" t="str">
        <f>IF(ISERROR(K21/#REF!), "", K21/#REF!)</f>
        <v/>
      </c>
    </row>
    <row r="22" spans="1:12" x14ac:dyDescent="0.2">
      <c r="A22" s="121" t="s">
        <v>27</v>
      </c>
      <c r="B22" s="118"/>
      <c r="C22" s="83">
        <v>-0.26119999999999999</v>
      </c>
      <c r="D22" s="17">
        <f>IF($B7&gt;0, $B7, $B6)</f>
        <v>7278.666666666667</v>
      </c>
      <c r="E22" s="82">
        <f t="shared" si="1"/>
        <v>-1901.1877333333334</v>
      </c>
      <c r="F22" s="58">
        <v>1.0605</v>
      </c>
      <c r="G22" s="19">
        <f>IF($C7&gt;0, $C7, $C6)</f>
        <v>4024.3738017903415</v>
      </c>
      <c r="H22" s="57">
        <f t="shared" si="2"/>
        <v>4267.8484167986571</v>
      </c>
      <c r="I22" s="94">
        <f t="shared" si="3"/>
        <v>5319.0148538262938</v>
      </c>
      <c r="J22" s="50">
        <f t="shared" si="4"/>
        <v>850.02129630569618</v>
      </c>
      <c r="K22" s="108">
        <f t="shared" si="0"/>
        <v>6169.0361501319903</v>
      </c>
      <c r="L22" s="109">
        <f t="shared" ref="L22:L34" si="5">IF(ISERROR(K22/E22), "", K22/E22)</f>
        <v>-3.2448327127147412</v>
      </c>
    </row>
    <row r="23" spans="1:12" x14ac:dyDescent="0.2">
      <c r="A23" s="121" t="s">
        <v>28</v>
      </c>
      <c r="B23" s="118"/>
      <c r="C23" s="83">
        <v>0</v>
      </c>
      <c r="D23" s="17">
        <f>IF($B7&gt;0, $B7, $B6)</f>
        <v>7278.666666666667</v>
      </c>
      <c r="E23" s="82">
        <f t="shared" si="1"/>
        <v>0</v>
      </c>
      <c r="F23" s="58">
        <v>-4.8500000000000001E-2</v>
      </c>
      <c r="G23" s="19">
        <f>IF($C7&gt;0, $C7, $C6)</f>
        <v>4024.3738017903415</v>
      </c>
      <c r="H23" s="57">
        <f t="shared" si="2"/>
        <v>-195.18212938683158</v>
      </c>
      <c r="I23" s="94">
        <f t="shared" si="3"/>
        <v>-195.18212938683158</v>
      </c>
      <c r="J23" s="50">
        <f t="shared" si="4"/>
        <v>0</v>
      </c>
      <c r="K23" s="108">
        <f t="shared" si="0"/>
        <v>-195.18212938683158</v>
      </c>
      <c r="L23" s="109" t="str">
        <f t="shared" si="5"/>
        <v/>
      </c>
    </row>
    <row r="24" spans="1:12" x14ac:dyDescent="0.2">
      <c r="A24" s="121" t="s">
        <v>29</v>
      </c>
      <c r="B24" s="118"/>
      <c r="C24" s="83">
        <v>-3.0000000000000001E-3</v>
      </c>
      <c r="D24" s="18">
        <f>B6</f>
        <v>2599472.6917333086</v>
      </c>
      <c r="E24" s="82">
        <f t="shared" si="1"/>
        <v>-7798.4180751999256</v>
      </c>
      <c r="F24" s="58">
        <v>-2.8999999999999998E-3</v>
      </c>
      <c r="G24" s="19">
        <f>C6</f>
        <v>1417004.6058105815</v>
      </c>
      <c r="H24" s="57">
        <f t="shared" si="2"/>
        <v>-4109.3133568506864</v>
      </c>
      <c r="I24" s="94">
        <f t="shared" si="3"/>
        <v>141.70046058105851</v>
      </c>
      <c r="J24" s="50">
        <f t="shared" si="4"/>
        <v>3547.4042577681817</v>
      </c>
      <c r="K24" s="108">
        <f t="shared" si="0"/>
        <v>3689.1047183492392</v>
      </c>
      <c r="L24" s="109">
        <f t="shared" si="5"/>
        <v>-0.47305808470067984</v>
      </c>
    </row>
    <row r="25" spans="1:12" x14ac:dyDescent="0.2">
      <c r="A25" s="117" t="s">
        <v>30</v>
      </c>
      <c r="B25" s="118"/>
      <c r="C25" s="83">
        <v>1.702E-2</v>
      </c>
      <c r="D25" s="17">
        <f>IF($B7&gt;0, $B7, $B6)</f>
        <v>7278.666666666667</v>
      </c>
      <c r="E25" s="82">
        <f t="shared" si="1"/>
        <v>123.88290666666667</v>
      </c>
      <c r="F25" s="58">
        <v>1.702E-2</v>
      </c>
      <c r="G25" s="19">
        <f>IF($C7&gt;0, $C7, $C6)</f>
        <v>4024.3738017903415</v>
      </c>
      <c r="H25" s="57">
        <f t="shared" si="2"/>
        <v>68.494842106471609</v>
      </c>
      <c r="I25" s="94">
        <f t="shared" si="3"/>
        <v>0</v>
      </c>
      <c r="J25" s="50">
        <f t="shared" si="4"/>
        <v>-55.388064560195062</v>
      </c>
      <c r="K25" s="108">
        <f t="shared" si="0"/>
        <v>-55.388064560195062</v>
      </c>
      <c r="L25" s="109">
        <f t="shared" si="5"/>
        <v>-0.44710013714182895</v>
      </c>
    </row>
    <row r="26" spans="1:12" x14ac:dyDescent="0.2">
      <c r="A26" s="121" t="s">
        <v>31</v>
      </c>
      <c r="B26" s="118"/>
      <c r="C26" s="83">
        <v>0</v>
      </c>
      <c r="D26" s="10">
        <f>+D15</f>
        <v>53035</v>
      </c>
      <c r="E26" s="82">
        <f t="shared" si="1"/>
        <v>0</v>
      </c>
      <c r="F26" s="61">
        <v>0</v>
      </c>
      <c r="G26" s="20">
        <f>C8</f>
        <v>53035</v>
      </c>
      <c r="H26" s="57">
        <f t="shared" si="2"/>
        <v>0</v>
      </c>
      <c r="I26" s="94">
        <f t="shared" si="3"/>
        <v>0</v>
      </c>
      <c r="J26" s="50">
        <f t="shared" si="4"/>
        <v>0</v>
      </c>
      <c r="K26" s="108">
        <f t="shared" si="0"/>
        <v>0</v>
      </c>
      <c r="L26" s="109" t="str">
        <f t="shared" si="5"/>
        <v/>
      </c>
    </row>
    <row r="27" spans="1:12" ht="25.5" x14ac:dyDescent="0.2">
      <c r="A27" s="122" t="s">
        <v>45</v>
      </c>
      <c r="B27" s="123"/>
      <c r="C27" s="85"/>
      <c r="D27" s="21"/>
      <c r="E27" s="63">
        <f>SUM(E20:E26)</f>
        <v>169329.04816480007</v>
      </c>
      <c r="F27" s="62"/>
      <c r="G27" s="22"/>
      <c r="H27" s="63">
        <f>SUM(H20:H26)</f>
        <v>169713.84748112384</v>
      </c>
      <c r="I27" s="95">
        <f>SUM(I20:I26)</f>
        <v>26710.241497545099</v>
      </c>
      <c r="J27" s="51">
        <f>SUM(J20:J26)</f>
        <v>-26325.442181221344</v>
      </c>
      <c r="K27" s="112">
        <f t="shared" si="0"/>
        <v>384.79931632376974</v>
      </c>
      <c r="L27" s="111">
        <f t="shared" si="5"/>
        <v>2.2724944154251816E-3</v>
      </c>
    </row>
    <row r="28" spans="1:12" x14ac:dyDescent="0.2">
      <c r="A28" s="124" t="s">
        <v>32</v>
      </c>
      <c r="B28" s="118"/>
      <c r="C28" s="83">
        <v>2.6429999999999998</v>
      </c>
      <c r="D28" s="23">
        <f>IF($B7&gt;0, $B7, $B6)</f>
        <v>7278.666666666667</v>
      </c>
      <c r="E28" s="82">
        <f>D28*C28</f>
        <v>19237.516</v>
      </c>
      <c r="F28" s="64">
        <v>2.9973999999999998</v>
      </c>
      <c r="G28" s="16">
        <f>IF($C7&gt;0, $C7, $C6*$C10)</f>
        <v>4024.3738017903415</v>
      </c>
      <c r="H28" s="57">
        <f>G28*F28</f>
        <v>12062.658033486368</v>
      </c>
      <c r="I28" s="94">
        <f>(F28-C28)*G28</f>
        <v>1426.2380753544971</v>
      </c>
      <c r="J28" s="50">
        <f>H28-E28</f>
        <v>-7174.8579665136313</v>
      </c>
      <c r="K28" s="108">
        <f t="shared" si="0"/>
        <v>-7174.8579665136313</v>
      </c>
      <c r="L28" s="109">
        <f t="shared" si="5"/>
        <v>-0.37296176733595082</v>
      </c>
    </row>
    <row r="29" spans="1:12" ht="25.5" x14ac:dyDescent="0.2">
      <c r="A29" s="125" t="s">
        <v>33</v>
      </c>
      <c r="B29" s="118"/>
      <c r="C29" s="83">
        <v>1.9982</v>
      </c>
      <c r="D29" s="23">
        <f>IF($B7&gt;0, $B7, $B6)</f>
        <v>7278.666666666667</v>
      </c>
      <c r="E29" s="82">
        <f>D29*C29</f>
        <v>14544.231733333334</v>
      </c>
      <c r="F29" s="64">
        <v>2.1635</v>
      </c>
      <c r="G29" s="16">
        <f>IF($C7&gt;0, $C7, $C6*$C10)</f>
        <v>4024.3738017903415</v>
      </c>
      <c r="H29" s="57">
        <f>G29*F29</f>
        <v>8706.7327201734042</v>
      </c>
      <c r="I29" s="94">
        <f>(F29-C29)*G29</f>
        <v>665.2289894359435</v>
      </c>
      <c r="J29" s="50">
        <f>H29-E29</f>
        <v>-5837.4990131599297</v>
      </c>
      <c r="K29" s="108">
        <f t="shared" si="0"/>
        <v>-5837.4990131599297</v>
      </c>
      <c r="L29" s="109">
        <f t="shared" si="5"/>
        <v>-0.40136179897224844</v>
      </c>
    </row>
    <row r="30" spans="1:12" ht="25.5" x14ac:dyDescent="0.2">
      <c r="A30" s="122" t="s">
        <v>34</v>
      </c>
      <c r="B30" s="120"/>
      <c r="C30" s="85"/>
      <c r="D30" s="21"/>
      <c r="E30" s="63">
        <f>SUM(E27:E29)</f>
        <v>203110.79589813342</v>
      </c>
      <c r="F30" s="62">
        <v>0</v>
      </c>
      <c r="G30" s="14"/>
      <c r="H30" s="63">
        <f>SUM(H27:H29)</f>
        <v>190483.23823478361</v>
      </c>
      <c r="I30" s="95">
        <f>SUM(I27:I29)</f>
        <v>28801.708562335538</v>
      </c>
      <c r="J30" s="51">
        <f>SUM(J27:J29)</f>
        <v>-39337.799160894909</v>
      </c>
      <c r="K30" s="112">
        <f>SUM(K27:K29)</f>
        <v>-12627.557663349791</v>
      </c>
      <c r="L30" s="111">
        <f t="shared" si="5"/>
        <v>-6.217078519884741E-2</v>
      </c>
    </row>
    <row r="31" spans="1:12" x14ac:dyDescent="0.2">
      <c r="A31" s="126" t="s">
        <v>35</v>
      </c>
      <c r="B31" s="118"/>
      <c r="C31" s="83">
        <v>3.4000000000000002E-3</v>
      </c>
      <c r="D31" s="15">
        <f>B6*B9</f>
        <v>2697992.7067500013</v>
      </c>
      <c r="E31" s="86">
        <f>D31*C31</f>
        <v>9173.1752029500058</v>
      </c>
      <c r="F31" s="58">
        <v>3.4000000000000002E-3</v>
      </c>
      <c r="G31" s="16">
        <f>C6*C10</f>
        <v>1470709.0803708027</v>
      </c>
      <c r="H31" s="57">
        <f>G31*F31</f>
        <v>5000.4108732607292</v>
      </c>
      <c r="I31" s="94">
        <f>(F31-C31)*G31</f>
        <v>0</v>
      </c>
      <c r="J31" s="50">
        <f>H31-E31</f>
        <v>-4172.7643296892766</v>
      </c>
      <c r="K31" s="108">
        <f>H31-E31</f>
        <v>-4172.7643296892766</v>
      </c>
      <c r="L31" s="109">
        <f t="shared" si="5"/>
        <v>-0.4548876738282896</v>
      </c>
    </row>
    <row r="32" spans="1:12" x14ac:dyDescent="0.2">
      <c r="A32" s="126" t="s">
        <v>36</v>
      </c>
      <c r="B32" s="118"/>
      <c r="C32" s="83">
        <v>5.0000000000000001E-4</v>
      </c>
      <c r="D32" s="15">
        <f>B6*B9</f>
        <v>2697992.7067500013</v>
      </c>
      <c r="E32" s="86">
        <f>D32*C32</f>
        <v>1348.9963533750006</v>
      </c>
      <c r="F32" s="58">
        <v>5.0000000000000001E-4</v>
      </c>
      <c r="G32" s="16">
        <f>C6*C10</f>
        <v>1470709.0803708027</v>
      </c>
      <c r="H32" s="57">
        <f>G32*F32</f>
        <v>735.35454018540133</v>
      </c>
      <c r="I32" s="94">
        <f>(F32-C32)*G32</f>
        <v>0</v>
      </c>
      <c r="J32" s="50">
        <f>H32-E32</f>
        <v>-613.64181318959925</v>
      </c>
      <c r="K32" s="108">
        <f>H32-E32</f>
        <v>-613.64181318959925</v>
      </c>
      <c r="L32" s="109">
        <f t="shared" si="5"/>
        <v>-0.45488767382828954</v>
      </c>
    </row>
    <row r="33" spans="1:12" x14ac:dyDescent="0.2">
      <c r="A33" s="127" t="s">
        <v>37</v>
      </c>
      <c r="B33" s="118"/>
      <c r="C33" s="87">
        <v>0.25</v>
      </c>
      <c r="D33" s="10">
        <f>+D15</f>
        <v>53035</v>
      </c>
      <c r="E33" s="86">
        <f>D33*C33</f>
        <v>13258.75</v>
      </c>
      <c r="F33" s="61">
        <v>0.25</v>
      </c>
      <c r="G33" s="11">
        <f>C8</f>
        <v>53035</v>
      </c>
      <c r="H33" s="57">
        <f>G33*F33</f>
        <v>13258.75</v>
      </c>
      <c r="I33" s="94">
        <f>(F33-C33)*G33</f>
        <v>0</v>
      </c>
      <c r="J33" s="50">
        <f>H33-E33</f>
        <v>0</v>
      </c>
      <c r="K33" s="108">
        <f>H33-E33</f>
        <v>0</v>
      </c>
      <c r="L33" s="109">
        <f t="shared" si="5"/>
        <v>0</v>
      </c>
    </row>
    <row r="34" spans="1:12" ht="13.5" thickBot="1" x14ac:dyDescent="0.25">
      <c r="A34" s="127" t="s">
        <v>38</v>
      </c>
      <c r="B34" s="118"/>
      <c r="C34" s="88">
        <v>9.6699999999999994E-2</v>
      </c>
      <c r="D34" s="24">
        <f>IF(AND(B6*12&gt;=150000),B6*B9,B6)</f>
        <v>2697992.7067500013</v>
      </c>
      <c r="E34" s="86">
        <f>D34*C34</f>
        <v>260895.8947427251</v>
      </c>
      <c r="F34" s="65">
        <v>9.6699999999999994E-2</v>
      </c>
      <c r="G34" s="25">
        <f>IF(AND(C6*12&gt;=150000),C6*C10,C6)</f>
        <v>1470709.0803708027</v>
      </c>
      <c r="H34" s="57">
        <f>G34*F34</f>
        <v>142217.5680718566</v>
      </c>
      <c r="I34" s="94">
        <f>(F34-C34)*G34</f>
        <v>0</v>
      </c>
      <c r="J34" s="50">
        <f>H34-E34</f>
        <v>-118678.3266708685</v>
      </c>
      <c r="K34" s="108">
        <f>H34-E34</f>
        <v>-118678.3266708685</v>
      </c>
      <c r="L34" s="109">
        <f t="shared" si="5"/>
        <v>-0.45488767382828954</v>
      </c>
    </row>
    <row r="35" spans="1:12" ht="13.5" thickBot="1" x14ac:dyDescent="0.25">
      <c r="A35" s="26"/>
      <c r="B35" s="128"/>
      <c r="C35" s="66"/>
      <c r="D35" s="27"/>
      <c r="E35" s="67"/>
      <c r="F35" s="66"/>
      <c r="G35" s="28"/>
      <c r="H35" s="67"/>
      <c r="I35" s="96">
        <f>SUM(I31:I34)</f>
        <v>0</v>
      </c>
      <c r="J35" s="52">
        <f>SUM(J31:J34)</f>
        <v>-123464.73281374737</v>
      </c>
      <c r="K35" s="113">
        <f>SUM(K31:K34)</f>
        <v>-123464.73281374737</v>
      </c>
      <c r="L35" s="29"/>
    </row>
    <row r="36" spans="1:12" hidden="1" x14ac:dyDescent="0.2">
      <c r="A36" s="129" t="s">
        <v>39</v>
      </c>
      <c r="B36" s="130"/>
      <c r="C36" s="75" t="e">
        <f>+#REF!</f>
        <v>#REF!</v>
      </c>
      <c r="D36" s="89"/>
      <c r="E36" s="69">
        <f>SUM(E31:E33,E30)</f>
        <v>226891.71745445844</v>
      </c>
      <c r="F36" s="68"/>
      <c r="G36" s="32"/>
      <c r="H36" s="69">
        <f>SUM(H31:H33,H30)</f>
        <v>209477.75364822973</v>
      </c>
      <c r="I36" s="97" t="e">
        <f>#REF!-D36</f>
        <v>#REF!</v>
      </c>
      <c r="J36" s="33" t="e">
        <f>F36-#REF!</f>
        <v>#REF!</v>
      </c>
      <c r="K36" s="97" t="e">
        <f>F36-#REF!</f>
        <v>#REF!</v>
      </c>
      <c r="L36" s="98" t="e">
        <f>IF((#REF!)=0,"",(K36/#REF!))</f>
        <v>#REF!</v>
      </c>
    </row>
    <row r="37" spans="1:12" hidden="1" x14ac:dyDescent="0.2">
      <c r="A37" s="131" t="s">
        <v>40</v>
      </c>
      <c r="B37" s="130"/>
      <c r="C37" s="75" t="e">
        <f>+#REF!</f>
        <v>#REF!</v>
      </c>
      <c r="D37" s="90"/>
      <c r="E37" s="71" t="e">
        <f>E36*C37</f>
        <v>#REF!</v>
      </c>
      <c r="F37" s="70">
        <v>0.13</v>
      </c>
      <c r="G37" s="10"/>
      <c r="H37" s="71">
        <f>H36*F37</f>
        <v>27232.107974269864</v>
      </c>
      <c r="I37" s="99" t="e">
        <f>#REF!-D37</f>
        <v>#REF!</v>
      </c>
      <c r="J37" s="12" t="e">
        <f>F37-#REF!</f>
        <v>#REF!</v>
      </c>
      <c r="K37" s="99" t="e">
        <f>F37-#REF!</f>
        <v>#REF!</v>
      </c>
      <c r="L37" s="100" t="e">
        <f>IF((#REF!)=0,"",(K37/#REF!))</f>
        <v>#REF!</v>
      </c>
    </row>
    <row r="38" spans="1:12" ht="15" hidden="1" x14ac:dyDescent="0.25">
      <c r="A38" s="131" t="s">
        <v>41</v>
      </c>
      <c r="B38" s="132"/>
      <c r="C38" s="72" t="e">
        <f>+#REF!</f>
        <v>#REF!</v>
      </c>
      <c r="D38" s="90"/>
      <c r="E38" s="71" t="e">
        <f>IF(OR(ISNUMBER( SEARCH("[DGEN]",#REF!))=TRUE, ISNUMBER( SEARCH("STREET LIGHT",#REF!))=TRUE), 0, IF(AND(#REF!=0,#REF!= 0),0, IF(AND(#REF!=0,#REF!* 12&gt;250000), 0, IF(AND(#REF!=0,#REF!&gt;= 50), 0, IF(#REF!*12&lt;=250000, C38*E36*-1, IF(#REF!&lt;50, C38*E36*-1, 0))))))</f>
        <v>#REF!</v>
      </c>
      <c r="F38" s="72">
        <v>0.189</v>
      </c>
      <c r="G38" s="10"/>
      <c r="H38" s="71">
        <f>IF(OR(ISNUMBER(SEARCH("[DGEN]", B3))=TRUE, ISNUMBER(SEARCH("STREET LIGHT", B3))=TRUE), 0, IF(AND(C6=0, C7=0),0, IF(AND(C7=0, C6*12&gt;250000), 0, IF(AND(C6=0, C7&gt;=50), 0, IF(C6*12&lt;=250000, F38*H36*-1, IF(C7&lt;50, F38*H36*-1, 0))))))</f>
        <v>0</v>
      </c>
      <c r="I38" s="99" t="e">
        <f>#REF!-D38</f>
        <v>#REF!</v>
      </c>
      <c r="J38" s="12" t="e">
        <f>F38-#REF!</f>
        <v>#REF!</v>
      </c>
      <c r="K38" s="99" t="e">
        <f>F38-#REF!</f>
        <v>#REF!</v>
      </c>
      <c r="L38" s="100"/>
    </row>
    <row r="39" spans="1:12" hidden="1" x14ac:dyDescent="0.2">
      <c r="A39" s="175" t="s">
        <v>42</v>
      </c>
      <c r="B39" s="176"/>
      <c r="C39" s="91" t="e">
        <f>+#REF!</f>
        <v>#REF!</v>
      </c>
      <c r="D39" s="35"/>
      <c r="E39" s="77" t="e">
        <f>E36+E37+E38</f>
        <v>#REF!</v>
      </c>
      <c r="F39" s="73"/>
      <c r="G39" s="36"/>
      <c r="H39" s="74">
        <f>H36+H37+H38</f>
        <v>236709.86162249959</v>
      </c>
      <c r="I39" s="101" t="e">
        <f>#REF!-D39</f>
        <v>#REF!</v>
      </c>
      <c r="J39" s="37" t="e">
        <f>F39-#REF!</f>
        <v>#REF!</v>
      </c>
      <c r="K39" s="101" t="e">
        <f>F39-#REF!</f>
        <v>#REF!</v>
      </c>
      <c r="L39" s="102" t="e">
        <f>IF((#REF!)=0,"",(K39/#REF!))</f>
        <v>#REF!</v>
      </c>
    </row>
    <row r="40" spans="1:12" ht="13.5" hidden="1" thickBot="1" x14ac:dyDescent="0.25">
      <c r="A40" s="26"/>
      <c r="B40" s="128"/>
      <c r="C40" s="66" t="e">
        <f>+#REF!</f>
        <v>#REF!</v>
      </c>
      <c r="D40" s="27"/>
      <c r="E40" s="67"/>
      <c r="F40" s="66"/>
      <c r="G40" s="28"/>
      <c r="H40" s="67"/>
      <c r="I40" s="103"/>
      <c r="J40" s="30"/>
      <c r="K40" s="103"/>
      <c r="L40" s="31"/>
    </row>
    <row r="41" spans="1:12" hidden="1" x14ac:dyDescent="0.2">
      <c r="A41" s="129" t="s">
        <v>43</v>
      </c>
      <c r="B41" s="130"/>
      <c r="C41" s="75" t="e">
        <f>+#REF!</f>
        <v>#REF!</v>
      </c>
      <c r="D41" s="89"/>
      <c r="E41" s="69" t="e">
        <f>SUM(#REF!,E31:E33,E30)</f>
        <v>#REF!</v>
      </c>
      <c r="F41" s="68"/>
      <c r="G41" s="32"/>
      <c r="H41" s="69" t="e">
        <f>SUM(#REF!,H31:H33,H30)</f>
        <v>#REF!</v>
      </c>
      <c r="I41" s="97" t="e">
        <f>#REF!-D41</f>
        <v>#REF!</v>
      </c>
      <c r="J41" s="33" t="e">
        <f>F41-#REF!</f>
        <v>#REF!</v>
      </c>
      <c r="K41" s="97" t="e">
        <f>F41-#REF!</f>
        <v>#REF!</v>
      </c>
      <c r="L41" s="98" t="e">
        <f>IF((#REF!)=0,"",(K41/#REF!))</f>
        <v>#REF!</v>
      </c>
    </row>
    <row r="42" spans="1:12" hidden="1" x14ac:dyDescent="0.2">
      <c r="A42" s="131" t="s">
        <v>40</v>
      </c>
      <c r="B42" s="130"/>
      <c r="C42" s="75" t="e">
        <f>+#REF!</f>
        <v>#REF!</v>
      </c>
      <c r="D42" s="89"/>
      <c r="E42" s="71" t="e">
        <f>E41*C42</f>
        <v>#REF!</v>
      </c>
      <c r="F42" s="75">
        <v>0.13</v>
      </c>
      <c r="G42" s="34"/>
      <c r="H42" s="71" t="e">
        <f>H41*F42</f>
        <v>#REF!</v>
      </c>
      <c r="I42" s="99" t="e">
        <f>#REF!-D42</f>
        <v>#REF!</v>
      </c>
      <c r="J42" s="12" t="e">
        <f>F42-#REF!</f>
        <v>#REF!</v>
      </c>
      <c r="K42" s="99" t="e">
        <f>F42-#REF!</f>
        <v>#REF!</v>
      </c>
      <c r="L42" s="100" t="e">
        <f>IF((#REF!)=0,"",(K42/#REF!))</f>
        <v>#REF!</v>
      </c>
    </row>
    <row r="43" spans="1:12" ht="15" hidden="1" x14ac:dyDescent="0.25">
      <c r="A43" s="131" t="s">
        <v>41</v>
      </c>
      <c r="B43" s="132"/>
      <c r="C43" s="72" t="e">
        <f>+#REF!</f>
        <v>#REF!</v>
      </c>
      <c r="D43" s="89"/>
      <c r="E43" s="71" t="e">
        <f>IF(OR(ISNUMBER( SEARCH("[DGEN]",#REF!))=TRUE, ISNUMBER( SEARCH("STREET LIGHT",#REF!))=TRUE), 0, IF(AND(#REF!=0,#REF!= 0),0, IF(AND(#REF!=0,#REF!* 12&gt;250000), 0, IF(AND(#REF!=0,#REF!&gt;= 50), 0, IF(#REF!*12&lt;=250000, C43*E41*-1, IF(#REF!&lt;50, C43*E41*-1, 0))))))</f>
        <v>#REF!</v>
      </c>
      <c r="F43" s="72">
        <v>0.189</v>
      </c>
      <c r="G43" s="34"/>
      <c r="H43" s="71">
        <f>IF(OR(ISNUMBER(SEARCH("[DGEN]", B3))=TRUE, ISNUMBER(SEARCH("STREET LIGHT", B3))=TRUE), 0, IF(AND(C6=0, C7=0),0, IF(AND(C7=0, C6*12&gt;250000), 0, IF(AND(C6=0, C7&gt;=50), 0, IF(C6*12&lt;=250000, F43*H41*-1, IF(C7&lt;50, F43*H41*-1, 0))))))</f>
        <v>0</v>
      </c>
      <c r="I43" s="99"/>
      <c r="J43" s="12"/>
      <c r="K43" s="99"/>
      <c r="L43" s="100"/>
    </row>
    <row r="44" spans="1:12" hidden="1" x14ac:dyDescent="0.2">
      <c r="A44" s="175" t="s">
        <v>43</v>
      </c>
      <c r="B44" s="176"/>
      <c r="C44" s="92" t="e">
        <f>+#REF!</f>
        <v>#REF!</v>
      </c>
      <c r="D44" s="93"/>
      <c r="E44" s="77" t="e">
        <f>SUM(E41,E42)</f>
        <v>#REF!</v>
      </c>
      <c r="F44" s="76"/>
      <c r="G44" s="38"/>
      <c r="H44" s="77" t="e">
        <f>SUM(H41,H42)</f>
        <v>#REF!</v>
      </c>
      <c r="I44" s="104" t="e">
        <f>#REF!-D44</f>
        <v>#REF!</v>
      </c>
      <c r="J44" s="39" t="e">
        <f>F44-#REF!</f>
        <v>#REF!</v>
      </c>
      <c r="K44" s="104" t="e">
        <f>F44-#REF!</f>
        <v>#REF!</v>
      </c>
      <c r="L44" s="105" t="e">
        <f>IF((#REF!)=0,"",(K44/#REF!))</f>
        <v>#REF!</v>
      </c>
    </row>
    <row r="45" spans="1:12" ht="13.5" hidden="1" thickBot="1" x14ac:dyDescent="0.25">
      <c r="A45" s="26"/>
      <c r="B45" s="128"/>
      <c r="C45" s="66" t="e">
        <f>+#REF!</f>
        <v>#REF!</v>
      </c>
      <c r="D45" s="40"/>
      <c r="E45" s="78"/>
      <c r="F45" s="66"/>
      <c r="G45" s="27"/>
      <c r="H45" s="78"/>
      <c r="I45" s="103"/>
      <c r="J45" s="41"/>
      <c r="K45" s="103"/>
      <c r="L45" s="31"/>
    </row>
    <row r="46" spans="1:12" x14ac:dyDescent="0.2">
      <c r="A46" s="129" t="s">
        <v>44</v>
      </c>
      <c r="B46" s="130"/>
      <c r="C46" s="75"/>
      <c r="D46" s="89"/>
      <c r="E46" s="69">
        <f>SUM(E34,E31:E33,E30)</f>
        <v>487787.61219718354</v>
      </c>
      <c r="F46" s="68"/>
      <c r="G46" s="32"/>
      <c r="H46" s="69">
        <f>SUM(H34,H31:H33,H30)</f>
        <v>351695.32172008633</v>
      </c>
      <c r="I46" s="106">
        <f>SUM(I34,I31:I33,I30)</f>
        <v>28801.708562335538</v>
      </c>
      <c r="J46" s="33">
        <f>SUM(J34,J31:J33,J30)</f>
        <v>-162802.5319746423</v>
      </c>
      <c r="K46" s="97">
        <f>SUM(K34,K31:K33,K30)</f>
        <v>-136092.29047709718</v>
      </c>
      <c r="L46" s="98">
        <f>IF(ISERROR(K46/E46), "", K46/E46)</f>
        <v>-0.27899907064897572</v>
      </c>
    </row>
    <row r="47" spans="1:12" x14ac:dyDescent="0.2">
      <c r="A47" s="131" t="s">
        <v>40</v>
      </c>
      <c r="B47" s="130"/>
      <c r="C47" s="75">
        <v>0.13</v>
      </c>
      <c r="D47" s="89"/>
      <c r="E47" s="71">
        <f>E46*C47</f>
        <v>63412.389585633864</v>
      </c>
      <c r="F47" s="75">
        <v>0.13</v>
      </c>
      <c r="G47" s="34"/>
      <c r="H47" s="71">
        <f>H46*F47</f>
        <v>45720.391823611222</v>
      </c>
      <c r="I47" s="99">
        <f>F47-C47</f>
        <v>0</v>
      </c>
      <c r="J47" s="12">
        <f>H47-E47</f>
        <v>-17691.997762022642</v>
      </c>
      <c r="K47" s="99">
        <f>H47-E47</f>
        <v>-17691.997762022642</v>
      </c>
      <c r="L47" s="107"/>
    </row>
    <row r="48" spans="1:12" ht="15" x14ac:dyDescent="0.25">
      <c r="A48" s="131" t="s">
        <v>41</v>
      </c>
      <c r="B48" s="132"/>
      <c r="C48" s="72">
        <v>0.17</v>
      </c>
      <c r="D48" s="89"/>
      <c r="E48" s="71" t="e">
        <f>IF(OR(ISNUMBER( SEARCH("[DGEN]",#REF!))=TRUE, ISNUMBER( SEARCH("STREET LIGHT",#REF!))=TRUE), 0, IF(AND(#REF!=0,#REF!= 0),0, IF(AND(#REF!=0,#REF!* 12&gt;250000), 0, IF(AND(#REF!=0,#REF!&gt;= 50), 0, IF(#REF!*12&lt;=250000, C48*E46*-1, IF(#REF!&lt;50, C48*E46*-1, 0))))))</f>
        <v>#REF!</v>
      </c>
      <c r="F48" s="72">
        <v>0.17</v>
      </c>
      <c r="G48" s="34"/>
      <c r="H48" s="71">
        <f>IF(OR(ISNUMBER(SEARCH("[DGEN]", B3))=TRUE, ISNUMBER(SEARCH("STREET LIGHT", B3))=TRUE), 0, IF(AND(C6=0, C7=0),0, IF(AND(C7=0, C6*12&gt;250000), 0, IF(AND(C6=0, C7&gt;=50), 0, IF(C6*12&lt;=250000, F48*H46*-1, IF(C7&lt;50, F48*H46*-1, 0))))))</f>
        <v>0</v>
      </c>
      <c r="I48" s="99"/>
      <c r="J48" s="12"/>
      <c r="K48" s="99"/>
      <c r="L48" s="100"/>
    </row>
    <row r="49" spans="1:12" ht="13.5" thickBot="1" x14ac:dyDescent="0.25">
      <c r="A49" s="175" t="s">
        <v>44</v>
      </c>
      <c r="B49" s="176"/>
      <c r="C49" s="92"/>
      <c r="D49" s="93"/>
      <c r="E49" s="77">
        <f>SUM(E46,E47)</f>
        <v>551200.00178281742</v>
      </c>
      <c r="F49" s="76"/>
      <c r="G49" s="38"/>
      <c r="H49" s="77">
        <f>SUM(H46,H47)</f>
        <v>397415.71354369755</v>
      </c>
      <c r="I49" s="104">
        <f>SUM(I46,I47)</f>
        <v>28801.708562335538</v>
      </c>
      <c r="J49" s="39">
        <f>SUM(J46,J47)</f>
        <v>-180494.52973666496</v>
      </c>
      <c r="K49" s="104">
        <f>SUM(K46,K47)</f>
        <v>-153784.28823911981</v>
      </c>
      <c r="L49" s="105">
        <f>IF(ISERROR(K49/E49), "", K49/E49)</f>
        <v>-0.27899907064897572</v>
      </c>
    </row>
    <row r="50" spans="1:12" ht="13.5" thickBot="1" x14ac:dyDescent="0.25">
      <c r="A50" s="26"/>
      <c r="B50" s="128"/>
      <c r="C50" s="79"/>
      <c r="D50" s="40"/>
      <c r="E50" s="80"/>
      <c r="F50" s="79"/>
      <c r="G50" s="27"/>
      <c r="H50" s="80"/>
      <c r="I50" s="103"/>
      <c r="J50" s="41"/>
      <c r="K50" s="103"/>
      <c r="L50" s="42"/>
    </row>
  </sheetData>
  <mergeCells count="13">
    <mergeCell ref="A44:B44"/>
    <mergeCell ref="A49:B49"/>
    <mergeCell ref="K12:L12"/>
    <mergeCell ref="B13:B14"/>
    <mergeCell ref="I13:I14"/>
    <mergeCell ref="J13:J14"/>
    <mergeCell ref="K13:K14"/>
    <mergeCell ref="L13:L14"/>
    <mergeCell ref="B3:E3"/>
    <mergeCell ref="B4:D4"/>
    <mergeCell ref="C12:E12"/>
    <mergeCell ref="F12:H12"/>
    <mergeCell ref="A39:B39"/>
  </mergeCells>
  <dataValidations count="1">
    <dataValidation type="list" allowBlank="1" showInputMessage="1" showErrorMessage="1" prompt="Select Charge Unit - monthly, per kWh, per kW" sqref="B45 B50 B35 B40" xr:uid="{C00057B6-27DF-46F8-9790-3E15567962F3}">
      <formula1>"Monthly, per kWh, per kW"</formula1>
    </dataValidation>
  </dataValidations>
  <pageMargins left="0.7" right="0.7" top="0.75" bottom="0.75" header="0.3" footer="0.3"/>
  <pageSetup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Summary Table</vt:lpstr>
      <vt:lpstr>RRR Data</vt:lpstr>
      <vt:lpstr>BRZ</vt:lpstr>
      <vt:lpstr>PRZ</vt:lpstr>
      <vt:lpstr>GRZ</vt:lpstr>
      <vt:lpstr>HRZ</vt:lpstr>
      <vt:lpstr>BRZ!Print_Area</vt:lpstr>
      <vt:lpstr>GRZ!Print_Area</vt:lpstr>
      <vt:lpstr>HRZ!Print_Area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Wells</dc:creator>
  <cp:lastModifiedBy>Mark Wells</cp:lastModifiedBy>
  <cp:lastPrinted>2022-08-03T04:38:14Z</cp:lastPrinted>
  <dcterms:created xsi:type="dcterms:W3CDTF">2022-06-29T19:12:00Z</dcterms:created>
  <dcterms:modified xsi:type="dcterms:W3CDTF">2022-08-03T04:40:13Z</dcterms:modified>
</cp:coreProperties>
</file>