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PDF Folder - RRA/Live Excels/"/>
    </mc:Choice>
  </mc:AlternateContent>
  <xr:revisionPtr revIDLastSave="35" documentId="8_{1B461538-60DB-41C1-90B2-EE7B59CD12C6}" xr6:coauthVersionLast="47" xr6:coauthVersionMax="47" xr10:uidLastSave="{0C5FB9A6-6069-41FD-8593-A84A82A1B04F}"/>
  <bookViews>
    <workbookView xWindow="-110" yWindow="-110" windowWidth="19420" windowHeight="10420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7" i="3"/>
  <c r="F55" i="2"/>
  <c r="G55" i="2"/>
  <c r="H55" i="2"/>
  <c r="I55" i="2"/>
  <c r="J55" i="2"/>
  <c r="K55" i="2"/>
  <c r="L55" i="2"/>
  <c r="F56" i="2"/>
  <c r="G56" i="2"/>
  <c r="H56" i="2"/>
  <c r="I56" i="2"/>
  <c r="J56" i="2"/>
  <c r="K56" i="2"/>
  <c r="L56" i="2"/>
  <c r="D14" i="1" l="1"/>
  <c r="E14" i="1"/>
  <c r="C14" i="1"/>
  <c r="H7" i="1"/>
  <c r="D79" i="2"/>
  <c r="D59" i="2"/>
  <c r="G8" i="2"/>
  <c r="H13" i="1"/>
  <c r="H12" i="1"/>
  <c r="H10" i="1"/>
  <c r="H9" i="1"/>
  <c r="H8" i="1"/>
  <c r="H11" i="1"/>
  <c r="L66" i="2" l="1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25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25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25" i="2"/>
  <c r="G33" i="2"/>
  <c r="G41" i="2"/>
  <c r="G42" i="2"/>
  <c r="G34" i="2"/>
  <c r="G57" i="2"/>
  <c r="G58" i="2"/>
  <c r="G49" i="2"/>
  <c r="G47" i="2"/>
  <c r="H25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25" i="2"/>
  <c r="I33" i="2"/>
  <c r="I41" i="2"/>
  <c r="I49" i="2"/>
  <c r="I57" i="2"/>
  <c r="I45" i="2"/>
  <c r="I6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25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25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D22" i="2"/>
  <c r="D55" i="2"/>
  <c r="F8" i="2"/>
  <c r="D62" i="2"/>
  <c r="D63" i="2" s="1"/>
  <c r="L59" i="2" l="1"/>
  <c r="H59" i="2"/>
  <c r="F59" i="2"/>
  <c r="F75" i="2" s="1"/>
  <c r="D7" i="3" s="1"/>
  <c r="E7" i="3" s="1"/>
  <c r="K59" i="2"/>
  <c r="J59" i="2"/>
  <c r="I59" i="2"/>
  <c r="G59" i="2"/>
  <c r="L75" i="2"/>
  <c r="D13" i="3" s="1"/>
  <c r="E13" i="3" s="1"/>
  <c r="K70" i="2" l="1"/>
  <c r="L70" i="2" l="1"/>
  <c r="G70" i="2"/>
  <c r="F70" i="2"/>
  <c r="J70" i="2"/>
  <c r="I70" i="2"/>
  <c r="H70" i="2"/>
  <c r="D70" i="2" l="1"/>
  <c r="F79" i="2" l="1"/>
  <c r="L69" i="2"/>
  <c r="L79" i="2"/>
  <c r="I79" i="2"/>
  <c r="K69" i="2"/>
  <c r="H75" i="2"/>
  <c r="D9" i="3" s="1"/>
  <c r="E9" i="3" s="1"/>
  <c r="I69" i="2"/>
  <c r="J75" i="2"/>
  <c r="D11" i="3" s="1"/>
  <c r="E11" i="3" s="1"/>
  <c r="G75" i="2"/>
  <c r="D8" i="3" s="1"/>
  <c r="J79" i="2"/>
  <c r="K79" i="2"/>
  <c r="H69" i="2"/>
  <c r="J69" i="2"/>
  <c r="G79" i="2"/>
  <c r="F69" i="2"/>
  <c r="K75" i="2"/>
  <c r="D12" i="3" s="1"/>
  <c r="E12" i="3" s="1"/>
  <c r="I75" i="2"/>
  <c r="D10" i="3" s="1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E8" i="3" l="1"/>
  <c r="D14" i="3"/>
  <c r="D75" i="2"/>
  <c r="D69" i="2"/>
  <c r="D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<sst xmlns="http://schemas.openxmlformats.org/spreadsheetml/2006/main" count="188" uniqueCount="95">
  <si>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</si>
  <si>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</si>
  <si>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</si>
  <si>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</si>
  <si>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</si>
  <si>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</si>
  <si>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</si>
  <si>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</si>
  <si>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</si>
  <si>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</si>
  <si>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</si>
  <si>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</si>
  <si>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</si>
  <si>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</si>
  <si>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</si>
  <si>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</si>
  <si>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</si>
  <si>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</si>
  <si>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</si>
  <si>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</si>
  <si>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</si>
  <si>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</si>
  <si>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</si>
  <si>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</si>
  <si>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</si>
  <si>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</si>
  <si>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</si>
  <si>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</si>
  <si>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</si>
  <si>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</si>
  <si>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</si>
  <si>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</si>
  <si>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</si>
  <si>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</si>
  <si>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</si>
  <si>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</si>
  <si>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</si>
  <si>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</si>
  <si>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</si>
  <si>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</si>
  <si>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</si>
  <si>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</si>
  <si>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</si>
  <si>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</si>
  <si>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</si>
  <si>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</si>
  <si>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</si>
  <si>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</si>
  <si>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</si>
  <si>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</si>
  <si>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</si>
  <si>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</si>
  <si>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</si>
  <si>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</si>
  <si>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</si>
  <si>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</si>
  <si>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</si>
  <si>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</si>
  <si>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</si>
  <si>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</si>
  <si>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</si>
  <si>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</si>
  <si>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</si>
  <si>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</si>
  <si>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</si>
  <si>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</si>
  <si>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</si>
  <si>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</si>
  <si>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</si>
  <si>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</si>
  <si>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</si>
  <si>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GENERAL SERVICE 50 TO 4,999 KW SERVICE CLASSIFICATION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</si>
  <si>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</si>
  <si>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</si>
  <si>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</si>
  <si>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</si>
  <si>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</si>
  <si>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2023 Rider Calculation for Group 2 DVA balances for HONI's former Peterborough Distribution Inc. Service Area</t>
  </si>
  <si>
    <t>Rate Rider Recovery Period (in months)</t>
  </si>
  <si>
    <t>1518,1548</t>
  </si>
  <si>
    <t>Retail Cost Variance Account - Retail &amp; STR</t>
  </si>
  <si>
    <t>2023 Rate Rider Calculation for Group 2 DVA balances for Peterborough</t>
  </si>
  <si>
    <t>Allocation of Group 2 DVA Balances to Rate Classes</t>
  </si>
  <si>
    <t>Group 2 DVA Balances as of Dec 31-22 Adjusted for Dispositions during 2023*</t>
  </si>
  <si>
    <t>*Per Appendix F-2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</si>
  <si>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</si>
  <si>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</si>
  <si>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Peterborough</t>
  </si>
  <si>
    <t>Customer Choice Initiative Costs</t>
  </si>
  <si>
    <t>Local Initiatives Program Costs</t>
  </si>
  <si>
    <t>Green Button Initiative Costs</t>
  </si>
  <si>
    <t>Other Regulatory Assets - Sub-Account - Other</t>
  </si>
  <si>
    <t xml:space="preserve">OEB Cost Differential Variance Account </t>
  </si>
  <si>
    <t xml:space="preserve">Incremental Capital Module (ICM)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</si>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</sst>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-&quot;$&quot;* #,##0.0000_-;\-&quot;$&quot;* #,##0.00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2" fillId="2" borderId="0" xfId="0" applyFont="1" applyFill="1" applyBorder="1" applyAlignment="1">
      <alignment horizontal="left" vertical="top" wrapText="1"/>
    </xf>
    <xf numFmtId="0" fontId="0" fillId="0" borderId="1" xfId="0" applyBorder="1"/>
    <xf numFmtId="167" fontId="0" fillId="0" borderId="1" xfId="0" applyNumberFormat="1" applyBorder="1"/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3" fontId="3" fillId="0" borderId="1" xfId="0" quotePrefix="1" applyNumberFormat="1" applyFont="1" applyBorder="1" applyAlignment="1">
      <alignment horizontal="center"/>
    </xf>
    <xf numFmtId="171" fontId="4" fillId="0" borderId="1" xfId="5" applyNumberFormat="1" applyFont="1" applyBorder="1" applyAlignment="1" applyProtection="1">
      <alignment horizontal="center" vertical="center"/>
    </xf>
    <xf numFmtId="17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7"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tabSelected="1" workbookViewId="0">
      <selection activeCell="H5" sqref="H5:H6"/>
    </sheetView>
  </sheetViews>
  <sheetFormatPr defaultRowHeight="14.5" x14ac:dyDescent="0.35"/>
  <cols>
    <col min="1" max="1" width="58.6328125" bestFit="1" customWidth="1"/>
    <col min="3" max="3" width="15.1796875" customWidth="1"/>
    <col min="4" max="4" width="12.1796875" bestFit="1" customWidth="1"/>
    <col min="5" max="5" width="14.54296875" customWidth="1"/>
    <col min="6" max="6" width="13" bestFit="1" customWidth="1"/>
    <col min="7" max="7" width="16.54296875" customWidth="1"/>
    <col min="8" max="8" width="12.54296875" bestFit="1" customWidth="1"/>
  </cols>
  <sheetData>
    <row r="1" spans="1:8" x14ac:dyDescent="0.35">
      <c r="A1" s="81" t="s">
        <v>81</v>
      </c>
    </row>
    <row r="3" spans="1:8" x14ac:dyDescent="0.35">
      <c r="A3" s="90" t="s">
        <v>85</v>
      </c>
    </row>
    <row r="4" spans="1:8" x14ac:dyDescent="0.35">
      <c r="A4" s="91"/>
      <c r="B4" s="78"/>
      <c r="C4" s="78"/>
      <c r="D4" s="78"/>
    </row>
    <row r="5" spans="1:8" ht="32" customHeight="1" x14ac:dyDescent="0.35">
      <c r="A5" s="96" t="s">
        <v>0</v>
      </c>
      <c r="B5" s="98" t="s">
        <v>1</v>
      </c>
      <c r="C5" s="100" t="s">
        <v>2</v>
      </c>
      <c r="D5" s="93" t="s">
        <v>3</v>
      </c>
      <c r="E5" s="93" t="s">
        <v>4</v>
      </c>
      <c r="F5" s="93" t="s">
        <v>73</v>
      </c>
      <c r="G5" s="93" t="s">
        <v>74</v>
      </c>
      <c r="H5" s="93" t="s">
        <v>75</v>
      </c>
    </row>
    <row r="6" spans="1:8" ht="32" customHeight="1" x14ac:dyDescent="0.35">
      <c r="A6" s="97"/>
      <c r="B6" s="99"/>
      <c r="C6" s="95"/>
      <c r="D6" s="95"/>
      <c r="E6" s="95"/>
      <c r="F6" s="95"/>
      <c r="G6" s="95"/>
      <c r="H6" s="94"/>
    </row>
    <row r="7" spans="1:8" x14ac:dyDescent="0.35">
      <c r="A7" s="1" t="s">
        <v>5</v>
      </c>
      <c r="B7" s="2" t="s">
        <v>6</v>
      </c>
      <c r="C7" s="3">
        <v>33536</v>
      </c>
      <c r="D7" s="4">
        <v>304013145</v>
      </c>
      <c r="E7" s="4">
        <v>0</v>
      </c>
      <c r="F7" s="79">
        <v>22.62</v>
      </c>
      <c r="G7" s="4">
        <v>0</v>
      </c>
      <c r="H7" s="80">
        <f>(C7*F7*12)+D7*G7</f>
        <v>9103011.8399999999</v>
      </c>
    </row>
    <row r="8" spans="1:8" x14ac:dyDescent="0.35">
      <c r="A8" s="1" t="s">
        <v>7</v>
      </c>
      <c r="B8" s="2" t="s">
        <v>6</v>
      </c>
      <c r="C8" s="3">
        <v>3527</v>
      </c>
      <c r="D8" s="4">
        <v>103728616</v>
      </c>
      <c r="E8" s="4">
        <v>0</v>
      </c>
      <c r="F8" s="79">
        <v>31.36</v>
      </c>
      <c r="G8" s="79">
        <v>8.8999999999999999E-3</v>
      </c>
      <c r="H8" s="80">
        <f>(C8*F8*12)+D8*G8</f>
        <v>2250465.3223999999</v>
      </c>
    </row>
    <row r="9" spans="1:8" x14ac:dyDescent="0.35">
      <c r="A9" s="1" t="s">
        <v>8</v>
      </c>
      <c r="B9" s="2" t="s">
        <v>9</v>
      </c>
      <c r="C9" s="3">
        <v>349</v>
      </c>
      <c r="D9" s="4">
        <v>324211299</v>
      </c>
      <c r="E9" s="4">
        <v>761528</v>
      </c>
      <c r="F9" s="79">
        <v>160.31</v>
      </c>
      <c r="G9" s="79">
        <v>2.7323</v>
      </c>
      <c r="H9" s="80">
        <f>(C9*F9*12)+E9*G9</f>
        <v>2752101.2344</v>
      </c>
    </row>
    <row r="10" spans="1:8" x14ac:dyDescent="0.35">
      <c r="A10" s="1" t="s">
        <v>10</v>
      </c>
      <c r="B10" s="2" t="s">
        <v>9</v>
      </c>
      <c r="C10" s="3">
        <v>2</v>
      </c>
      <c r="D10" s="4">
        <v>27998821</v>
      </c>
      <c r="E10" s="4">
        <v>54470</v>
      </c>
      <c r="F10" s="79">
        <v>6440.97</v>
      </c>
      <c r="G10" s="79">
        <v>0.75239999999999996</v>
      </c>
      <c r="H10" s="80">
        <f>(C10*F10*12)+E10*G10</f>
        <v>195566.508</v>
      </c>
    </row>
    <row r="11" spans="1:8" x14ac:dyDescent="0.35">
      <c r="A11" s="1" t="s">
        <v>11</v>
      </c>
      <c r="B11" s="2" t="s">
        <v>6</v>
      </c>
      <c r="C11" s="3">
        <v>12</v>
      </c>
      <c r="D11" s="4">
        <v>1786274</v>
      </c>
      <c r="E11" s="4">
        <v>0</v>
      </c>
      <c r="F11" s="79">
        <v>2.13</v>
      </c>
      <c r="G11" s="79">
        <v>2.81E-2</v>
      </c>
      <c r="H11" s="80">
        <f>(C11*F11*12)+D11*G11</f>
        <v>50501.019400000005</v>
      </c>
    </row>
    <row r="12" spans="1:8" x14ac:dyDescent="0.35">
      <c r="A12" s="1" t="s">
        <v>12</v>
      </c>
      <c r="B12" s="2" t="s">
        <v>9</v>
      </c>
      <c r="C12" s="3">
        <v>111</v>
      </c>
      <c r="D12" s="4">
        <v>476386</v>
      </c>
      <c r="E12" s="4">
        <v>1313</v>
      </c>
      <c r="F12" s="79">
        <v>11.83</v>
      </c>
      <c r="G12" s="79">
        <v>4.7157</v>
      </c>
      <c r="H12" s="80">
        <f>(C12*F12*12)+E12*G12</f>
        <v>21949.274100000002</v>
      </c>
    </row>
    <row r="13" spans="1:8" x14ac:dyDescent="0.35">
      <c r="A13" s="1" t="s">
        <v>13</v>
      </c>
      <c r="B13" s="2" t="s">
        <v>9</v>
      </c>
      <c r="C13" s="3">
        <v>10</v>
      </c>
      <c r="D13" s="4">
        <v>3200717</v>
      </c>
      <c r="E13" s="4">
        <v>8250</v>
      </c>
      <c r="F13" s="79">
        <v>3.22</v>
      </c>
      <c r="G13" s="79">
        <v>13.4579</v>
      </c>
      <c r="H13" s="80">
        <f>(C13*F13*12)+E13*G13</f>
        <v>111414.075</v>
      </c>
    </row>
    <row r="14" spans="1:8" x14ac:dyDescent="0.35">
      <c r="A14" s="1" t="s">
        <v>70</v>
      </c>
      <c r="B14" s="79"/>
      <c r="C14" s="85">
        <f>SUM(C7:C13)</f>
        <v>37547</v>
      </c>
      <c r="D14" s="85">
        <f t="shared" ref="D14:E14" si="0">SUM(D7:D13)</f>
        <v>765415258</v>
      </c>
      <c r="E14" s="85">
        <f t="shared" si="0"/>
        <v>825561</v>
      </c>
      <c r="F14" s="79"/>
      <c r="G14" s="79"/>
      <c r="H14" s="80">
        <f>SUM(H7:H13)</f>
        <v>14485009.2733</v>
      </c>
    </row>
    <row r="15" spans="1:8" x14ac:dyDescent="0.35">
      <c r="C15" s="5"/>
      <c r="D15" s="5"/>
      <c r="E15" s="5"/>
      <c r="H15" s="6"/>
    </row>
    <row r="16" spans="1:8" x14ac:dyDescent="0.35">
      <c r="A16" s="89" t="s">
        <v>76</v>
      </c>
    </row>
    <row r="17" spans="1:1" x14ac:dyDescent="0.35">
      <c r="A17" s="92" t="s">
        <v>86</v>
      </c>
    </row>
    <row r="18" spans="1:1" x14ac:dyDescent="0.35">
      <c r="A18" t="s">
        <v>87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6"/>
  <sheetViews>
    <sheetView topLeftCell="B1" workbookViewId="0">
      <selection activeCell="F88" sqref="F88:F103"/>
    </sheetView>
  </sheetViews>
  <sheetFormatPr defaultColWidth="9" defaultRowHeight="12.5" x14ac:dyDescent="0.25"/>
  <cols>
    <col min="1" max="1" width="5.7265625" style="7" hidden="1" customWidth="1"/>
    <col min="2" max="2" width="73.6328125" style="7" customWidth="1"/>
    <col min="3" max="3" width="9.90625" style="7" bestFit="1" customWidth="1"/>
    <col min="4" max="4" width="14.6328125" style="8" customWidth="1"/>
    <col min="5" max="5" width="20.26953125" style="8" bestFit="1" customWidth="1"/>
    <col min="6" max="12" width="24" style="8" customWidth="1"/>
    <col min="13" max="14" width="0" style="7" hidden="1" customWidth="1"/>
    <col min="15" max="16384" width="9" style="7"/>
  </cols>
  <sheetData>
    <row r="1" spans="1:13" ht="14.5" x14ac:dyDescent="0.35">
      <c r="B1" s="81" t="s">
        <v>81</v>
      </c>
      <c r="M1" s="7">
        <v>22</v>
      </c>
    </row>
    <row r="3" spans="1:13" customFormat="1" ht="14.5" x14ac:dyDescent="0.35">
      <c r="A3" t="s">
        <v>72</v>
      </c>
      <c r="B3" t="s">
        <v>82</v>
      </c>
    </row>
    <row r="4" spans="1:13" customFormat="1" ht="14.5" x14ac:dyDescent="0.35">
      <c r="B4" s="90"/>
    </row>
    <row r="5" spans="1:13" customFormat="1" ht="11" customHeight="1" x14ac:dyDescent="0.35"/>
    <row r="6" spans="1:13" ht="78.5" customHeight="1" x14ac:dyDescent="0.25">
      <c r="A6" s="7">
        <v>1</v>
      </c>
      <c r="D6" s="9" t="s">
        <v>83</v>
      </c>
      <c r="E6" s="10" t="s">
        <v>14</v>
      </c>
      <c r="F6" s="9" t="s">
        <v>5</v>
      </c>
      <c r="G6" s="9" t="s">
        <v>7</v>
      </c>
      <c r="H6" s="9" t="s">
        <v>8</v>
      </c>
      <c r="I6" s="9" t="s">
        <v>10</v>
      </c>
      <c r="J6" s="9" t="s">
        <v>11</v>
      </c>
      <c r="K6" s="9" t="s">
        <v>12</v>
      </c>
      <c r="L6" s="9" t="s">
        <v>13</v>
      </c>
    </row>
    <row r="7" spans="1:13" hidden="1" x14ac:dyDescent="0.25">
      <c r="A7" s="7">
        <v>2</v>
      </c>
      <c r="B7" s="11" t="s">
        <v>15</v>
      </c>
      <c r="C7" s="12">
        <v>1550</v>
      </c>
      <c r="D7" s="13">
        <v>0</v>
      </c>
      <c r="E7" s="14" t="s">
        <v>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3" hidden="1" x14ac:dyDescent="0.25">
      <c r="A8" s="7">
        <v>3</v>
      </c>
      <c r="B8" s="11" t="s">
        <v>16</v>
      </c>
      <c r="C8" s="12">
        <v>1551</v>
      </c>
      <c r="D8" s="13"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5">
      <c r="A9" s="7">
        <v>4</v>
      </c>
      <c r="B9" s="11" t="s">
        <v>17</v>
      </c>
      <c r="C9" s="12">
        <v>1580</v>
      </c>
      <c r="D9" s="13">
        <v>0</v>
      </c>
      <c r="E9" s="14" t="s">
        <v>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3" hidden="1" x14ac:dyDescent="0.25">
      <c r="A10" s="7">
        <v>5</v>
      </c>
      <c r="B10" s="11" t="s">
        <v>18</v>
      </c>
      <c r="C10" s="12">
        <v>1584</v>
      </c>
      <c r="D10" s="13">
        <v>0</v>
      </c>
      <c r="E10" s="14" t="s">
        <v>6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3" hidden="1" x14ac:dyDescent="0.25">
      <c r="A11" s="7">
        <v>6</v>
      </c>
      <c r="B11" s="11" t="s">
        <v>19</v>
      </c>
      <c r="C11" s="12">
        <v>1586</v>
      </c>
      <c r="D11" s="13">
        <v>0</v>
      </c>
      <c r="E11" s="14" t="s">
        <v>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3" hidden="1" x14ac:dyDescent="0.25">
      <c r="A12" s="7">
        <v>7</v>
      </c>
      <c r="B12" s="11" t="s">
        <v>20</v>
      </c>
      <c r="C12" s="12">
        <v>1588</v>
      </c>
      <c r="D12" s="13">
        <v>0</v>
      </c>
      <c r="E12" s="14" t="s">
        <v>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3" hidden="1" x14ac:dyDescent="0.25">
      <c r="A13" s="7">
        <v>8</v>
      </c>
      <c r="B13" s="11" t="s">
        <v>21</v>
      </c>
      <c r="C13" s="12">
        <v>1589</v>
      </c>
      <c r="D13" s="17">
        <v>0</v>
      </c>
      <c r="E13" s="18" t="s">
        <v>22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3" hidden="1" x14ac:dyDescent="0.25">
      <c r="A14" s="7">
        <v>9</v>
      </c>
      <c r="B14" s="19" t="s">
        <v>23</v>
      </c>
      <c r="C14" s="12">
        <v>1595</v>
      </c>
      <c r="D14" s="13">
        <v>0</v>
      </c>
      <c r="E14" s="18" t="s">
        <v>24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3" hidden="1" x14ac:dyDescent="0.25">
      <c r="A15" s="7">
        <v>10</v>
      </c>
      <c r="B15" s="19" t="s">
        <v>25</v>
      </c>
      <c r="C15" s="12">
        <v>1595</v>
      </c>
      <c r="D15" s="13">
        <v>0</v>
      </c>
      <c r="E15" s="18" t="s">
        <v>24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3" hidden="1" x14ac:dyDescent="0.25">
      <c r="A16" s="7">
        <v>11</v>
      </c>
      <c r="B16" s="19" t="s">
        <v>26</v>
      </c>
      <c r="C16" s="12">
        <v>1595</v>
      </c>
      <c r="D16" s="13">
        <v>0</v>
      </c>
      <c r="E16" s="18" t="s">
        <v>24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hidden="1" x14ac:dyDescent="0.25">
      <c r="A17" s="7">
        <v>12</v>
      </c>
      <c r="B17" s="19" t="s">
        <v>27</v>
      </c>
      <c r="C17" s="12">
        <v>1595</v>
      </c>
      <c r="D17" s="13">
        <v>0</v>
      </c>
      <c r="E17" s="18" t="s">
        <v>24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hidden="1" x14ac:dyDescent="0.25">
      <c r="A18" s="7">
        <v>13</v>
      </c>
      <c r="B18" s="19" t="s">
        <v>28</v>
      </c>
      <c r="C18" s="12">
        <v>1595</v>
      </c>
      <c r="D18" s="13">
        <v>0</v>
      </c>
      <c r="E18" s="18" t="s">
        <v>24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hidden="1" x14ac:dyDescent="0.25">
      <c r="A19" s="7">
        <v>14</v>
      </c>
      <c r="B19" s="19" t="s">
        <v>29</v>
      </c>
      <c r="C19" s="12">
        <v>1595</v>
      </c>
      <c r="D19" s="13">
        <v>0</v>
      </c>
      <c r="E19" s="18" t="s">
        <v>24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hidden="1" x14ac:dyDescent="0.25">
      <c r="A20" s="7">
        <v>15</v>
      </c>
      <c r="B20" s="19" t="s">
        <v>30</v>
      </c>
      <c r="C20" s="12">
        <v>1595</v>
      </c>
      <c r="D20" s="13">
        <v>0</v>
      </c>
      <c r="E20" s="18" t="s">
        <v>24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idden="1" x14ac:dyDescent="0.25">
      <c r="B21" s="19" t="s">
        <v>31</v>
      </c>
      <c r="C21" s="12">
        <v>1595</v>
      </c>
      <c r="D21" s="13">
        <v>0</v>
      </c>
      <c r="E21" s="18" t="s">
        <v>24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s="24" customFormat="1" ht="13" hidden="1" x14ac:dyDescent="0.3">
      <c r="A22" s="7">
        <v>16</v>
      </c>
      <c r="B22" s="21" t="s">
        <v>32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3">
      <c r="A23" s="7">
        <v>17</v>
      </c>
      <c r="B23" s="24"/>
      <c r="C23" s="24"/>
      <c r="D23" s="25"/>
      <c r="E23" s="26"/>
    </row>
    <row r="24" spans="1:12" hidden="1" x14ac:dyDescent="0.25">
      <c r="A24" s="7">
        <v>18</v>
      </c>
      <c r="B24" s="11" t="s">
        <v>33</v>
      </c>
      <c r="C24" s="12">
        <v>1508</v>
      </c>
      <c r="D24" s="13">
        <v>0</v>
      </c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5">
      <c r="A25" s="7">
        <v>19</v>
      </c>
      <c r="B25" s="11" t="s">
        <v>34</v>
      </c>
      <c r="C25" s="12">
        <v>2405</v>
      </c>
      <c r="D25" s="13">
        <v>-548096.01930449996</v>
      </c>
      <c r="E25" s="14" t="s">
        <v>35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-344447.45315990091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-85155.008292876752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-104136.33176459753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-7400.0107643466918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-1910.9002404976272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-830.53517839361359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-4215.7799038868643</v>
      </c>
    </row>
    <row r="26" spans="1:12" hidden="1" x14ac:dyDescent="0.25">
      <c r="A26" s="7">
        <v>20</v>
      </c>
      <c r="B26" s="27" t="s">
        <v>36</v>
      </c>
      <c r="C26" s="12">
        <v>1508</v>
      </c>
      <c r="D26" s="13">
        <v>0</v>
      </c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5">
      <c r="A27" s="7">
        <v>21</v>
      </c>
      <c r="B27" s="28" t="s">
        <v>88</v>
      </c>
      <c r="C27" s="12">
        <v>1508</v>
      </c>
      <c r="D27" s="13">
        <v>0</v>
      </c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5">
      <c r="B28" s="28" t="s">
        <v>89</v>
      </c>
      <c r="C28" s="12">
        <v>1508</v>
      </c>
      <c r="D28" s="13">
        <v>0</v>
      </c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5">
      <c r="B29" s="28" t="s">
        <v>90</v>
      </c>
      <c r="C29" s="12">
        <v>1508</v>
      </c>
      <c r="D29" s="13">
        <v>0</v>
      </c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5">
      <c r="B30" s="28" t="s">
        <v>91</v>
      </c>
      <c r="C30" s="12">
        <v>1508</v>
      </c>
      <c r="D30" s="13">
        <v>0</v>
      </c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5">
      <c r="B31" s="28" t="s">
        <v>92</v>
      </c>
      <c r="C31" s="12">
        <v>1508</v>
      </c>
      <c r="D31" s="13">
        <v>338208.36276400002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134332.03343482935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45833.794169198096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143256.84192773129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12371.631360570946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789.28764311084774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210.49714833838723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1414.2770802210762</v>
      </c>
    </row>
    <row r="32" spans="1:12" x14ac:dyDescent="0.25">
      <c r="B32" s="28" t="s">
        <v>93</v>
      </c>
      <c r="C32" s="12">
        <v>1508</v>
      </c>
      <c r="D32" s="13">
        <v>15854.826573499999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6297.334211280262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2148.636573676948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6715.7191669337662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579.96812394020742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37.000914453618243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9.8678688896000182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66.299714325597094</v>
      </c>
    </row>
    <row r="33" spans="1:12" hidden="1" x14ac:dyDescent="0.25">
      <c r="B33" s="28" t="s">
        <v>94</v>
      </c>
      <c r="C33" s="12">
        <v>1508</v>
      </c>
      <c r="D33" s="13">
        <v>0</v>
      </c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5">
      <c r="B34" s="28" t="s">
        <v>94</v>
      </c>
      <c r="C34" s="12">
        <v>1508</v>
      </c>
      <c r="D34" s="13">
        <v>0</v>
      </c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5">
      <c r="B35" s="28" t="s">
        <v>94</v>
      </c>
      <c r="C35" s="12">
        <v>1508</v>
      </c>
      <c r="D35" s="13">
        <v>0</v>
      </c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5">
      <c r="B36" s="28" t="s">
        <v>94</v>
      </c>
      <c r="C36" s="12">
        <v>1508</v>
      </c>
      <c r="D36" s="13">
        <v>0</v>
      </c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5">
      <c r="B37" s="28" t="s">
        <v>94</v>
      </c>
      <c r="C37" s="12">
        <v>1508</v>
      </c>
      <c r="D37" s="13">
        <v>0</v>
      </c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5">
      <c r="B38" s="28" t="s">
        <v>94</v>
      </c>
      <c r="C38" s="12">
        <v>1508</v>
      </c>
      <c r="D38" s="13">
        <v>0</v>
      </c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5">
      <c r="B39" s="28" t="s">
        <v>94</v>
      </c>
      <c r="C39" s="12">
        <v>1508</v>
      </c>
      <c r="D39" s="13">
        <v>0</v>
      </c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5">
      <c r="B40" s="28" t="s">
        <v>94</v>
      </c>
      <c r="C40" s="12">
        <v>1508</v>
      </c>
      <c r="D40" s="13">
        <v>0</v>
      </c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5">
      <c r="B41" s="28" t="s">
        <v>94</v>
      </c>
      <c r="C41" s="12">
        <v>1508</v>
      </c>
      <c r="D41" s="13">
        <v>0</v>
      </c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5">
      <c r="B42" s="28" t="s">
        <v>94</v>
      </c>
      <c r="C42" s="12">
        <v>1508</v>
      </c>
      <c r="D42" s="13">
        <v>0</v>
      </c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5">
      <c r="B43" s="28" t="s">
        <v>94</v>
      </c>
      <c r="C43" s="12">
        <v>1508</v>
      </c>
      <c r="D43" s="13">
        <v>0</v>
      </c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5">
      <c r="B44" s="28" t="s">
        <v>94</v>
      </c>
      <c r="C44" s="12">
        <v>1508</v>
      </c>
      <c r="D44" s="13">
        <v>0</v>
      </c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5">
      <c r="B45" s="28" t="s">
        <v>94</v>
      </c>
      <c r="C45" s="12">
        <v>1508</v>
      </c>
      <c r="D45" s="13">
        <v>0</v>
      </c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5">
      <c r="B46" s="28" t="s">
        <v>94</v>
      </c>
      <c r="C46" s="12">
        <v>1508</v>
      </c>
      <c r="D46" s="13">
        <v>0</v>
      </c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5">
      <c r="A47" s="7">
        <v>22</v>
      </c>
      <c r="B47" s="29" t="s">
        <v>80</v>
      </c>
      <c r="C47" s="86" t="s">
        <v>79</v>
      </c>
      <c r="D47" s="13">
        <v>-346.6900102741792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-309.65446465909054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-32.566534376568832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-3.2224895087673726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-1.846698858892477E-2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-0.11080193153354863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-1.0249178666853249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-9.2334942944623855E-2</v>
      </c>
    </row>
    <row r="48" spans="1:12" ht="14.25" hidden="1" customHeight="1" x14ac:dyDescent="0.25">
      <c r="A48" s="7">
        <v>23</v>
      </c>
      <c r="B48" s="29" t="s">
        <v>37</v>
      </c>
      <c r="C48" s="12">
        <v>1522</v>
      </c>
      <c r="D48" s="13">
        <v>0</v>
      </c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5">
      <c r="A49" s="7">
        <v>24</v>
      </c>
      <c r="B49" s="29" t="s">
        <v>38</v>
      </c>
      <c r="C49" s="12">
        <v>1525</v>
      </c>
      <c r="D49" s="13">
        <v>0</v>
      </c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5">
      <c r="A50" s="7">
        <v>25</v>
      </c>
      <c r="B50" s="29" t="s">
        <v>39</v>
      </c>
      <c r="C50" s="12">
        <v>1548</v>
      </c>
      <c r="D50" s="13">
        <v>0</v>
      </c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5">
      <c r="A51" s="7">
        <v>26</v>
      </c>
      <c r="B51" s="29" t="s">
        <v>40</v>
      </c>
      <c r="C51" s="12">
        <v>1572</v>
      </c>
      <c r="D51" s="13">
        <v>0</v>
      </c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5">
      <c r="A52" s="7">
        <v>27</v>
      </c>
      <c r="B52" s="29" t="s">
        <v>41</v>
      </c>
      <c r="C52" s="12">
        <v>1574</v>
      </c>
      <c r="D52" s="13">
        <v>0</v>
      </c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5">
      <c r="A53" s="7">
        <v>28</v>
      </c>
      <c r="B53" s="11" t="s">
        <v>42</v>
      </c>
      <c r="C53" s="12">
        <v>1582</v>
      </c>
      <c r="D53" s="13">
        <v>0</v>
      </c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5">
      <c r="A54" s="7">
        <v>29</v>
      </c>
      <c r="B54" s="11" t="s">
        <v>43</v>
      </c>
      <c r="C54" s="12">
        <v>2425</v>
      </c>
      <c r="D54" s="13">
        <v>0</v>
      </c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ht="13" hidden="1" x14ac:dyDescent="0.3">
      <c r="A55" s="7">
        <v>30</v>
      </c>
      <c r="B55" s="21" t="s">
        <v>44</v>
      </c>
      <c r="C55" s="30"/>
      <c r="D55" s="22">
        <f>SUM(D24:D54)</f>
        <v>-194379.51997727412</v>
      </c>
      <c r="E55" s="30"/>
      <c r="F55" s="13" t="str">
        <f>IF($E55="kWh",VLOOKUP(F$6,'Billing Determinants'!$A$7:$H$14,4,FALSE)/'Billing Determinants'!$D$14*$D55,IF($E55="# of Customers",$D55*VLOOKUP(F$6,'Billing Determinants'!$A$7:$H$14,3,FALSE)/'Billing Determinants'!$C$14,IF($E55="Distribution Rev.",VLOOKUP(F$6,'Billing Determinants'!$A$7:$H$14,8,FALSE)/'Billing Determinants'!$H$14*$D55,"err")))</f>
        <v>err</v>
      </c>
      <c r="G55" s="13" t="str">
        <f>IF($E55="kWh",VLOOKUP(G$6,'Billing Determinants'!$A$7:$H$14,4,FALSE)/'Billing Determinants'!$D$14*$D55,IF($E55="# of Customers",$D55*VLOOKUP(G$6,'Billing Determinants'!$A$7:$H$14,3,FALSE)/'Billing Determinants'!$C$14,IF($E55="Distribution Rev.",VLOOKUP(G$6,'Billing Determinants'!$A$7:$H$14,8,FALSE)/'Billing Determinants'!$H$14*$D55,"err")))</f>
        <v>err</v>
      </c>
      <c r="H55" s="13" t="str">
        <f>IF($E55="kWh",VLOOKUP(H$6,'Billing Determinants'!$A$7:$H$14,4,FALSE)/'Billing Determinants'!$D$14*$D55,IF($E55="# of Customers",$D55*VLOOKUP(H$6,'Billing Determinants'!$A$7:$H$14,3,FALSE)/'Billing Determinants'!$C$14,IF($E55="Distribution Rev.",VLOOKUP(H$6,'Billing Determinants'!$A$7:$H$14,8,FALSE)/'Billing Determinants'!$H$14*$D55,"err")))</f>
        <v>err</v>
      </c>
      <c r="I55" s="13" t="str">
        <f>IF($E55="kWh",VLOOKUP(I$6,'Billing Determinants'!$A$7:$H$14,4,FALSE)/'Billing Determinants'!$D$14*$D55,IF($E55="# of Customers",$D55*VLOOKUP(I$6,'Billing Determinants'!$A$7:$H$14,3,FALSE)/'Billing Determinants'!$C$14,IF($E55="Distribution Rev.",VLOOKUP(I$6,'Billing Determinants'!$A$7:$H$14,8,FALSE)/'Billing Determinants'!$H$14*$D55,"err")))</f>
        <v>err</v>
      </c>
      <c r="J55" s="13" t="str">
        <f>IF($E55="kWh",VLOOKUP(J$6,'Billing Determinants'!$A$7:$H$14,4,FALSE)/'Billing Determinants'!$D$14*$D55,IF($E55="# of Customers",$D55*VLOOKUP(J$6,'Billing Determinants'!$A$7:$H$14,3,FALSE)/'Billing Determinants'!$C$14,IF($E55="Distribution Rev.",VLOOKUP(J$6,'Billing Determinants'!$A$7:$H$14,8,FALSE)/'Billing Determinants'!$H$14*$D55,"err")))</f>
        <v>err</v>
      </c>
      <c r="K55" s="13" t="str">
        <f>IF($E55="kWh",VLOOKUP(K$6,'Billing Determinants'!$A$7:$H$14,4,FALSE)/'Billing Determinants'!$D$14*$D55,IF($E55="# of Customers",$D55*VLOOKUP(K$6,'Billing Determinants'!$A$7:$H$14,3,FALSE)/'Billing Determinants'!$C$14,IF($E55="Distribution Rev.",VLOOKUP(K$6,'Billing Determinants'!$A$7:$H$14,8,FALSE)/'Billing Determinants'!$H$14*$D55,"err")))</f>
        <v>err</v>
      </c>
      <c r="L55" s="13" t="str">
        <f>IF($E55="kWh",VLOOKUP(L$6,'Billing Determinants'!$A$7:$H$14,4,FALSE)/'Billing Determinants'!$D$14*$D55,IF($E55="# of Customers",$D55*VLOOKUP(L$6,'Billing Determinants'!$A$7:$H$14,3,FALSE)/'Billing Determinants'!$C$14,IF($E55="Distribution Rev.",VLOOKUP(L$6,'Billing Determinants'!$A$7:$H$14,8,FALSE)/'Billing Determinants'!$H$14*$D55,"err")))</f>
        <v>err</v>
      </c>
    </row>
    <row r="56" spans="1:12" ht="13" hidden="1" x14ac:dyDescent="0.3">
      <c r="A56" s="7">
        <v>31</v>
      </c>
      <c r="B56" s="24"/>
      <c r="C56" s="8"/>
      <c r="D56" s="31"/>
      <c r="E56" s="32"/>
      <c r="F56" s="13" t="str">
        <f>IF($E56="kWh",VLOOKUP(F$6,'Billing Determinants'!$A$7:$H$14,4,FALSE)/'Billing Determinants'!$D$14*$D56,IF($E56="# of Customers",$D56*VLOOKUP(F$6,'Billing Determinants'!$A$7:$H$14,3,FALSE)/'Billing Determinants'!$C$14,IF($E56="Distribution Rev.",VLOOKUP(F$6,'Billing Determinants'!$A$7:$H$14,8,FALSE)/'Billing Determinants'!$H$14*$D56,"err")))</f>
        <v>err</v>
      </c>
      <c r="G56" s="13" t="str">
        <f>IF($E56="kWh",VLOOKUP(G$6,'Billing Determinants'!$A$7:$H$14,4,FALSE)/'Billing Determinants'!$D$14*$D56,IF($E56="# of Customers",$D56*VLOOKUP(G$6,'Billing Determinants'!$A$7:$H$14,3,FALSE)/'Billing Determinants'!$C$14,IF($E56="Distribution Rev.",VLOOKUP(G$6,'Billing Determinants'!$A$7:$H$14,8,FALSE)/'Billing Determinants'!$H$14*$D56,"err")))</f>
        <v>err</v>
      </c>
      <c r="H56" s="13" t="str">
        <f>IF($E56="kWh",VLOOKUP(H$6,'Billing Determinants'!$A$7:$H$14,4,FALSE)/'Billing Determinants'!$D$14*$D56,IF($E56="# of Customers",$D56*VLOOKUP(H$6,'Billing Determinants'!$A$7:$H$14,3,FALSE)/'Billing Determinants'!$C$14,IF($E56="Distribution Rev.",VLOOKUP(H$6,'Billing Determinants'!$A$7:$H$14,8,FALSE)/'Billing Determinants'!$H$14*$D56,"err")))</f>
        <v>err</v>
      </c>
      <c r="I56" s="13" t="str">
        <f>IF($E56="kWh",VLOOKUP(I$6,'Billing Determinants'!$A$7:$H$14,4,FALSE)/'Billing Determinants'!$D$14*$D56,IF($E56="# of Customers",$D56*VLOOKUP(I$6,'Billing Determinants'!$A$7:$H$14,3,FALSE)/'Billing Determinants'!$C$14,IF($E56="Distribution Rev.",VLOOKUP(I$6,'Billing Determinants'!$A$7:$H$14,8,FALSE)/'Billing Determinants'!$H$14*$D56,"err")))</f>
        <v>err</v>
      </c>
      <c r="J56" s="13" t="str">
        <f>IF($E56="kWh",VLOOKUP(J$6,'Billing Determinants'!$A$7:$H$14,4,FALSE)/'Billing Determinants'!$D$14*$D56,IF($E56="# of Customers",$D56*VLOOKUP(J$6,'Billing Determinants'!$A$7:$H$14,3,FALSE)/'Billing Determinants'!$C$14,IF($E56="Distribution Rev.",VLOOKUP(J$6,'Billing Determinants'!$A$7:$H$14,8,FALSE)/'Billing Determinants'!$H$14*$D56,"err")))</f>
        <v>err</v>
      </c>
      <c r="K56" s="13" t="str">
        <f>IF($E56="kWh",VLOOKUP(K$6,'Billing Determinants'!$A$7:$H$14,4,FALSE)/'Billing Determinants'!$D$14*$D56,IF($E56="# of Customers",$D56*VLOOKUP(K$6,'Billing Determinants'!$A$7:$H$14,3,FALSE)/'Billing Determinants'!$C$14,IF($E56="Distribution Rev.",VLOOKUP(K$6,'Billing Determinants'!$A$7:$H$14,8,FALSE)/'Billing Determinants'!$H$14*$D56,"err")))</f>
        <v>err</v>
      </c>
      <c r="L56" s="13" t="str">
        <f>IF($E56="kWh",VLOOKUP(L$6,'Billing Determinants'!$A$7:$H$14,4,FALSE)/'Billing Determinants'!$D$14*$D56,IF($E56="# of Customers",$D56*VLOOKUP(L$6,'Billing Determinants'!$A$7:$H$14,3,FALSE)/'Billing Determinants'!$C$14,IF($E56="Distribution Rev.",VLOOKUP(L$6,'Billing Determinants'!$A$7:$H$14,8,FALSE)/'Billing Determinants'!$H$14*$D56,"err")))</f>
        <v>err</v>
      </c>
    </row>
    <row r="57" spans="1:12" ht="25" x14ac:dyDescent="0.25">
      <c r="A57" s="7">
        <v>32</v>
      </c>
      <c r="B57" s="33" t="s">
        <v>45</v>
      </c>
      <c r="C57" s="18">
        <v>1592</v>
      </c>
      <c r="D57" s="13">
        <v>-204629.90825450001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-81276.380787162212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-27731.322251020843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-86676.255373840831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-7485.3435603503067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-477.55134342696732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-127.35939407380909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-855.69554462503083</v>
      </c>
    </row>
    <row r="58" spans="1:12" hidden="1" x14ac:dyDescent="0.25">
      <c r="A58" s="7">
        <v>33</v>
      </c>
      <c r="B58" s="33" t="s">
        <v>46</v>
      </c>
      <c r="C58" s="18">
        <v>1592</v>
      </c>
      <c r="D58" s="13">
        <v>0</v>
      </c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t="13" hidden="1" x14ac:dyDescent="0.3">
      <c r="A59" s="7">
        <v>34</v>
      </c>
      <c r="B59" s="21" t="s">
        <v>47</v>
      </c>
      <c r="C59" s="30"/>
      <c r="D59" s="22">
        <f>SUM(D57:D58)</f>
        <v>-204629.90825450001</v>
      </c>
      <c r="E59" s="30"/>
      <c r="F59" s="13">
        <f>SUM(F57:F58)</f>
        <v>-81276.380787162212</v>
      </c>
      <c r="G59" s="13">
        <f t="shared" ref="G59:L59" si="1">SUM(G57:G58)</f>
        <v>-27731.322251020843</v>
      </c>
      <c r="H59" s="13">
        <f t="shared" si="1"/>
        <v>-86676.255373840831</v>
      </c>
      <c r="I59" s="13">
        <f t="shared" si="1"/>
        <v>-7485.3435603503067</v>
      </c>
      <c r="J59" s="13">
        <f t="shared" si="1"/>
        <v>-477.55134342696732</v>
      </c>
      <c r="K59" s="13">
        <f t="shared" si="1"/>
        <v>-127.35939407380909</v>
      </c>
      <c r="L59" s="13">
        <f t="shared" si="1"/>
        <v>-855.69554462503083</v>
      </c>
    </row>
    <row r="60" spans="1:12" ht="13" hidden="1" x14ac:dyDescent="0.3">
      <c r="A60" s="7">
        <v>35</v>
      </c>
      <c r="B60" s="24"/>
      <c r="D60" s="34"/>
      <c r="F60" s="13"/>
      <c r="G60" s="13"/>
      <c r="H60" s="13"/>
      <c r="I60" s="13"/>
      <c r="J60" s="13"/>
      <c r="K60" s="13"/>
      <c r="L60" s="13"/>
    </row>
    <row r="61" spans="1:12" s="35" customFormat="1" ht="13" hidden="1" x14ac:dyDescent="0.3">
      <c r="A61" s="35">
        <v>36</v>
      </c>
      <c r="B61" s="36" t="s">
        <v>48</v>
      </c>
      <c r="C61" s="37">
        <v>1568</v>
      </c>
      <c r="D61" s="38"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5">
      <c r="A62" s="7">
        <v>37</v>
      </c>
      <c r="B62" s="102" t="s">
        <v>49</v>
      </c>
      <c r="C62" s="102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t="13" hidden="1" x14ac:dyDescent="0.25">
      <c r="A63" s="7">
        <v>38</v>
      </c>
      <c r="B63" s="103" t="s">
        <v>50</v>
      </c>
      <c r="C63" s="103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t="13" hidden="1" x14ac:dyDescent="0.25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idden="1" x14ac:dyDescent="0.25">
      <c r="A65" s="7">
        <v>40</v>
      </c>
      <c r="B65" s="44" t="s">
        <v>51</v>
      </c>
      <c r="C65" s="45">
        <v>1532</v>
      </c>
      <c r="D65" s="13"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15" customHeight="1" x14ac:dyDescent="0.25">
      <c r="B66" s="46" t="s">
        <v>52</v>
      </c>
      <c r="C66" s="47">
        <v>1555</v>
      </c>
      <c r="D66" s="48">
        <v>43104.375090000023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17120.506153237104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5841.4790205692207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18257.96558723964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1576.7541473046642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100.59405493261633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26.827686823594458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180.24843989318487</v>
      </c>
    </row>
    <row r="67" spans="1:12" s="50" customFormat="1" ht="12" hidden="1" customHeight="1" x14ac:dyDescent="0.3">
      <c r="A67" s="50">
        <v>41</v>
      </c>
      <c r="B67" s="51" t="s">
        <v>53</v>
      </c>
      <c r="C67" s="52">
        <v>1580</v>
      </c>
      <c r="D67" s="53">
        <v>0</v>
      </c>
      <c r="E67" s="54" t="s">
        <v>6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</row>
    <row r="68" spans="1:12" hidden="1" x14ac:dyDescent="0.25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t="13" hidden="1" x14ac:dyDescent="0.25">
      <c r="A69" s="57">
        <v>43</v>
      </c>
      <c r="B69" s="101" t="s">
        <v>54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t="13" hidden="1" x14ac:dyDescent="0.25">
      <c r="A70" s="57">
        <v>44</v>
      </c>
      <c r="B70" s="101" t="s">
        <v>55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t="13" hidden="1" x14ac:dyDescent="0.25">
      <c r="A71" s="57">
        <v>45</v>
      </c>
      <c r="B71" s="101" t="s">
        <v>56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5">
      <c r="A72" s="7">
        <v>46</v>
      </c>
    </row>
    <row r="73" spans="1:12" s="59" customFormat="1" ht="13" hidden="1" x14ac:dyDescent="0.25">
      <c r="A73" s="7">
        <v>47</v>
      </c>
      <c r="B73" s="104" t="s">
        <v>57</v>
      </c>
      <c r="C73" s="104"/>
      <c r="D73" s="58">
        <f>SUM(F73:L73)</f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</row>
    <row r="74" spans="1:12" x14ac:dyDescent="0.25">
      <c r="A74" s="7">
        <v>48</v>
      </c>
    </row>
    <row r="75" spans="1:12" s="60" customFormat="1" ht="13" x14ac:dyDescent="0.25">
      <c r="A75" s="60">
        <v>49</v>
      </c>
      <c r="B75" s="101" t="s">
        <v>58</v>
      </c>
      <c r="C75" s="101"/>
      <c r="D75" s="38">
        <f>SUM(F75:L75)</f>
        <v>-355905.05314177414</v>
      </c>
      <c r="E75" s="37"/>
      <c r="F75" s="38">
        <f>SUM(F24:F54)+F59+F65+F66</f>
        <v>-268283.6146123755</v>
      </c>
      <c r="G75" s="38">
        <f t="shared" ref="G75:K75" si="5">SUM(G24:G54)+G59+G65+G66</f>
        <v>-59094.987314829901</v>
      </c>
      <c r="H75" s="38">
        <f t="shared" si="5"/>
        <v>-22585.282946042433</v>
      </c>
      <c r="I75" s="38">
        <f t="shared" si="5"/>
        <v>-357.01915986977087</v>
      </c>
      <c r="J75" s="38">
        <f t="shared" si="5"/>
        <v>-1461.6797733590461</v>
      </c>
      <c r="K75" s="38">
        <f t="shared" si="5"/>
        <v>-711.72678628252629</v>
      </c>
      <c r="L75" s="38">
        <f>SUM(L24:L54)+L59+L65+L66</f>
        <v>-3410.7425490149817</v>
      </c>
    </row>
    <row r="76" spans="1:12" x14ac:dyDescent="0.25">
      <c r="A76" s="7">
        <v>50</v>
      </c>
      <c r="B76" s="7" t="s">
        <v>84</v>
      </c>
    </row>
    <row r="77" spans="1:12" hidden="1" x14ac:dyDescent="0.25">
      <c r="A77" s="7">
        <v>51</v>
      </c>
      <c r="B77" s="11" t="s">
        <v>59</v>
      </c>
      <c r="C77" s="12">
        <v>1575</v>
      </c>
      <c r="D77" s="13">
        <v>0</v>
      </c>
      <c r="E77" s="14" t="s">
        <v>6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hidden="1" x14ac:dyDescent="0.25">
      <c r="A78" s="7">
        <v>52</v>
      </c>
      <c r="B78" s="11" t="s">
        <v>60</v>
      </c>
      <c r="C78" s="12">
        <v>1576</v>
      </c>
      <c r="D78" s="13">
        <v>0</v>
      </c>
      <c r="E78" s="14" t="s">
        <v>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57" customFormat="1" ht="13" hidden="1" x14ac:dyDescent="0.3">
      <c r="A79" s="57">
        <v>53</v>
      </c>
      <c r="B79" s="61" t="s">
        <v>61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5"/>
    <row r="81" spans="2:12" ht="13" hidden="1" x14ac:dyDescent="0.25">
      <c r="B81" s="63" t="s">
        <v>62</v>
      </c>
      <c r="C81" s="63"/>
    </row>
    <row r="82" spans="2:12" ht="13" hidden="1" x14ac:dyDescent="0.3">
      <c r="B82" s="64" t="s">
        <v>63</v>
      </c>
      <c r="C82" s="65">
        <v>0</v>
      </c>
    </row>
    <row r="83" spans="2:12" ht="13" hidden="1" x14ac:dyDescent="0.3">
      <c r="B83" s="64" t="s">
        <v>64</v>
      </c>
      <c r="C83" s="66">
        <v>0</v>
      </c>
    </row>
    <row r="84" spans="2:12" ht="13" hidden="1" x14ac:dyDescent="0.25">
      <c r="B84" s="36" t="s">
        <v>48</v>
      </c>
      <c r="C84" s="37">
        <v>1568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</row>
    <row r="85" spans="2:12" hidden="1" x14ac:dyDescent="0.25"/>
    <row r="86" spans="2:12" ht="13" hidden="1" x14ac:dyDescent="0.25">
      <c r="B86" s="36" t="s">
        <v>65</v>
      </c>
      <c r="C86" s="37">
        <v>1509</v>
      </c>
      <c r="D86" s="38">
        <v>0</v>
      </c>
      <c r="E86" s="67" t="s">
        <v>35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</row>
  </sheetData>
  <mergeCells count="7"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F14"/>
  <sheetViews>
    <sheetView workbookViewId="0">
      <selection activeCell="I27" sqref="I27"/>
    </sheetView>
  </sheetViews>
  <sheetFormatPr defaultRowHeight="14.5" x14ac:dyDescent="0.35"/>
  <cols>
    <col min="1" max="1" width="59.6328125" customWidth="1"/>
    <col min="2" max="2" width="13.1796875" bestFit="1" customWidth="1"/>
    <col min="3" max="3" width="24.08984375" bestFit="1" customWidth="1"/>
    <col min="4" max="4" width="16.6328125" customWidth="1"/>
    <col min="5" max="5" width="11.08984375" customWidth="1"/>
    <col min="6" max="6" width="16.1796875" customWidth="1"/>
    <col min="7" max="7" width="9.453125" bestFit="1" customWidth="1"/>
  </cols>
  <sheetData>
    <row r="1" spans="1:6" x14ac:dyDescent="0.35">
      <c r="A1" s="81" t="s">
        <v>77</v>
      </c>
    </row>
    <row r="2" spans="1:6" x14ac:dyDescent="0.35">
      <c r="A2" s="68"/>
    </row>
    <row r="3" spans="1:6" x14ac:dyDescent="0.35">
      <c r="A3" s="82" t="s">
        <v>78</v>
      </c>
      <c r="B3" s="83"/>
      <c r="C3" s="84">
        <v>12</v>
      </c>
    </row>
    <row r="5" spans="1:6" ht="29.5" customHeight="1" x14ac:dyDescent="0.35">
      <c r="A5" s="96" t="s">
        <v>66</v>
      </c>
      <c r="B5" s="98" t="s">
        <v>1</v>
      </c>
      <c r="C5" s="106" t="s">
        <v>67</v>
      </c>
      <c r="D5" s="106" t="s">
        <v>68</v>
      </c>
      <c r="E5" s="108" t="s">
        <v>69</v>
      </c>
    </row>
    <row r="6" spans="1:6" ht="29.5" customHeight="1" x14ac:dyDescent="0.35">
      <c r="A6" s="105"/>
      <c r="B6" s="98"/>
      <c r="C6" s="107"/>
      <c r="D6" s="107"/>
      <c r="E6" s="108"/>
    </row>
    <row r="7" spans="1:6" x14ac:dyDescent="0.35">
      <c r="A7" s="69" t="s">
        <v>5</v>
      </c>
      <c r="B7" s="70" t="s">
        <v>2</v>
      </c>
      <c r="C7" s="71">
        <f>IF(B7="# of Customers",VLOOKUP(A7,'Billing Determinants'!$A$5:$H$14,3,FALSE),IF(B7="kWh",VLOOKUP(A7,'Billing Determinants'!$A$7:$H$14,4,FALSE),IF(B7="kW",VLOOKUP(A7,'Billing Determinants'!$A$7:$H$14,5,FALSE),"check")))</f>
        <v>33536</v>
      </c>
      <c r="D7" s="72">
        <f>HLOOKUP(A7,'Allocation of Balances'!$B$6:$L$75,70,FALSE)</f>
        <v>-268283.6146123755</v>
      </c>
      <c r="E7" s="73">
        <f>D7/C7/C3</f>
        <v>-0.66665576945266658</v>
      </c>
      <c r="F7" s="88"/>
    </row>
    <row r="8" spans="1:6" x14ac:dyDescent="0.35">
      <c r="A8" s="69" t="s">
        <v>7</v>
      </c>
      <c r="B8" s="14" t="s">
        <v>6</v>
      </c>
      <c r="C8" s="71">
        <f>IF(B8="# of Customers",VLOOKUP(A8,'Billing Determinants'!$A$5:$H$14,3,FALSE),IF(B8="kWh",VLOOKUP(A8,'Billing Determinants'!$A$7:$H$14,4,FALSE),IF(B8="kW",VLOOKUP(A8,'Billing Determinants'!$A$7:$H$14,5,FALSE),"check")))</f>
        <v>103728616</v>
      </c>
      <c r="D8" s="72">
        <f>HLOOKUP(A8,'Allocation of Balances'!$B$6:$L$75,70,FALSE)</f>
        <v>-59094.987314829901</v>
      </c>
      <c r="E8" s="87">
        <f>D8/C8</f>
        <v>-5.6970766210579632E-4</v>
      </c>
      <c r="F8" s="88"/>
    </row>
    <row r="9" spans="1:6" x14ac:dyDescent="0.35">
      <c r="A9" s="69" t="s">
        <v>71</v>
      </c>
      <c r="B9" s="14" t="s">
        <v>9</v>
      </c>
      <c r="C9" s="71">
        <f>IF(B9="# of Customers",VLOOKUP(A9,'Billing Determinants'!$A$5:$H$14,3,FALSE),IF(B9="kWh",VLOOKUP(A9,'Billing Determinants'!$A$7:$H$14,4,FALSE),IF(B9="kW",VLOOKUP(A9,'Billing Determinants'!$A$7:$H$14,5,FALSE),"check")))</f>
        <v>761528</v>
      </c>
      <c r="D9" s="72">
        <f>HLOOKUP(A9,'Allocation of Balances'!$B$6:$L$75,70,FALSE)</f>
        <v>-22585.282946042433</v>
      </c>
      <c r="E9" s="87">
        <f t="shared" ref="E9:E13" si="0">D9/C9</f>
        <v>-2.9657849673344162E-2</v>
      </c>
      <c r="F9" s="88"/>
    </row>
    <row r="10" spans="1:6" x14ac:dyDescent="0.35">
      <c r="A10" s="69" t="s">
        <v>10</v>
      </c>
      <c r="B10" s="14" t="s">
        <v>9</v>
      </c>
      <c r="C10" s="71">
        <f>IF(B10="# of Customers",VLOOKUP(A10,'Billing Determinants'!$A$5:$H$14,3,FALSE),IF(B10="kWh",VLOOKUP(A10,'Billing Determinants'!$A$7:$H$14,4,FALSE),IF(B10="kW",VLOOKUP(A10,'Billing Determinants'!$A$7:$H$14,5,FALSE),"check")))</f>
        <v>54470</v>
      </c>
      <c r="D10" s="72">
        <f>HLOOKUP(A10,'Allocation of Balances'!$B$6:$L$75,70,FALSE)</f>
        <v>-357.01915986977087</v>
      </c>
      <c r="E10" s="87">
        <f t="shared" si="0"/>
        <v>-6.5544182094688982E-3</v>
      </c>
      <c r="F10" s="88"/>
    </row>
    <row r="11" spans="1:6" x14ac:dyDescent="0.35">
      <c r="A11" s="69" t="s">
        <v>11</v>
      </c>
      <c r="B11" s="14" t="s">
        <v>6</v>
      </c>
      <c r="C11" s="71">
        <f>IF(B11="# of Customers",VLOOKUP(A11,'Billing Determinants'!$A$5:$H$14,3,FALSE),IF(B11="kWh",VLOOKUP(A11,'Billing Determinants'!$A$7:$H$14,4,FALSE),IF(B11="kW",VLOOKUP(A11,'Billing Determinants'!$A$7:$H$14,5,FALSE),"check")))</f>
        <v>1786274</v>
      </c>
      <c r="D11" s="72">
        <f>HLOOKUP(A11,'Allocation of Balances'!$B$6:$L$75,70,FALSE)</f>
        <v>-1461.6797733590461</v>
      </c>
      <c r="E11" s="87">
        <f t="shared" si="0"/>
        <v>-8.1828419008452566E-4</v>
      </c>
      <c r="F11" s="88"/>
    </row>
    <row r="12" spans="1:6" x14ac:dyDescent="0.35">
      <c r="A12" s="69" t="s">
        <v>12</v>
      </c>
      <c r="B12" s="14" t="s">
        <v>9</v>
      </c>
      <c r="C12" s="71">
        <f>IF(B12="# of Customers",VLOOKUP(A12,'Billing Determinants'!$A$5:$H$14,3,FALSE),IF(B12="kWh",VLOOKUP(A12,'Billing Determinants'!$A$7:$H$14,4,FALSE),IF(B12="kW",VLOOKUP(A12,'Billing Determinants'!$A$7:$H$14,5,FALSE),"check")))</f>
        <v>1313</v>
      </c>
      <c r="D12" s="72">
        <f>HLOOKUP(A12,'Allocation of Balances'!$B$6:$L$75,70,FALSE)</f>
        <v>-711.72678628252629</v>
      </c>
      <c r="E12" s="87">
        <f t="shared" si="0"/>
        <v>-0.54206152801410989</v>
      </c>
      <c r="F12" s="88"/>
    </row>
    <row r="13" spans="1:6" x14ac:dyDescent="0.35">
      <c r="A13" s="69" t="s">
        <v>13</v>
      </c>
      <c r="B13" s="14" t="s">
        <v>9</v>
      </c>
      <c r="C13" s="71">
        <f>IF(B13="# of Customers",VLOOKUP(A13,'Billing Determinants'!$A$5:$H$14,3,FALSE),IF(B13="kWh",VLOOKUP(A13,'Billing Determinants'!$A$7:$H$14,4,FALSE),IF(B13="kW",VLOOKUP(A13,'Billing Determinants'!$A$7:$H$14,5,FALSE),"check")))</f>
        <v>8250</v>
      </c>
      <c r="D13" s="72">
        <f>HLOOKUP(A13,'Allocation of Balances'!$B$6:$L$75,70,FALSE)</f>
        <v>-3410.7425490149817</v>
      </c>
      <c r="E13" s="87">
        <f t="shared" si="0"/>
        <v>-0.41342333927454322</v>
      </c>
      <c r="F13" s="88"/>
    </row>
    <row r="14" spans="1:6" x14ac:dyDescent="0.35">
      <c r="A14" s="74" t="s">
        <v>70</v>
      </c>
      <c r="B14" s="75"/>
      <c r="C14" s="76"/>
      <c r="D14" s="77">
        <f>SUM(D7:D13)</f>
        <v>-355905.05314177414</v>
      </c>
      <c r="E14" s="74"/>
      <c r="F14" s="88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0" priority="1" operator="equal">
      <formula>"kW"</formula>
    </cfRule>
  </conditionalFormatting>
  <dataValidations count="1">
    <dataValidation type="list" allowBlank="1" showInputMessage="1" showErrorMessage="1" sqref="B8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Prefiled Evidence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Legal_x0020_Review xmlns="7e651a3a-8d05-4ee0-9344-b668032e30e0">true</Legal_x0020_Review>
    <TaxCatchAll xmlns="1f5e108a-442b-424d-88d6-fdac133e65d6" xsi:nil="true"/>
    <IssueDate xmlns="7e651a3a-8d05-4ee0-9344-b668032e30e0">2022-08-03T04:00:00+00:00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RA_x0020_Director_x0020_Approved xmlns="7e651a3a-8d05-4ee0-9344-b668032e30e0">true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/>
        <AccountId xsi:nil="true"/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4" ma:contentTypeDescription="Create a new document." ma:contentTypeScope="" ma:versionID="47e458ee8ae073f21608b0752d5aca9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5004bf5cb76c40fbcbc3a7d3f384b2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DBCE2-1E07-4DF5-A377-5458F7D09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2D06EE-38CC-43ED-A8DA-72C8D891F493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7e651a3a-8d05-4ee0-9344-b668032e30e0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customXml/itemProps3.xml><?xml version="1.0" encoding="utf-8"?>
<ds:datastoreItem xmlns:ds="http://schemas.openxmlformats.org/officeDocument/2006/customXml" ds:itemID="{87C5F9D2-4EF0-4164-9A9F-C946FACAF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MOLINA Carla</cp:lastModifiedBy>
  <dcterms:created xsi:type="dcterms:W3CDTF">2022-07-24T06:25:48Z</dcterms:created>
  <dcterms:modified xsi:type="dcterms:W3CDTF">2022-08-03T15:55:27Z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