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V:\ACTIVE APPLICATIONS\API_2023_IRM\Models\"/>
    </mc:Choice>
  </mc:AlternateContent>
  <xr:revisionPtr revIDLastSave="0" documentId="13_ncr:1_{3A4B139F-7C0C-4F41-9780-88A106B413BD}" xr6:coauthVersionLast="47" xr6:coauthVersionMax="47" xr10:uidLastSave="{00000000-0000-0000-0000-000000000000}"/>
  <bookViews>
    <workbookView xWindow="28680" yWindow="-120" windowWidth="29040" windowHeight="15840" tabRatio="847" xr2:uid="{BCA7A719-312A-4980-8E75-18D0BA2F886D}"/>
  </bookViews>
  <sheets>
    <sheet name="Cover Sheet" sheetId="2" r:id="rId1"/>
    <sheet name="Rate Summary" sheetId="3" r:id="rId2"/>
    <sheet name="2020 COS Cost Allocation" sheetId="17" r:id="rId3"/>
    <sheet name="2020 COS Eq Rates and Revenue" sheetId="6" r:id="rId4"/>
    <sheet name="RRRP Rate Design" sheetId="10" r:id="rId5"/>
    <sheet name="Equiv Rates for ACM Model" sheetId="18" r:id="rId6"/>
    <sheet name="IRM Adjustment Factor" sheetId="4" r:id="rId7"/>
    <sheet name="Indexed Revenue" sheetId="7" r:id="rId8"/>
    <sheet name="Non-RRRP Rate Design" sheetId="13" r:id="rId9"/>
    <sheet name="R1(i) Decoupling" sheetId="15" r:id="rId10"/>
    <sheet name="Seasonal Decoupling"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xlnm.Print_Area" localSheetId="10">#REF!</definedName>
    <definedName name="____xlnm.Print_Area">#REF!</definedName>
    <definedName name="____xlnm.Print_Area_1" localSheetId="10">#REF!</definedName>
    <definedName name="____xlnm.Print_Area_1">#REF!</definedName>
    <definedName name="___INDEX_SHEET___ASAP_Utilities" localSheetId="10">#REF!</definedName>
    <definedName name="___INDEX_SHEET___ASAP_Utilities">#REF!</definedName>
    <definedName name="___xlnm.Print_Area" localSheetId="10">#REF!</definedName>
    <definedName name="___xlnm.Print_Area">#REF!</definedName>
    <definedName name="___xlnm.Print_Area_1" localSheetId="10">#REF!</definedName>
    <definedName name="___xlnm.Print_Area_1">#REF!</definedName>
    <definedName name="___xlnm.Print_Area_10" localSheetId="10">#REF!</definedName>
    <definedName name="___xlnm.Print_Area_10">#REF!</definedName>
    <definedName name="___xlnm.Print_Area_11" localSheetId="10">#REF!</definedName>
    <definedName name="___xlnm.Print_Area_11">#REF!</definedName>
    <definedName name="___xlnm.Print_Area_12" localSheetId="10">#REF!</definedName>
    <definedName name="___xlnm.Print_Area_12">#REF!</definedName>
    <definedName name="___xlnm.Print_Area_13" localSheetId="10">#REF!</definedName>
    <definedName name="___xlnm.Print_Area_13">#REF!</definedName>
    <definedName name="___xlnm.Print_Area_14" localSheetId="10">#REF!</definedName>
    <definedName name="___xlnm.Print_Area_14">#REF!</definedName>
    <definedName name="___xlnm.Print_Area_15" localSheetId="10">#REF!</definedName>
    <definedName name="___xlnm.Print_Area_15">#REF!</definedName>
    <definedName name="___xlnm.Print_Area_16" localSheetId="10">#REF!</definedName>
    <definedName name="___xlnm.Print_Area_16">#REF!</definedName>
    <definedName name="___xlnm.Print_Area_17" localSheetId="10">#REF!</definedName>
    <definedName name="___xlnm.Print_Area_17">#REF!</definedName>
    <definedName name="___xlnm.Print_Area_18" localSheetId="10">#REF!</definedName>
    <definedName name="___xlnm.Print_Area_18">#REF!</definedName>
    <definedName name="___xlnm.Print_Area_19" localSheetId="10">#REF!</definedName>
    <definedName name="___xlnm.Print_Area_19">#REF!</definedName>
    <definedName name="___xlnm.Print_Area_2" localSheetId="10">#REF!</definedName>
    <definedName name="___xlnm.Print_Area_2">#REF!</definedName>
    <definedName name="___xlnm.Print_Area_20" localSheetId="10">#REF!</definedName>
    <definedName name="___xlnm.Print_Area_20">#REF!</definedName>
    <definedName name="___xlnm.Print_Area_21" localSheetId="10">#REF!</definedName>
    <definedName name="___xlnm.Print_Area_21">#REF!</definedName>
    <definedName name="___xlnm.Print_Area_22" localSheetId="10">#REF!</definedName>
    <definedName name="___xlnm.Print_Area_22">#REF!</definedName>
    <definedName name="___xlnm.Print_Area_23" localSheetId="10">#REF!</definedName>
    <definedName name="___xlnm.Print_Area_23">#REF!</definedName>
    <definedName name="___xlnm.Print_Area_24" localSheetId="10">#REF!</definedName>
    <definedName name="___xlnm.Print_Area_24">#REF!</definedName>
    <definedName name="___xlnm.Print_Area_25" localSheetId="10">#REF!</definedName>
    <definedName name="___xlnm.Print_Area_25">#REF!</definedName>
    <definedName name="___xlnm.Print_Area_26" localSheetId="10">#REF!</definedName>
    <definedName name="___xlnm.Print_Area_26">#REF!</definedName>
    <definedName name="___xlnm.Print_Area_27" localSheetId="10">#REF!</definedName>
    <definedName name="___xlnm.Print_Area_27">#REF!</definedName>
    <definedName name="___xlnm.Print_Area_28" localSheetId="10">#REF!</definedName>
    <definedName name="___xlnm.Print_Area_28">#REF!</definedName>
    <definedName name="___xlnm.Print_Area_29" localSheetId="10">#REF!</definedName>
    <definedName name="___xlnm.Print_Area_29">#REF!</definedName>
    <definedName name="___xlnm.Print_Area_3" localSheetId="10">#REF!</definedName>
    <definedName name="___xlnm.Print_Area_3">#REF!</definedName>
    <definedName name="___xlnm.Print_Area_30" localSheetId="10">#REF!</definedName>
    <definedName name="___xlnm.Print_Area_30">#REF!</definedName>
    <definedName name="___xlnm.Print_Area_31" localSheetId="10">#REF!</definedName>
    <definedName name="___xlnm.Print_Area_31">#REF!</definedName>
    <definedName name="___xlnm.Print_Area_32" localSheetId="10">#REF!</definedName>
    <definedName name="___xlnm.Print_Area_32">#REF!</definedName>
    <definedName name="___xlnm.Print_Area_33" localSheetId="10">#REF!</definedName>
    <definedName name="___xlnm.Print_Area_33">#REF!</definedName>
    <definedName name="___xlnm.Print_Area_34" localSheetId="10">#REF!</definedName>
    <definedName name="___xlnm.Print_Area_34">#REF!</definedName>
    <definedName name="___xlnm.Print_Area_35" localSheetId="10">#REF!</definedName>
    <definedName name="___xlnm.Print_Area_35">#REF!</definedName>
    <definedName name="___xlnm.Print_Area_36" localSheetId="10">#REF!</definedName>
    <definedName name="___xlnm.Print_Area_36">#REF!</definedName>
    <definedName name="___xlnm.Print_Area_37" localSheetId="10">#REF!</definedName>
    <definedName name="___xlnm.Print_Area_37">#REF!</definedName>
    <definedName name="___xlnm.Print_Area_38" localSheetId="10">#REF!</definedName>
    <definedName name="___xlnm.Print_Area_38">#REF!</definedName>
    <definedName name="___xlnm.Print_Area_39" localSheetId="10">#REF!</definedName>
    <definedName name="___xlnm.Print_Area_39">#REF!</definedName>
    <definedName name="___xlnm.Print_Area_4" localSheetId="10">#REF!</definedName>
    <definedName name="___xlnm.Print_Area_4">#REF!</definedName>
    <definedName name="___xlnm.Print_Area_40" localSheetId="10">#REF!</definedName>
    <definedName name="___xlnm.Print_Area_40">#REF!</definedName>
    <definedName name="___xlnm.Print_Area_41" localSheetId="10">#REF!</definedName>
    <definedName name="___xlnm.Print_Area_41">#REF!</definedName>
    <definedName name="___xlnm.Print_Area_42" localSheetId="10">#REF!</definedName>
    <definedName name="___xlnm.Print_Area_42">#REF!</definedName>
    <definedName name="___xlnm.Print_Area_43" localSheetId="10">#REF!</definedName>
    <definedName name="___xlnm.Print_Area_43">#REF!</definedName>
    <definedName name="___xlnm.Print_Area_44" localSheetId="10">#REF!</definedName>
    <definedName name="___xlnm.Print_Area_44">#REF!</definedName>
    <definedName name="___xlnm.Print_Area_45" localSheetId="10">#REF!</definedName>
    <definedName name="___xlnm.Print_Area_45">#REF!</definedName>
    <definedName name="___xlnm.Print_Area_46" localSheetId="10">#REF!</definedName>
    <definedName name="___xlnm.Print_Area_46">#REF!</definedName>
    <definedName name="___xlnm.Print_Area_47" localSheetId="10">#REF!</definedName>
    <definedName name="___xlnm.Print_Area_47">#REF!</definedName>
    <definedName name="___xlnm.Print_Area_48" localSheetId="10">#REF!</definedName>
    <definedName name="___xlnm.Print_Area_48">#REF!</definedName>
    <definedName name="___xlnm.Print_Area_49" localSheetId="10">#REF!</definedName>
    <definedName name="___xlnm.Print_Area_49">#REF!</definedName>
    <definedName name="___xlnm.Print_Area_5" localSheetId="10">#REF!</definedName>
    <definedName name="___xlnm.Print_Area_5">#REF!</definedName>
    <definedName name="___xlnm.Print_Area_6" localSheetId="10">#REF!</definedName>
    <definedName name="___xlnm.Print_Area_6">#REF!</definedName>
    <definedName name="___xlnm.Print_Area_7" localSheetId="10">#REF!</definedName>
    <definedName name="___xlnm.Print_Area_7">#REF!</definedName>
    <definedName name="___xlnm.Print_Area_8" localSheetId="10">#REF!</definedName>
    <definedName name="___xlnm.Print_Area_8">#REF!</definedName>
    <definedName name="___xlnm.Print_Area_9" localSheetId="10">#REF!</definedName>
    <definedName name="___xlnm.Print_Area_9">#REF!</definedName>
    <definedName name="__xlnm._FilterDatabase" localSheetId="10">#REF!</definedName>
    <definedName name="__xlnm._FilterDatabase">#REF!</definedName>
    <definedName name="__xlnm._FilterDatabase_1" localSheetId="10">#REF!</definedName>
    <definedName name="__xlnm._FilterDatabase_1">#REF!</definedName>
    <definedName name="__xlnm.Extract">"#N/A"</definedName>
    <definedName name="__xlnm.Print_Area" localSheetId="10">#REF!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10">#REF!</definedName>
    <definedName name="__xlnm.Print_Area_10">#REF!</definedName>
    <definedName name="__xlnm.Print_Area_11" localSheetId="10">#REF!</definedName>
    <definedName name="__xlnm.Print_Area_11">#REF!</definedName>
    <definedName name="__xlnm.Print_Area_12" localSheetId="10">#REF!</definedName>
    <definedName name="__xlnm.Print_Area_12">#REF!</definedName>
    <definedName name="__xlnm.Print_Area_13" localSheetId="10">#REF!</definedName>
    <definedName name="__xlnm.Print_Area_13">#REF!</definedName>
    <definedName name="__xlnm.Print_Area_14" localSheetId="10">#REF!</definedName>
    <definedName name="__xlnm.Print_Area_14">#REF!</definedName>
    <definedName name="__xlnm.Print_Area_15" localSheetId="10">#REF!</definedName>
    <definedName name="__xlnm.Print_Area_15">#REF!</definedName>
    <definedName name="__xlnm.Print_Area_16" localSheetId="10">#REF!</definedName>
    <definedName name="__xlnm.Print_Area_16">#REF!</definedName>
    <definedName name="__xlnm.Print_Area_17" localSheetId="10">#REF!</definedName>
    <definedName name="__xlnm.Print_Area_17">#REF!</definedName>
    <definedName name="__xlnm.Print_Area_18" localSheetId="10">#REF!</definedName>
    <definedName name="__xlnm.Print_Area_18">#REF!</definedName>
    <definedName name="__xlnm.Print_Area_19" localSheetId="10">#REF!</definedName>
    <definedName name="__xlnm.Print_Area_19">#REF!</definedName>
    <definedName name="__xlnm.Print_Area_2" localSheetId="10">#REF!</definedName>
    <definedName name="__xlnm.Print_Area_2">#REF!</definedName>
    <definedName name="__xlnm.Print_Area_2_1" localSheetId="10">#REF!</definedName>
    <definedName name="__xlnm.Print_Area_2_1">#REF!</definedName>
    <definedName name="__xlnm.Print_Area_2_2" localSheetId="10">#REF!</definedName>
    <definedName name="__xlnm.Print_Area_2_2">#REF!</definedName>
    <definedName name="__xlnm.Print_Area_2_3" localSheetId="10">#REF!</definedName>
    <definedName name="__xlnm.Print_Area_2_3">#REF!</definedName>
    <definedName name="__xlnm.Print_Area_2_4" localSheetId="10">#REF!</definedName>
    <definedName name="__xlnm.Print_Area_2_4">#REF!</definedName>
    <definedName name="__xlnm.Print_Area_2_5" localSheetId="10">#REF!</definedName>
    <definedName name="__xlnm.Print_Area_2_5">#REF!</definedName>
    <definedName name="__xlnm.Print_Area_2_6" localSheetId="10">#REF!</definedName>
    <definedName name="__xlnm.Print_Area_2_6">#REF!</definedName>
    <definedName name="__xlnm.Print_Area_20" localSheetId="10">#REF!</definedName>
    <definedName name="__xlnm.Print_Area_20">#REF!</definedName>
    <definedName name="__xlnm.Print_Area_21" localSheetId="10">#REF!</definedName>
    <definedName name="__xlnm.Print_Area_21">#REF!</definedName>
    <definedName name="__xlnm.Print_Area_21_1" localSheetId="10">#REF!</definedName>
    <definedName name="__xlnm.Print_Area_21_1">#REF!</definedName>
    <definedName name="__xlnm.Print_Area_21_2" localSheetId="10">#REF!</definedName>
    <definedName name="__xlnm.Print_Area_21_2">#REF!</definedName>
    <definedName name="__xlnm.Print_Area_21_3" localSheetId="10">#REF!</definedName>
    <definedName name="__xlnm.Print_Area_21_3">#REF!</definedName>
    <definedName name="__xlnm.Print_Area_22" localSheetId="10">#REF!</definedName>
    <definedName name="__xlnm.Print_Area_22">#REF!</definedName>
    <definedName name="__xlnm.Print_Area_23" localSheetId="10">#REF!</definedName>
    <definedName name="__xlnm.Print_Area_23">#REF!</definedName>
    <definedName name="__xlnm.Print_Area_24" localSheetId="10">#REF!</definedName>
    <definedName name="__xlnm.Print_Area_24">#REF!</definedName>
    <definedName name="__xlnm.Print_Area_24_1" localSheetId="10">#REF!</definedName>
    <definedName name="__xlnm.Print_Area_24_1">#REF!</definedName>
    <definedName name="__xlnm.Print_Area_24_2" localSheetId="10">#REF!</definedName>
    <definedName name="__xlnm.Print_Area_24_2">#REF!</definedName>
    <definedName name="__xlnm.Print_Area_25" localSheetId="10">#REF!</definedName>
    <definedName name="__xlnm.Print_Area_25">#REF!</definedName>
    <definedName name="__xlnm.Print_Area_26" localSheetId="10">#REF!</definedName>
    <definedName name="__xlnm.Print_Area_26">#REF!</definedName>
    <definedName name="__xlnm.Print_Area_27" localSheetId="10">#REF!</definedName>
    <definedName name="__xlnm.Print_Area_27">#REF!</definedName>
    <definedName name="__xlnm.Print_Area_28" localSheetId="10">#REF!</definedName>
    <definedName name="__xlnm.Print_Area_28">#REF!</definedName>
    <definedName name="__xlnm.Print_Area_29" localSheetId="10">#REF!</definedName>
    <definedName name="__xlnm.Print_Area_29">#REF!</definedName>
    <definedName name="__xlnm.Print_Area_3" localSheetId="10">#REF!</definedName>
    <definedName name="__xlnm.Print_Area_3">#REF!</definedName>
    <definedName name="__xlnm.Print_Area_30" localSheetId="10">#REF!</definedName>
    <definedName name="__xlnm.Print_Area_30">#REF!</definedName>
    <definedName name="__xlnm.Print_Area_31" localSheetId="10">#REF!</definedName>
    <definedName name="__xlnm.Print_Area_31">#REF!</definedName>
    <definedName name="__xlnm.Print_Area_32" localSheetId="10">#REF!</definedName>
    <definedName name="__xlnm.Print_Area_32">#REF!</definedName>
    <definedName name="__xlnm.Print_Area_33" localSheetId="10">#REF!</definedName>
    <definedName name="__xlnm.Print_Area_33">#REF!</definedName>
    <definedName name="__xlnm.Print_Area_34" localSheetId="10">#REF!</definedName>
    <definedName name="__xlnm.Print_Area_34">#REF!</definedName>
    <definedName name="__xlnm.Print_Area_35" localSheetId="10">#REF!</definedName>
    <definedName name="__xlnm.Print_Area_35">#REF!</definedName>
    <definedName name="__xlnm.Print_Area_36" localSheetId="10">#REF!</definedName>
    <definedName name="__xlnm.Print_Area_36">#REF!</definedName>
    <definedName name="__xlnm.Print_Area_37" localSheetId="10">#REF!</definedName>
    <definedName name="__xlnm.Print_Area_37">#REF!</definedName>
    <definedName name="__xlnm.Print_Area_38" localSheetId="10">#REF!</definedName>
    <definedName name="__xlnm.Print_Area_38">#REF!</definedName>
    <definedName name="__xlnm.Print_Area_39" localSheetId="10">#REF!</definedName>
    <definedName name="__xlnm.Print_Area_39">#REF!</definedName>
    <definedName name="__xlnm.Print_Area_4" localSheetId="10">#REF!</definedName>
    <definedName name="__xlnm.Print_Area_4">#REF!</definedName>
    <definedName name="__xlnm.Print_Area_41" localSheetId="10">#REF!</definedName>
    <definedName name="__xlnm.Print_Area_41">#REF!</definedName>
    <definedName name="__xlnm.Print_Area_42" localSheetId="10">#REF!</definedName>
    <definedName name="__xlnm.Print_Area_42">#REF!</definedName>
    <definedName name="__xlnm.Print_Area_43" localSheetId="10">#REF!</definedName>
    <definedName name="__xlnm.Print_Area_43">#REF!</definedName>
    <definedName name="__xlnm.Print_Area_44" localSheetId="10">#REF!</definedName>
    <definedName name="__xlnm.Print_Area_44">#REF!</definedName>
    <definedName name="__xlnm.Print_Area_45" localSheetId="10">#REF!</definedName>
    <definedName name="__xlnm.Print_Area_45">#REF!</definedName>
    <definedName name="__xlnm.Print_Area_46" localSheetId="10">#REF!</definedName>
    <definedName name="__xlnm.Print_Area_46">#REF!</definedName>
    <definedName name="__xlnm.Print_Area_46_1" localSheetId="10">#REF!</definedName>
    <definedName name="__xlnm.Print_Area_46_1">#REF!</definedName>
    <definedName name="__xlnm.Print_Area_46_2" localSheetId="10">#REF!</definedName>
    <definedName name="__xlnm.Print_Area_46_2">#REF!</definedName>
    <definedName name="__xlnm.Print_Area_46_3" localSheetId="10">#REF!</definedName>
    <definedName name="__xlnm.Print_Area_46_3">#REF!</definedName>
    <definedName name="__xlnm.Print_Area_46_4" localSheetId="10">#REF!</definedName>
    <definedName name="__xlnm.Print_Area_46_4">#REF!</definedName>
    <definedName name="__xlnm.Print_Area_46_5" localSheetId="10">#REF!</definedName>
    <definedName name="__xlnm.Print_Area_46_5">#REF!</definedName>
    <definedName name="__xlnm.Print_Area_46_6" localSheetId="10">#REF!</definedName>
    <definedName name="__xlnm.Print_Area_46_6">#REF!</definedName>
    <definedName name="__xlnm.Print_Area_46_7" localSheetId="10">#REF!</definedName>
    <definedName name="__xlnm.Print_Area_46_7">#REF!</definedName>
    <definedName name="__xlnm.Print_Area_46_8" localSheetId="10">#REF!</definedName>
    <definedName name="__xlnm.Print_Area_46_8">#REF!</definedName>
    <definedName name="__xlnm.Print_Area_46_9" localSheetId="10">#REF!</definedName>
    <definedName name="__xlnm.Print_Area_46_9">#REF!</definedName>
    <definedName name="__xlnm.Print_Area_47">"#REF!"</definedName>
    <definedName name="__xlnm.Print_Area_49" localSheetId="10">#REF!</definedName>
    <definedName name="__xlnm.Print_Area_49">#REF!</definedName>
    <definedName name="__xlnm.Print_Area_5" localSheetId="10">#REF!</definedName>
    <definedName name="__xlnm.Print_Area_5">#REF!</definedName>
    <definedName name="__xlnm.Print_Area_51" localSheetId="10">#REF!</definedName>
    <definedName name="__xlnm.Print_Area_51">#REF!</definedName>
    <definedName name="__xlnm.Print_Area_52" localSheetId="10">#REF!</definedName>
    <definedName name="__xlnm.Print_Area_52">#REF!</definedName>
    <definedName name="__xlnm.Print_Area_53" localSheetId="10">#REF!</definedName>
    <definedName name="__xlnm.Print_Area_53">#REF!</definedName>
    <definedName name="__xlnm.Print_Area_54" localSheetId="10">#REF!</definedName>
    <definedName name="__xlnm.Print_Area_54">#REF!</definedName>
    <definedName name="__xlnm.Print_Area_55" localSheetId="10">#REF!</definedName>
    <definedName name="__xlnm.Print_Area_55">#REF!</definedName>
    <definedName name="__xlnm.Print_Area_56" localSheetId="10">#REF!</definedName>
    <definedName name="__xlnm.Print_Area_56">#REF!</definedName>
    <definedName name="__xlnm.Print_Area_57" localSheetId="10">#REF!</definedName>
    <definedName name="__xlnm.Print_Area_57">#REF!</definedName>
    <definedName name="__xlnm.Print_Area_58" localSheetId="10">#REF!</definedName>
    <definedName name="__xlnm.Print_Area_58">#REF!</definedName>
    <definedName name="__xlnm.Print_Area_59" localSheetId="10">#REF!</definedName>
    <definedName name="__xlnm.Print_Area_59">#REF!</definedName>
    <definedName name="__xlnm.Print_Area_6" localSheetId="10">#REF!</definedName>
    <definedName name="__xlnm.Print_Area_6">#REF!</definedName>
    <definedName name="__xlnm.Print_Area_60" localSheetId="10">#REF!</definedName>
    <definedName name="__xlnm.Print_Area_60">#REF!</definedName>
    <definedName name="__xlnm.Print_Area_61" localSheetId="10">#REF!</definedName>
    <definedName name="__xlnm.Print_Area_61">#REF!</definedName>
    <definedName name="__xlnm.Print_Area_62" localSheetId="10">#REF!</definedName>
    <definedName name="__xlnm.Print_Area_62">#REF!</definedName>
    <definedName name="__xlnm.Print_Area_63" localSheetId="10">#REF!</definedName>
    <definedName name="__xlnm.Print_Area_63">#REF!</definedName>
    <definedName name="__xlnm.Print_Area_64" localSheetId="10">#REF!</definedName>
    <definedName name="__xlnm.Print_Area_64">#REF!</definedName>
    <definedName name="__xlnm.Print_Area_65" localSheetId="10">#REF!</definedName>
    <definedName name="__xlnm.Print_Area_65">#REF!</definedName>
    <definedName name="__xlnm.Print_Area_66" localSheetId="10">#REF!</definedName>
    <definedName name="__xlnm.Print_Area_66">#REF!</definedName>
    <definedName name="__xlnm.Print_Area_67" localSheetId="10">#REF!</definedName>
    <definedName name="__xlnm.Print_Area_67">#REF!</definedName>
    <definedName name="__xlnm.Print_Area_68" localSheetId="10">#REF!</definedName>
    <definedName name="__xlnm.Print_Area_68">#REF!</definedName>
    <definedName name="__xlnm.Print_Area_69" localSheetId="10">#REF!</definedName>
    <definedName name="__xlnm.Print_Area_69">#REF!</definedName>
    <definedName name="__xlnm.Print_Area_7" localSheetId="10">#REF!</definedName>
    <definedName name="__xlnm.Print_Area_7">#REF!</definedName>
    <definedName name="__xlnm.Print_Area_71" localSheetId="10">#REF!</definedName>
    <definedName name="__xlnm.Print_Area_71">#REF!</definedName>
    <definedName name="__xlnm.Print_Area_72" localSheetId="10">#REF!</definedName>
    <definedName name="__xlnm.Print_Area_72">#REF!</definedName>
    <definedName name="__xlnm.Print_Area_73" localSheetId="10">#REF!</definedName>
    <definedName name="__xlnm.Print_Area_73">#REF!</definedName>
    <definedName name="__xlnm.Print_Area_74" localSheetId="10">#REF!</definedName>
    <definedName name="__xlnm.Print_Area_74">#REF!</definedName>
    <definedName name="__xlnm.Print_Area_76" localSheetId="10">#REF!</definedName>
    <definedName name="__xlnm.Print_Area_76">#REF!</definedName>
    <definedName name="__xlnm.Print_Area_77">#N/A</definedName>
    <definedName name="__xlnm.Print_Area_78" localSheetId="10">#REF!</definedName>
    <definedName name="__xlnm.Print_Area_78">#REF!</definedName>
    <definedName name="__xlnm.Print_Area_79" localSheetId="10">#REF!</definedName>
    <definedName name="__xlnm.Print_Area_79">#REF!</definedName>
    <definedName name="__xlnm.Print_Area_8" localSheetId="10">#REF!</definedName>
    <definedName name="__xlnm.Print_Area_8">#REF!</definedName>
    <definedName name="__xlnm.Print_Area_80" localSheetId="10">#REF!</definedName>
    <definedName name="__xlnm.Print_Area_80">#REF!</definedName>
    <definedName name="__xlnm.Print_Area_81" localSheetId="10">#REF!</definedName>
    <definedName name="__xlnm.Print_Area_81">#REF!</definedName>
    <definedName name="__xlnm.Print_Area_9" localSheetId="10">#REF!</definedName>
    <definedName name="__xlnm.Print_Area_9">#REF!</definedName>
    <definedName name="__xlnm.Print_Titles" localSheetId="10">#REF!</definedName>
    <definedName name="__xlnm.Print_Titles">#REF!</definedName>
    <definedName name="__xlnm.Print_Titles_1" localSheetId="10">#REF!</definedName>
    <definedName name="__xlnm.Print_Titles_1">#REF!</definedName>
    <definedName name="__xlnm.Print_Titles_2" localSheetId="10">#REF!</definedName>
    <definedName name="__xlnm.Print_Titles_2">#REF!</definedName>
    <definedName name="_ftn1">"#N/A"</definedName>
    <definedName name="_ftnref1">"#N/A"</definedName>
    <definedName name="_Parse_Out" localSheetId="10"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10">#REF!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10">#REF!</definedName>
    <definedName name="Incr2000">#REF!</definedName>
    <definedName name="Index_Sheet_Kutools" localSheetId="10">#REF!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10">#REF!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10">#REF!</definedName>
    <definedName name="LIMIT">#REF!</definedName>
    <definedName name="LossFactors">[5]lists!$L$2:$L$15</definedName>
    <definedName name="man_beg_bud" localSheetId="10">#REF!</definedName>
    <definedName name="man_beg_bud">#REF!</definedName>
    <definedName name="man_end_bud" localSheetId="10">#REF!</definedName>
    <definedName name="man_end_bud">#REF!</definedName>
    <definedName name="man12ACT" localSheetId="10">#REF!</definedName>
    <definedName name="man12ACT">#REF!</definedName>
    <definedName name="MANBUD" localSheetId="10">#REF!</definedName>
    <definedName name="MANBUD">#REF!</definedName>
    <definedName name="manCYACT" localSheetId="10">#REF!</definedName>
    <definedName name="manCYACT">#REF!</definedName>
    <definedName name="manCYBUD" localSheetId="10">#REF!</definedName>
    <definedName name="manCYBUD">#REF!</definedName>
    <definedName name="manCYF" localSheetId="10">#REF!</definedName>
    <definedName name="manCYF">#REF!</definedName>
    <definedName name="MANEND" localSheetId="10">#REF!</definedName>
    <definedName name="MANEND">#REF!</definedName>
    <definedName name="manNYbud" localSheetId="10">#REF!</definedName>
    <definedName name="manNYbud">#REF!</definedName>
    <definedName name="manpower_costs" localSheetId="10">#REF!</definedName>
    <definedName name="manpower_costs">#REF!</definedName>
    <definedName name="manPYACT" localSheetId="10">#REF!</definedName>
    <definedName name="manPYACT">#REF!</definedName>
    <definedName name="MANSTART" localSheetId="10">#REF!</definedName>
    <definedName name="MANSTART">#REF!</definedName>
    <definedName name="mat_beg_bud" localSheetId="10">#REF!</definedName>
    <definedName name="mat_beg_bud">#REF!</definedName>
    <definedName name="mat_end_bud" localSheetId="10">#REF!</definedName>
    <definedName name="mat_end_bud">#REF!</definedName>
    <definedName name="mat12ACT" localSheetId="10">#REF!</definedName>
    <definedName name="mat12ACT">#REF!</definedName>
    <definedName name="MATBUD" localSheetId="10">#REF!</definedName>
    <definedName name="MATBUD">#REF!</definedName>
    <definedName name="matCYACT" localSheetId="10">#REF!</definedName>
    <definedName name="matCYACT">#REF!</definedName>
    <definedName name="matCYBUD" localSheetId="10">#REF!</definedName>
    <definedName name="matCYBUD">#REF!</definedName>
    <definedName name="matCYF" localSheetId="10">#REF!</definedName>
    <definedName name="matCYF">#REF!</definedName>
    <definedName name="MATEND" localSheetId="10">#REF!</definedName>
    <definedName name="MATEND">#REF!</definedName>
    <definedName name="material_costs" localSheetId="10">#REF!</definedName>
    <definedName name="material_costs">#REF!</definedName>
    <definedName name="matNYbud" localSheetId="10">#REF!</definedName>
    <definedName name="matNYbud">#REF!</definedName>
    <definedName name="matPYACT" localSheetId="10">#REF!</definedName>
    <definedName name="matPYACT">#REF!</definedName>
    <definedName name="MATSTART" localSheetId="10">#REF!</definedName>
    <definedName name="MATSTART">#REF!</definedName>
    <definedName name="NonPayment">[5]lists!$AA$1:$AA$71</definedName>
    <definedName name="OLE_LINK1">"#REF!"</definedName>
    <definedName name="OLE_LINK7">"#REF!"</definedName>
    <definedName name="oth_beg_bud" localSheetId="10">#REF!</definedName>
    <definedName name="oth_beg_bud">#REF!</definedName>
    <definedName name="oth_end_bud" localSheetId="10">#REF!</definedName>
    <definedName name="oth_end_bud">#REF!</definedName>
    <definedName name="oth12ACT" localSheetId="10">#REF!</definedName>
    <definedName name="oth12ACT">#REF!</definedName>
    <definedName name="othCYACT" localSheetId="10">#REF!</definedName>
    <definedName name="othCYACT">#REF!</definedName>
    <definedName name="othCYBUD" localSheetId="10">#REF!</definedName>
    <definedName name="othCYBUD">#REF!</definedName>
    <definedName name="othCYF" localSheetId="10">#REF!</definedName>
    <definedName name="othCYF">#REF!</definedName>
    <definedName name="OTHEND" localSheetId="10">#REF!</definedName>
    <definedName name="OTHEND">#REF!</definedName>
    <definedName name="other_costs" localSheetId="10">#REF!</definedName>
    <definedName name="other_costs">#REF!</definedName>
    <definedName name="OTHERBUD" localSheetId="10">#REF!</definedName>
    <definedName name="OTHERBUD">#REF!</definedName>
    <definedName name="othNYbud" localSheetId="10">#REF!</definedName>
    <definedName name="othNYbud">#REF!</definedName>
    <definedName name="othPYACT" localSheetId="10">#REF!</definedName>
    <definedName name="othPYACT">#REF!</definedName>
    <definedName name="OTHSTART" localSheetId="10">#REF!</definedName>
    <definedName name="OTHSTART">#REF!</definedName>
    <definedName name="print_end" localSheetId="10">#REF!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10">#REF!</definedName>
    <definedName name="SALBENF">#REF!</definedName>
    <definedName name="salreg" localSheetId="10">#REF!</definedName>
    <definedName name="salreg">#REF!</definedName>
    <definedName name="SALREGF" localSheetId="10">#REF!</definedName>
    <definedName name="SALREGF">#REF!</definedName>
    <definedName name="sdfvgsdfsf" localSheetId="10">#REF!</definedName>
    <definedName name="sdfvgsdfsf">#REF!</definedName>
    <definedName name="Start_12" localSheetId="10">#REF!</definedName>
    <definedName name="Start_12">#REF!</definedName>
    <definedName name="Start_5" localSheetId="10">#REF!</definedName>
    <definedName name="Start_5">#REF!</definedName>
    <definedName name="TEMPA" localSheetId="10">#REF!</definedName>
    <definedName name="TEMPA">#REF!</definedName>
    <definedName name="Test_Year">'[3]0.1 LDC Info'!$E$25</definedName>
    <definedName name="TestYear">'[4]LDC Info'!$E$24</definedName>
    <definedName name="TestYr">'[13]P0.Admin'!$C$13</definedName>
    <definedName name="total_dept" localSheetId="10">#REF!</definedName>
    <definedName name="total_dept">#REF!</definedName>
    <definedName name="total_manpower" localSheetId="10">#REF!</definedName>
    <definedName name="total_manpower">#REF!</definedName>
    <definedName name="total_material" localSheetId="10">#REF!</definedName>
    <definedName name="total_material">#REF!</definedName>
    <definedName name="total_other" localSheetId="10">#REF!</definedName>
    <definedName name="total_other">#REF!</definedName>
    <definedName name="total_transportation" localSheetId="10">#REF!</definedName>
    <definedName name="total_transportation">#REF!</definedName>
    <definedName name="TRANBUD" localSheetId="10">#REF!</definedName>
    <definedName name="TRANBUD">#REF!</definedName>
    <definedName name="TRANEND" localSheetId="10">#REF!</definedName>
    <definedName name="TRANEND">#REF!</definedName>
    <definedName name="transportation_costs" localSheetId="10">#REF!</definedName>
    <definedName name="transportation_costs">#REF!</definedName>
    <definedName name="TRANSTART" localSheetId="10">#REF!</definedName>
    <definedName name="TRANSTART">#REF!</definedName>
    <definedName name="trn_beg_bud" localSheetId="10">#REF!</definedName>
    <definedName name="trn_beg_bud">#REF!</definedName>
    <definedName name="trn_end_bud" localSheetId="10">#REF!</definedName>
    <definedName name="trn_end_bud">#REF!</definedName>
    <definedName name="trn12ACT" localSheetId="10">#REF!</definedName>
    <definedName name="trn12ACT">#REF!</definedName>
    <definedName name="trnCYACT" localSheetId="10">#REF!</definedName>
    <definedName name="trnCYACT">#REF!</definedName>
    <definedName name="trnCYBUD" localSheetId="10">#REF!</definedName>
    <definedName name="trnCYBUD">#REF!</definedName>
    <definedName name="trnCYF" localSheetId="10">#REF!</definedName>
    <definedName name="trnCYF">#REF!</definedName>
    <definedName name="trnNYbud" localSheetId="10">#REF!</definedName>
    <definedName name="trnNYbud">#REF!</definedName>
    <definedName name="trnPYACT" localSheetId="10">#REF!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10">#REF!</definedName>
    <definedName name="WAGBENF">#REF!</definedName>
    <definedName name="wagdob" localSheetId="10">#REF!</definedName>
    <definedName name="wagdob">#REF!</definedName>
    <definedName name="wagdobf" localSheetId="10">#REF!</definedName>
    <definedName name="wagdobf">#REF!</definedName>
    <definedName name="wagreg" localSheetId="10">#REF!</definedName>
    <definedName name="wagreg">#REF!</definedName>
    <definedName name="wagregf" localSheetId="10">#REF!</definedName>
    <definedName name="wagregf">#REF!</definedName>
    <definedName name="Z_258F368B_AF27_44ED_A772_A0C4A2AFB945_.wvu.Cols" localSheetId="10">#REF!</definedName>
    <definedName name="Z_258F368B_AF27_44ED_A772_A0C4A2AFB945_.wvu.Cols">#REF!</definedName>
    <definedName name="Z_258F368B_AF27_44ED_A772_A0C4A2AFB945_.wvu.Cols_1" localSheetId="10">#REF!</definedName>
    <definedName name="Z_258F368B_AF27_44ED_A772_A0C4A2AFB945_.wvu.Cols_1">#REF!</definedName>
    <definedName name="Z_258F368B_AF27_44ED_A772_A0C4A2AFB945_.wvu.Cols_2">#N/A</definedName>
    <definedName name="Z_258F368B_AF27_44ED_A772_A0C4A2AFB945_.wvu.FilterData" localSheetId="10">#REF!</definedName>
    <definedName name="Z_258F368B_AF27_44ED_A772_A0C4A2AFB945_.wvu.FilterData">#REF!</definedName>
    <definedName name="Z_258F368B_AF27_44ED_A772_A0C4A2AFB945_.wvu.PrintArea" localSheetId="10">#REF!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10">#REF!</definedName>
    <definedName name="Z_258F368B_AF27_44ED_A772_A0C4A2AFB945_.wvu.PrintArea_10">#REF!</definedName>
    <definedName name="Z_258F368B_AF27_44ED_A772_A0C4A2AFB945_.wvu.PrintArea_11" localSheetId="10">#REF!</definedName>
    <definedName name="Z_258F368B_AF27_44ED_A772_A0C4A2AFB945_.wvu.PrintArea_11">#REF!</definedName>
    <definedName name="Z_258F368B_AF27_44ED_A772_A0C4A2AFB945_.wvu.PrintArea_12" localSheetId="10">#REF!</definedName>
    <definedName name="Z_258F368B_AF27_44ED_A772_A0C4A2AFB945_.wvu.PrintArea_12">#REF!</definedName>
    <definedName name="Z_258F368B_AF27_44ED_A772_A0C4A2AFB945_.wvu.PrintArea_13" localSheetId="10">#REF!</definedName>
    <definedName name="Z_258F368B_AF27_44ED_A772_A0C4A2AFB945_.wvu.PrintArea_13">#REF!</definedName>
    <definedName name="Z_258F368B_AF27_44ED_A772_A0C4A2AFB945_.wvu.PrintArea_14" localSheetId="10">#REF!</definedName>
    <definedName name="Z_258F368B_AF27_44ED_A772_A0C4A2AFB945_.wvu.PrintArea_14">#REF!</definedName>
    <definedName name="Z_258F368B_AF27_44ED_A772_A0C4A2AFB945_.wvu.PrintArea_15" localSheetId="10">#REF!</definedName>
    <definedName name="Z_258F368B_AF27_44ED_A772_A0C4A2AFB945_.wvu.PrintArea_15">#REF!</definedName>
    <definedName name="Z_258F368B_AF27_44ED_A772_A0C4A2AFB945_.wvu.PrintArea_16" localSheetId="10">#REF!</definedName>
    <definedName name="Z_258F368B_AF27_44ED_A772_A0C4A2AFB945_.wvu.PrintArea_16">#REF!</definedName>
    <definedName name="Z_258F368B_AF27_44ED_A772_A0C4A2AFB945_.wvu.PrintArea_17" localSheetId="10">#REF!</definedName>
    <definedName name="Z_258F368B_AF27_44ED_A772_A0C4A2AFB945_.wvu.PrintArea_17">#REF!</definedName>
    <definedName name="Z_258F368B_AF27_44ED_A772_A0C4A2AFB945_.wvu.PrintArea_18" localSheetId="10">#REF!</definedName>
    <definedName name="Z_258F368B_AF27_44ED_A772_A0C4A2AFB945_.wvu.PrintArea_18">#REF!</definedName>
    <definedName name="Z_258F368B_AF27_44ED_A772_A0C4A2AFB945_.wvu.PrintArea_19" localSheetId="10">#REF!</definedName>
    <definedName name="Z_258F368B_AF27_44ED_A772_A0C4A2AFB945_.wvu.PrintArea_19">#REF!</definedName>
    <definedName name="Z_258F368B_AF27_44ED_A772_A0C4A2AFB945_.wvu.PrintArea_2" localSheetId="10">#REF!</definedName>
    <definedName name="Z_258F368B_AF27_44ED_A772_A0C4A2AFB945_.wvu.PrintArea_2">#REF!</definedName>
    <definedName name="Z_258F368B_AF27_44ED_A772_A0C4A2AFB945_.wvu.PrintArea_2_1" localSheetId="10">#REF!</definedName>
    <definedName name="Z_258F368B_AF27_44ED_A772_A0C4A2AFB945_.wvu.PrintArea_2_1">#REF!</definedName>
    <definedName name="Z_258F368B_AF27_44ED_A772_A0C4A2AFB945_.wvu.PrintArea_2_2" localSheetId="10">#REF!</definedName>
    <definedName name="Z_258F368B_AF27_44ED_A772_A0C4A2AFB945_.wvu.PrintArea_2_2">#REF!</definedName>
    <definedName name="Z_258F368B_AF27_44ED_A772_A0C4A2AFB945_.wvu.PrintArea_2_3" localSheetId="10">#REF!</definedName>
    <definedName name="Z_258F368B_AF27_44ED_A772_A0C4A2AFB945_.wvu.PrintArea_2_3">#REF!</definedName>
    <definedName name="Z_258F368B_AF27_44ED_A772_A0C4A2AFB945_.wvu.PrintArea_2_4" localSheetId="10">#REF!</definedName>
    <definedName name="Z_258F368B_AF27_44ED_A772_A0C4A2AFB945_.wvu.PrintArea_2_4">#REF!</definedName>
    <definedName name="Z_258F368B_AF27_44ED_A772_A0C4A2AFB945_.wvu.PrintArea_2_5" localSheetId="10">#REF!</definedName>
    <definedName name="Z_258F368B_AF27_44ED_A772_A0C4A2AFB945_.wvu.PrintArea_2_5">#REF!</definedName>
    <definedName name="Z_258F368B_AF27_44ED_A772_A0C4A2AFB945_.wvu.PrintArea_2_6" localSheetId="10">#REF!</definedName>
    <definedName name="Z_258F368B_AF27_44ED_A772_A0C4A2AFB945_.wvu.PrintArea_2_6">#REF!</definedName>
    <definedName name="Z_258F368B_AF27_44ED_A772_A0C4A2AFB945_.wvu.PrintArea_20" localSheetId="10">#REF!</definedName>
    <definedName name="Z_258F368B_AF27_44ED_A772_A0C4A2AFB945_.wvu.PrintArea_20">#REF!</definedName>
    <definedName name="Z_258F368B_AF27_44ED_A772_A0C4A2AFB945_.wvu.PrintArea_21" localSheetId="10">#REF!</definedName>
    <definedName name="Z_258F368B_AF27_44ED_A772_A0C4A2AFB945_.wvu.PrintArea_21">#REF!</definedName>
    <definedName name="Z_258F368B_AF27_44ED_A772_A0C4A2AFB945_.wvu.PrintArea_21_1" localSheetId="10">#REF!</definedName>
    <definedName name="Z_258F368B_AF27_44ED_A772_A0C4A2AFB945_.wvu.PrintArea_21_1">#REF!</definedName>
    <definedName name="Z_258F368B_AF27_44ED_A772_A0C4A2AFB945_.wvu.PrintArea_21_2" localSheetId="10">#REF!</definedName>
    <definedName name="Z_258F368B_AF27_44ED_A772_A0C4A2AFB945_.wvu.PrintArea_21_2">#REF!</definedName>
    <definedName name="Z_258F368B_AF27_44ED_A772_A0C4A2AFB945_.wvu.PrintArea_21_3" localSheetId="10">#REF!</definedName>
    <definedName name="Z_258F368B_AF27_44ED_A772_A0C4A2AFB945_.wvu.PrintArea_21_3">#REF!</definedName>
    <definedName name="Z_258F368B_AF27_44ED_A772_A0C4A2AFB945_.wvu.PrintArea_22" localSheetId="10">#REF!</definedName>
    <definedName name="Z_258F368B_AF27_44ED_A772_A0C4A2AFB945_.wvu.PrintArea_22">#REF!</definedName>
    <definedName name="Z_258F368B_AF27_44ED_A772_A0C4A2AFB945_.wvu.PrintArea_23" localSheetId="10">#REF!</definedName>
    <definedName name="Z_258F368B_AF27_44ED_A772_A0C4A2AFB945_.wvu.PrintArea_23">#REF!</definedName>
    <definedName name="Z_258F368B_AF27_44ED_A772_A0C4A2AFB945_.wvu.PrintArea_24" localSheetId="10">#REF!</definedName>
    <definedName name="Z_258F368B_AF27_44ED_A772_A0C4A2AFB945_.wvu.PrintArea_24">#REF!</definedName>
    <definedName name="Z_258F368B_AF27_44ED_A772_A0C4A2AFB945_.wvu.PrintArea_24_1" localSheetId="10">#REF!</definedName>
    <definedName name="Z_258F368B_AF27_44ED_A772_A0C4A2AFB945_.wvu.PrintArea_24_1">#REF!</definedName>
    <definedName name="Z_258F368B_AF27_44ED_A772_A0C4A2AFB945_.wvu.PrintArea_24_2" localSheetId="10">#REF!</definedName>
    <definedName name="Z_258F368B_AF27_44ED_A772_A0C4A2AFB945_.wvu.PrintArea_24_2">#REF!</definedName>
    <definedName name="Z_258F368B_AF27_44ED_A772_A0C4A2AFB945_.wvu.PrintArea_25" localSheetId="10">#REF!</definedName>
    <definedName name="Z_258F368B_AF27_44ED_A772_A0C4A2AFB945_.wvu.PrintArea_25">#REF!</definedName>
    <definedName name="Z_258F368B_AF27_44ED_A772_A0C4A2AFB945_.wvu.PrintArea_26" localSheetId="10">#REF!</definedName>
    <definedName name="Z_258F368B_AF27_44ED_A772_A0C4A2AFB945_.wvu.PrintArea_26">#REF!</definedName>
    <definedName name="Z_258F368B_AF27_44ED_A772_A0C4A2AFB945_.wvu.PrintArea_27" localSheetId="10">#REF!</definedName>
    <definedName name="Z_258F368B_AF27_44ED_A772_A0C4A2AFB945_.wvu.PrintArea_27">#REF!</definedName>
    <definedName name="Z_258F368B_AF27_44ED_A772_A0C4A2AFB945_.wvu.PrintArea_28" localSheetId="10">#REF!</definedName>
    <definedName name="Z_258F368B_AF27_44ED_A772_A0C4A2AFB945_.wvu.PrintArea_28">#REF!</definedName>
    <definedName name="Z_258F368B_AF27_44ED_A772_A0C4A2AFB945_.wvu.PrintArea_29" localSheetId="10">#REF!</definedName>
    <definedName name="Z_258F368B_AF27_44ED_A772_A0C4A2AFB945_.wvu.PrintArea_29">#REF!</definedName>
    <definedName name="Z_258F368B_AF27_44ED_A772_A0C4A2AFB945_.wvu.PrintArea_3" localSheetId="10">#REF!</definedName>
    <definedName name="Z_258F368B_AF27_44ED_A772_A0C4A2AFB945_.wvu.PrintArea_3">#REF!</definedName>
    <definedName name="Z_258F368B_AF27_44ED_A772_A0C4A2AFB945_.wvu.PrintArea_30" localSheetId="10">#REF!</definedName>
    <definedName name="Z_258F368B_AF27_44ED_A772_A0C4A2AFB945_.wvu.PrintArea_30">#REF!</definedName>
    <definedName name="Z_258F368B_AF27_44ED_A772_A0C4A2AFB945_.wvu.PrintArea_31" localSheetId="10">#REF!</definedName>
    <definedName name="Z_258F368B_AF27_44ED_A772_A0C4A2AFB945_.wvu.PrintArea_31">#REF!</definedName>
    <definedName name="Z_258F368B_AF27_44ED_A772_A0C4A2AFB945_.wvu.PrintArea_32" localSheetId="10">#REF!</definedName>
    <definedName name="Z_258F368B_AF27_44ED_A772_A0C4A2AFB945_.wvu.PrintArea_32">#REF!</definedName>
    <definedName name="Z_258F368B_AF27_44ED_A772_A0C4A2AFB945_.wvu.PrintArea_33" localSheetId="10">#REF!</definedName>
    <definedName name="Z_258F368B_AF27_44ED_A772_A0C4A2AFB945_.wvu.PrintArea_33">#REF!</definedName>
    <definedName name="Z_258F368B_AF27_44ED_A772_A0C4A2AFB945_.wvu.PrintArea_34" localSheetId="10">#REF!</definedName>
    <definedName name="Z_258F368B_AF27_44ED_A772_A0C4A2AFB945_.wvu.PrintArea_34">#REF!</definedName>
    <definedName name="Z_258F368B_AF27_44ED_A772_A0C4A2AFB945_.wvu.PrintArea_35" localSheetId="10">#REF!</definedName>
    <definedName name="Z_258F368B_AF27_44ED_A772_A0C4A2AFB945_.wvu.PrintArea_35">#REF!</definedName>
    <definedName name="Z_258F368B_AF27_44ED_A772_A0C4A2AFB945_.wvu.PrintArea_36" localSheetId="10">#REF!</definedName>
    <definedName name="Z_258F368B_AF27_44ED_A772_A0C4A2AFB945_.wvu.PrintArea_36">#REF!</definedName>
    <definedName name="Z_258F368B_AF27_44ED_A772_A0C4A2AFB945_.wvu.PrintArea_37" localSheetId="10">#REF!</definedName>
    <definedName name="Z_258F368B_AF27_44ED_A772_A0C4A2AFB945_.wvu.PrintArea_37">#REF!</definedName>
    <definedName name="Z_258F368B_AF27_44ED_A772_A0C4A2AFB945_.wvu.PrintArea_38" localSheetId="10">#REF!</definedName>
    <definedName name="Z_258F368B_AF27_44ED_A772_A0C4A2AFB945_.wvu.PrintArea_38">#REF!</definedName>
    <definedName name="Z_258F368B_AF27_44ED_A772_A0C4A2AFB945_.wvu.PrintArea_39" localSheetId="10">#REF!</definedName>
    <definedName name="Z_258F368B_AF27_44ED_A772_A0C4A2AFB945_.wvu.PrintArea_39">#REF!</definedName>
    <definedName name="Z_258F368B_AF27_44ED_A772_A0C4A2AFB945_.wvu.PrintArea_4" localSheetId="10">#REF!</definedName>
    <definedName name="Z_258F368B_AF27_44ED_A772_A0C4A2AFB945_.wvu.PrintArea_4">#REF!</definedName>
    <definedName name="Z_258F368B_AF27_44ED_A772_A0C4A2AFB945_.wvu.PrintArea_41" localSheetId="10">#REF!</definedName>
    <definedName name="Z_258F368B_AF27_44ED_A772_A0C4A2AFB945_.wvu.PrintArea_41">#REF!</definedName>
    <definedName name="Z_258F368B_AF27_44ED_A772_A0C4A2AFB945_.wvu.PrintArea_42" localSheetId="10">#REF!</definedName>
    <definedName name="Z_258F368B_AF27_44ED_A772_A0C4A2AFB945_.wvu.PrintArea_42">#REF!</definedName>
    <definedName name="Z_258F368B_AF27_44ED_A772_A0C4A2AFB945_.wvu.PrintArea_43" localSheetId="10">#REF!</definedName>
    <definedName name="Z_258F368B_AF27_44ED_A772_A0C4A2AFB945_.wvu.PrintArea_43">#REF!</definedName>
    <definedName name="Z_258F368B_AF27_44ED_A772_A0C4A2AFB945_.wvu.PrintArea_44" localSheetId="10">#REF!</definedName>
    <definedName name="Z_258F368B_AF27_44ED_A772_A0C4A2AFB945_.wvu.PrintArea_44">#REF!</definedName>
    <definedName name="Z_258F368B_AF27_44ED_A772_A0C4A2AFB945_.wvu.PrintArea_45" localSheetId="10">#REF!</definedName>
    <definedName name="Z_258F368B_AF27_44ED_A772_A0C4A2AFB945_.wvu.PrintArea_45">#REF!</definedName>
    <definedName name="Z_258F368B_AF27_44ED_A772_A0C4A2AFB945_.wvu.PrintArea_46" localSheetId="10">#REF!</definedName>
    <definedName name="Z_258F368B_AF27_44ED_A772_A0C4A2AFB945_.wvu.PrintArea_46">#REF!</definedName>
    <definedName name="Z_258F368B_AF27_44ED_A772_A0C4A2AFB945_.wvu.PrintArea_46_1" localSheetId="10">#REF!</definedName>
    <definedName name="Z_258F368B_AF27_44ED_A772_A0C4A2AFB945_.wvu.PrintArea_46_1">#REF!</definedName>
    <definedName name="Z_258F368B_AF27_44ED_A772_A0C4A2AFB945_.wvu.PrintArea_46_2" localSheetId="10">#REF!</definedName>
    <definedName name="Z_258F368B_AF27_44ED_A772_A0C4A2AFB945_.wvu.PrintArea_46_2">#REF!</definedName>
    <definedName name="Z_258F368B_AF27_44ED_A772_A0C4A2AFB945_.wvu.PrintArea_46_3" localSheetId="10">#REF!</definedName>
    <definedName name="Z_258F368B_AF27_44ED_A772_A0C4A2AFB945_.wvu.PrintArea_46_3">#REF!</definedName>
    <definedName name="Z_258F368B_AF27_44ED_A772_A0C4A2AFB945_.wvu.PrintArea_46_4" localSheetId="10">#REF!</definedName>
    <definedName name="Z_258F368B_AF27_44ED_A772_A0C4A2AFB945_.wvu.PrintArea_46_4">#REF!</definedName>
    <definedName name="Z_258F368B_AF27_44ED_A772_A0C4A2AFB945_.wvu.PrintArea_46_5" localSheetId="10">#REF!</definedName>
    <definedName name="Z_258F368B_AF27_44ED_A772_A0C4A2AFB945_.wvu.PrintArea_46_5">#REF!</definedName>
    <definedName name="Z_258F368B_AF27_44ED_A772_A0C4A2AFB945_.wvu.PrintArea_46_6" localSheetId="10">#REF!</definedName>
    <definedName name="Z_258F368B_AF27_44ED_A772_A0C4A2AFB945_.wvu.PrintArea_46_6">#REF!</definedName>
    <definedName name="Z_258F368B_AF27_44ED_A772_A0C4A2AFB945_.wvu.PrintArea_46_7" localSheetId="10">#REF!</definedName>
    <definedName name="Z_258F368B_AF27_44ED_A772_A0C4A2AFB945_.wvu.PrintArea_46_7">#REF!</definedName>
    <definedName name="Z_258F368B_AF27_44ED_A772_A0C4A2AFB945_.wvu.PrintArea_46_8" localSheetId="10">#REF!</definedName>
    <definedName name="Z_258F368B_AF27_44ED_A772_A0C4A2AFB945_.wvu.PrintArea_46_8">#REF!</definedName>
    <definedName name="Z_258F368B_AF27_44ED_A772_A0C4A2AFB945_.wvu.PrintArea_46_9" localSheetId="10">#REF!</definedName>
    <definedName name="Z_258F368B_AF27_44ED_A772_A0C4A2AFB945_.wvu.PrintArea_46_9">#REF!</definedName>
    <definedName name="Z_258F368B_AF27_44ED_A772_A0C4A2AFB945_.wvu.PrintArea_47">"#REF!"</definedName>
    <definedName name="Z_258F368B_AF27_44ED_A772_A0C4A2AFB945_.wvu.PrintArea_49" localSheetId="10">#REF!</definedName>
    <definedName name="Z_258F368B_AF27_44ED_A772_A0C4A2AFB945_.wvu.PrintArea_49">#REF!</definedName>
    <definedName name="Z_258F368B_AF27_44ED_A772_A0C4A2AFB945_.wvu.PrintArea_5" localSheetId="10">#REF!</definedName>
    <definedName name="Z_258F368B_AF27_44ED_A772_A0C4A2AFB945_.wvu.PrintArea_5">#REF!</definedName>
    <definedName name="Z_258F368B_AF27_44ED_A772_A0C4A2AFB945_.wvu.PrintArea_6" localSheetId="10">#REF!</definedName>
    <definedName name="Z_258F368B_AF27_44ED_A772_A0C4A2AFB945_.wvu.PrintArea_6">#REF!</definedName>
    <definedName name="Z_258F368B_AF27_44ED_A772_A0C4A2AFB945_.wvu.PrintArea_7" localSheetId="10">#REF!</definedName>
    <definedName name="Z_258F368B_AF27_44ED_A772_A0C4A2AFB945_.wvu.PrintArea_7">#REF!</definedName>
    <definedName name="Z_258F368B_AF27_44ED_A772_A0C4A2AFB945_.wvu.PrintArea_8" localSheetId="10">#REF!</definedName>
    <definedName name="Z_258F368B_AF27_44ED_A772_A0C4A2AFB945_.wvu.PrintArea_8">#REF!</definedName>
    <definedName name="Z_258F368B_AF27_44ED_A772_A0C4A2AFB945_.wvu.PrintArea_9" localSheetId="10">#REF!</definedName>
    <definedName name="Z_258F368B_AF27_44ED_A772_A0C4A2AFB945_.wvu.PrintArea_9">#REF!</definedName>
    <definedName name="Z_258F368B_AF27_44ED_A772_A0C4A2AFB945_.wvu.Rows" localSheetId="10">#REF!</definedName>
    <definedName name="Z_258F368B_AF27_44ED_A772_A0C4A2AFB945_.wvu.Rows">#REF!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0" l="1"/>
  <c r="K6" i="10"/>
  <c r="M28" i="18" l="1"/>
  <c r="D28" i="18"/>
  <c r="L7" i="4"/>
  <c r="H30" i="7" s="1"/>
  <c r="M19" i="18"/>
  <c r="D19" i="18"/>
  <c r="M10" i="18"/>
  <c r="D10" i="18"/>
  <c r="L9" i="18"/>
  <c r="K9" i="18"/>
  <c r="N9" i="18" s="1"/>
  <c r="H9" i="18"/>
  <c r="L8" i="18"/>
  <c r="K8" i="18"/>
  <c r="N8" i="18" s="1"/>
  <c r="H8" i="18"/>
  <c r="L7" i="18"/>
  <c r="K7" i="18"/>
  <c r="N7" i="18" s="1"/>
  <c r="H7" i="18"/>
  <c r="L6" i="18"/>
  <c r="K6" i="18"/>
  <c r="H6" i="18"/>
  <c r="N6" i="18" l="1"/>
  <c r="N10" i="18" s="1"/>
  <c r="L10" i="18"/>
  <c r="K10" i="18"/>
  <c r="I14" i="10" l="1"/>
  <c r="F8" i="15" s="1"/>
  <c r="H7" i="4"/>
  <c r="H23" i="7" s="1"/>
  <c r="M17" i="10" l="1"/>
  <c r="G8" i="13" l="1"/>
  <c r="I8" i="13" s="1"/>
  <c r="G7" i="13"/>
  <c r="I7" i="13" s="1"/>
  <c r="G8" i="16" s="1"/>
  <c r="F8" i="13"/>
  <c r="H8" i="13" s="1"/>
  <c r="F7" i="13"/>
  <c r="H7" i="13" s="1"/>
  <c r="F7" i="17"/>
  <c r="F8" i="17"/>
  <c r="F9" i="17"/>
  <c r="F6" i="17"/>
  <c r="E10" i="17"/>
  <c r="D10" i="17"/>
  <c r="C10" i="17"/>
  <c r="E8" i="15" l="1"/>
  <c r="E22" i="15" s="1"/>
  <c r="E29" i="15" s="1"/>
  <c r="D8" i="15"/>
  <c r="J25" i="3" l="1"/>
  <c r="J26" i="3"/>
  <c r="F8" i="16"/>
  <c r="D22" i="15"/>
  <c r="D29" i="15" s="1"/>
  <c r="D8" i="13" l="1"/>
  <c r="J8" i="13" s="1"/>
  <c r="E8" i="13"/>
  <c r="K8" i="13" s="1"/>
  <c r="E7" i="13"/>
  <c r="D7" i="13"/>
  <c r="J7" i="13" s="1"/>
  <c r="M6" i="10"/>
  <c r="D8" i="16" l="1"/>
  <c r="D22" i="16" s="1"/>
  <c r="D29" i="16" s="1"/>
  <c r="E8" i="16"/>
  <c r="E22" i="16" s="1"/>
  <c r="E29" i="16" s="1"/>
  <c r="K7" i="13"/>
  <c r="D9" i="13"/>
  <c r="E9" i="13"/>
  <c r="I15" i="10" l="1"/>
  <c r="I16" i="10"/>
  <c r="J17" i="3" s="1"/>
  <c r="J14" i="10"/>
  <c r="J15" i="10"/>
  <c r="J16" i="10"/>
  <c r="J18" i="3" s="1"/>
  <c r="F16" i="10"/>
  <c r="D16" i="10"/>
  <c r="H8" i="6"/>
  <c r="H9" i="6"/>
  <c r="H10" i="6"/>
  <c r="H7" i="6"/>
  <c r="M11" i="6"/>
  <c r="L14" i="10" l="1"/>
  <c r="G8" i="15"/>
  <c r="I8" i="15" s="1"/>
  <c r="L15" i="10"/>
  <c r="J14" i="3"/>
  <c r="K15" i="10"/>
  <c r="J13" i="3"/>
  <c r="K14" i="10"/>
  <c r="K16" i="10"/>
  <c r="L16" i="10"/>
  <c r="L8" i="6"/>
  <c r="L9" i="6"/>
  <c r="L10" i="6"/>
  <c r="L7" i="6"/>
  <c r="K8" i="6"/>
  <c r="N8" i="6" s="1"/>
  <c r="K9" i="6"/>
  <c r="K10" i="6"/>
  <c r="K7" i="6"/>
  <c r="D11" i="6"/>
  <c r="M14" i="10" l="1"/>
  <c r="G14" i="10" s="1"/>
  <c r="M15" i="10"/>
  <c r="H15" i="10" s="1"/>
  <c r="M16" i="10"/>
  <c r="G16" i="10" s="1"/>
  <c r="F12" i="15"/>
  <c r="H8" i="15"/>
  <c r="J8" i="15" s="1"/>
  <c r="N7" i="6"/>
  <c r="N10" i="6"/>
  <c r="N9" i="6"/>
  <c r="L11" i="6"/>
  <c r="K11" i="6"/>
  <c r="N11" i="6" l="1"/>
  <c r="N15" i="6" s="1"/>
  <c r="N16" i="6" s="1"/>
  <c r="F13" i="15"/>
  <c r="G15" i="10"/>
  <c r="H14" i="10"/>
  <c r="H16" i="10"/>
  <c r="L8" i="15"/>
  <c r="K8" i="15"/>
  <c r="D7" i="4"/>
  <c r="G16" i="7" l="1"/>
  <c r="F14" i="15"/>
  <c r="F15" i="15" s="1"/>
  <c r="G12" i="15" s="1"/>
  <c r="G14" i="15" s="1"/>
  <c r="G15" i="15" s="1"/>
  <c r="D6" i="7"/>
  <c r="D7" i="7"/>
  <c r="D8" i="7"/>
  <c r="D5" i="7"/>
  <c r="C7" i="7"/>
  <c r="G17" i="7"/>
  <c r="G18" i="7" s="1"/>
  <c r="C8" i="7"/>
  <c r="C6" i="7"/>
  <c r="C5" i="7"/>
  <c r="M18" i="3"/>
  <c r="M17" i="3"/>
  <c r="M14" i="3"/>
  <c r="M13" i="3"/>
  <c r="F22" i="15" l="1"/>
  <c r="H22" i="15" s="1"/>
  <c r="H5" i="7"/>
  <c r="K15" i="18"/>
  <c r="H7" i="7"/>
  <c r="K17" i="18"/>
  <c r="I5" i="7"/>
  <c r="L15" i="18"/>
  <c r="I8" i="7"/>
  <c r="L18" i="18"/>
  <c r="J18" i="18" s="1"/>
  <c r="I7" i="7"/>
  <c r="L17" i="18"/>
  <c r="J17" i="18" s="1"/>
  <c r="H6" i="7"/>
  <c r="K16" i="18"/>
  <c r="I6" i="7"/>
  <c r="L16" i="18"/>
  <c r="J16" i="18" s="1"/>
  <c r="H8" i="7"/>
  <c r="K18" i="18"/>
  <c r="D9" i="7"/>
  <c r="E7" i="7"/>
  <c r="I8" i="16"/>
  <c r="E8" i="7"/>
  <c r="M26" i="3"/>
  <c r="M25" i="3"/>
  <c r="E6" i="7"/>
  <c r="K22" i="15"/>
  <c r="L22" i="15" s="1"/>
  <c r="I22" i="15" s="1"/>
  <c r="G22" i="15" s="1"/>
  <c r="G29" i="15" s="1"/>
  <c r="C9" i="7"/>
  <c r="E5" i="7"/>
  <c r="F29" i="15" l="1"/>
  <c r="H29" i="15" s="1"/>
  <c r="H31" i="15" s="1"/>
  <c r="H32" i="15" s="1"/>
  <c r="J8" i="7"/>
  <c r="K27" i="18"/>
  <c r="M8" i="7"/>
  <c r="N6" i="7"/>
  <c r="L25" i="18"/>
  <c r="J25" i="18" s="1"/>
  <c r="N7" i="7"/>
  <c r="L26" i="18"/>
  <c r="J26" i="18" s="1"/>
  <c r="K24" i="18"/>
  <c r="M5" i="7"/>
  <c r="N8" i="7"/>
  <c r="L27" i="18"/>
  <c r="J27" i="18" s="1"/>
  <c r="I9" i="7"/>
  <c r="L24" i="18"/>
  <c r="N5" i="7"/>
  <c r="H9" i="7"/>
  <c r="M6" i="7"/>
  <c r="K25" i="18"/>
  <c r="J7" i="7"/>
  <c r="M7" i="7"/>
  <c r="K26" i="18"/>
  <c r="J5" i="7"/>
  <c r="N18" i="18"/>
  <c r="G18" i="18" s="1"/>
  <c r="H18" i="18" s="1"/>
  <c r="I18" i="18"/>
  <c r="L19" i="18"/>
  <c r="J15" i="18"/>
  <c r="J6" i="7"/>
  <c r="K19" i="18"/>
  <c r="I16" i="18"/>
  <c r="N16" i="18"/>
  <c r="G16" i="18" s="1"/>
  <c r="H16" i="18" s="1"/>
  <c r="N17" i="18"/>
  <c r="G17" i="18" s="1"/>
  <c r="H17" i="18" s="1"/>
  <c r="I17" i="18"/>
  <c r="I15" i="18"/>
  <c r="N15" i="18"/>
  <c r="L8" i="13"/>
  <c r="L7" i="13"/>
  <c r="J9" i="13"/>
  <c r="K9" i="13"/>
  <c r="F12" i="16"/>
  <c r="H8" i="16"/>
  <c r="E9" i="7"/>
  <c r="J22" i="15"/>
  <c r="J10" i="3"/>
  <c r="M10" i="3" s="1"/>
  <c r="I29" i="15"/>
  <c r="I31" i="15" s="1"/>
  <c r="I32" i="15" s="1"/>
  <c r="O6" i="7" l="1"/>
  <c r="L5" i="10" s="1"/>
  <c r="J9" i="3"/>
  <c r="M9" i="3" s="1"/>
  <c r="O8" i="7"/>
  <c r="N9" i="7"/>
  <c r="N24" i="18"/>
  <c r="G24" i="18" s="1"/>
  <c r="H24" i="18" s="1"/>
  <c r="I24" i="18"/>
  <c r="K28" i="18"/>
  <c r="N19" i="18"/>
  <c r="P19" i="18" s="1"/>
  <c r="P20" i="18" s="1"/>
  <c r="L7" i="10"/>
  <c r="I27" i="18"/>
  <c r="N27" i="18"/>
  <c r="G27" i="18" s="1"/>
  <c r="H27" i="18" s="1"/>
  <c r="L28" i="18"/>
  <c r="J24" i="18"/>
  <c r="I26" i="18"/>
  <c r="N26" i="18"/>
  <c r="G26" i="18" s="1"/>
  <c r="H26" i="18" s="1"/>
  <c r="O7" i="7"/>
  <c r="I25" i="18"/>
  <c r="N25" i="18"/>
  <c r="G25" i="18" s="1"/>
  <c r="H25" i="18" s="1"/>
  <c r="O5" i="7"/>
  <c r="M9" i="7"/>
  <c r="G15" i="18"/>
  <c r="H15" i="18" s="1"/>
  <c r="J9" i="7"/>
  <c r="H29" i="7" s="1"/>
  <c r="H31" i="7" s="1"/>
  <c r="B20" i="7"/>
  <c r="H22" i="7"/>
  <c r="H24" i="7" s="1"/>
  <c r="B26" i="7" s="1"/>
  <c r="L9" i="13"/>
  <c r="J8" i="16"/>
  <c r="K8" i="16" s="1"/>
  <c r="J29" i="15"/>
  <c r="N28" i="18" l="1"/>
  <c r="P28" i="18" s="1"/>
  <c r="P29" i="18" s="1"/>
  <c r="O9" i="7"/>
  <c r="B33" i="7" s="1"/>
  <c r="K5" i="10"/>
  <c r="J31" i="15"/>
  <c r="J32" i="15" s="1"/>
  <c r="O7" i="15"/>
  <c r="F13" i="16"/>
  <c r="L8" i="16"/>
  <c r="K7" i="10" l="1"/>
  <c r="M5" i="10"/>
  <c r="M7" i="10" s="1"/>
  <c r="M19" i="10" s="1"/>
  <c r="J28" i="3" s="1"/>
  <c r="M28" i="3" s="1"/>
  <c r="F14" i="16"/>
  <c r="F15" i="16" s="1"/>
  <c r="F22" i="16" l="1"/>
  <c r="G12" i="16"/>
  <c r="G14" i="16" s="1"/>
  <c r="G15" i="16" s="1"/>
  <c r="H12" i="16" s="1"/>
  <c r="H14" i="16" s="1"/>
  <c r="H15" i="16" s="1"/>
  <c r="I12" i="16" s="1"/>
  <c r="I14" i="16" l="1"/>
  <c r="I15" i="16" s="1"/>
  <c r="J12" i="16" s="1"/>
  <c r="J14" i="16" s="1"/>
  <c r="J15" i="16" s="1"/>
  <c r="F29" i="16"/>
  <c r="H22" i="16"/>
  <c r="K22" i="16" l="1"/>
  <c r="L22" i="16" s="1"/>
  <c r="I22" i="16" s="1"/>
  <c r="G22" i="16" s="1"/>
  <c r="G29" i="16" s="1"/>
  <c r="J21" i="3"/>
  <c r="M21" i="3" s="1"/>
  <c r="H29" i="16"/>
  <c r="H31" i="16" l="1"/>
  <c r="H32" i="16" s="1"/>
  <c r="J22" i="16"/>
  <c r="I29" i="16"/>
  <c r="I31" i="16" s="1"/>
  <c r="I32" i="16" s="1"/>
  <c r="J22" i="3"/>
  <c r="M22" i="3" s="1"/>
  <c r="J29" i="16" l="1"/>
  <c r="J31" i="16" s="1"/>
  <c r="J32" i="16" s="1"/>
</calcChain>
</file>

<file path=xl/sharedStrings.xml><?xml version="1.0" encoding="utf-8"?>
<sst xmlns="http://schemas.openxmlformats.org/spreadsheetml/2006/main" count="463" uniqueCount="141">
  <si>
    <t>Algoma Power Inc.</t>
  </si>
  <si>
    <t xml:space="preserve">Incentive Rate-setting Mechanism </t>
  </si>
  <si>
    <t>Rate Design Model</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</si>
  <si>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</si>
  <si>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</si>
  <si>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</si>
  <si>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</si>
  <si>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</si>
  <si>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</si>
  <si>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</si>
  <si>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</si>
  <si>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</si>
  <si>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</si>
  <si>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</si>
  <si>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</si>
  <si>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</si>
  <si>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</si>
  <si>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</si>
  <si>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Price Cap Metric</t>
  </si>
  <si>
    <t>Status</t>
  </si>
  <si>
    <t>Value</t>
  </si>
  <si>
    <t>Inflation Factor</t>
  </si>
  <si>
    <t>Productivity Factor</t>
  </si>
  <si>
    <t>Stretch Factor</t>
  </si>
  <si>
    <t>Calculated</t>
  </si>
  <si>
    <t>Price Cap for 2021 Electricity Distribution Rates</t>
  </si>
  <si>
    <t>Placeholder</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</si>
  <si>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</si>
  <si>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</si>
  <si>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</si>
  <si>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</si>
  <si>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</si>
  <si>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</si>
  <si>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</si>
  <si>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</si>
  <si>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</si>
  <si>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</si>
  <si>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</si>
  <si>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</si>
  <si>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</si>
  <si>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</si>
  <si>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</si>
  <si>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</si>
  <si>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</si>
  <si>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</si>
  <si>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</si>
  <si>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</si>
  <si>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</si>
  <si>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</si>
  <si>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</si>
  <si>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</si>
  <si>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</si>
  <si>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</si>
  <si>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</si>
  <si>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</si>
  <si>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</si>
  <si>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</si>
  <si>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</si>
  <si>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</si>
  <si>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R1 customer count and kWh splits can be confirmed in EB-2019-0019: Sheet 4 of API Rate Design Model or Table 14 of Settlement Agreement</t>
  </si>
  <si>
    <t>Revenue</t>
  </si>
  <si>
    <t>Transformer Ownership Allowance (not indexed) - Attributable to the Residential - R2 class</t>
  </si>
  <si>
    <t>R1</t>
  </si>
  <si>
    <t>R2</t>
  </si>
  <si>
    <t>Total R1+R2</t>
  </si>
  <si>
    <t>Revenue Component</t>
  </si>
  <si>
    <t>Determination of Seasonal and Street Lighting Distribution Rates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</si>
  <si>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</si>
  <si>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</si>
  <si>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</si>
  <si>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</si>
  <si>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</si>
  <si>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</si>
  <si>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</si>
  <si>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</si>
  <si>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</si>
  <si>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</si>
  <si>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</si>
  <si>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</si>
  <si>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</si>
  <si>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R1(i)</t>
  </si>
  <si>
    <t>%</t>
  </si>
  <si>
    <t>Difference due to Rounding of Volumetric Rate:</t>
  </si>
  <si>
    <t>Revenue Reconciliation - Volumetric Rate Rounded to 4th Decimal Place</t>
  </si>
  <si>
    <t>Revenue Decoupling - R1 (i)</t>
  </si>
  <si>
    <t>Revenue Decoupling - Seasonal</t>
  </si>
  <si>
    <t>Notes</t>
  </si>
  <si>
    <t>3, 4</t>
  </si>
  <si>
    <t>Misc. Revenue</t>
  </si>
  <si>
    <t>EB-2019-0019 Approved Revenue to Cost Ratios</t>
  </si>
  <si>
    <t>Approved Revenue to Cost Ratio</t>
  </si>
  <si>
    <t>LF X Proposed Rates</t>
  </si>
  <si>
    <t>Price Cap Index</t>
  </si>
  <si>
    <t xml:space="preserve">Allocation of Service Revenue Requirement </t>
  </si>
  <si>
    <t>EB-2021-0006</t>
  </si>
  <si>
    <t>IRM Indexed Revenue for 2022
(Using the 2022 Price-Cap Index)</t>
  </si>
  <si>
    <t>Price Cap for 2022 Electricity Distribution Rates</t>
  </si>
  <si>
    <t>2021 Revenue from Rates Less Transformer Ownership Allowance:</t>
  </si>
  <si>
    <t>2022 Price Cap Index:</t>
  </si>
  <si>
    <t>2022 Indexed Revenue from Rates less Transformer Ownership Allowance:</t>
  </si>
  <si>
    <t>Placeholder RRRP Adjustment Factor requires updating for 2022 rates - see Manager's Summary</t>
  </si>
  <si>
    <t>Effective January 1, 2022</t>
  </si>
  <si>
    <t>CHECK</t>
  </si>
  <si>
    <t>Final</t>
  </si>
  <si>
    <t>Assigned</t>
  </si>
  <si>
    <t>See "R1(i) Decoupling" tab for details of transition toward a fully fixed rate for traditional residential customers</t>
  </si>
  <si>
    <t>The 2020 Approved Class Revenues are indexed using the annual Price Cap index. This step is necessary to determine the overall 2021 revenue requirement for the R1 and R2 rate classes before the RRRP Adjustment Factor is applied.</t>
  </si>
  <si>
    <t>2021 Equivalent Electricity Distribution Rates</t>
  </si>
  <si>
    <t>Rev w/TO</t>
  </si>
  <si>
    <t>Match?</t>
  </si>
  <si>
    <t>2023 IRM Electricity Distribution Rate Application</t>
  </si>
  <si>
    <t>Approved 2022 IRM</t>
  </si>
  <si>
    <t>Proposed Distribution Charges and RRRP Funding for 2023 Rate Year</t>
  </si>
  <si>
    <t>Proposed 2023 IRM</t>
  </si>
  <si>
    <t>Effective January 1, 2023</t>
  </si>
  <si>
    <t>Determination of Residential R1 &amp; R2 2023 Electricity Distribution Rates and RRRP Funding</t>
  </si>
  <si>
    <t>The Rural and Remote Rate Protection Amount Required for 2023</t>
  </si>
  <si>
    <t>2023 Application of Rate Indexing Methodology</t>
  </si>
  <si>
    <t>**Placeholder values to be replaced once 2023 IRM factors are finalized</t>
  </si>
  <si>
    <t>2023 Distribution Base Rate Determination for Non-RRRP Rate Classes</t>
  </si>
  <si>
    <t>2023 Proposed R1(i) Rates - Calculate Volumetric Rate Based on Change in F/V Split</t>
  </si>
  <si>
    <t>Price Cap for 2023 Electricity Distribution Rates</t>
  </si>
  <si>
    <t>IRM Indexed Revenue for 2023
(Using the 2022 Price-Cap Index)</t>
  </si>
  <si>
    <t>Revenue Decoupling for the Residential Rate Class - 8th Increment</t>
  </si>
  <si>
    <t>Revenue Decoupling for the Seasonal Rate Class - 8th Increment</t>
  </si>
  <si>
    <t>2023 Proposed Seasonal Rates - Calculate Volumetric Rate Based on Change in F/V Split</t>
  </si>
  <si>
    <t>2023 Indexed Rates</t>
  </si>
  <si>
    <t>Initial Monthly Service Charge (post IRM adjustment for 2023)</t>
  </si>
  <si>
    <t>EB-2022-0014</t>
  </si>
  <si>
    <t>Indexed Revenue Attributable to Residential Rate Classes for 2023</t>
  </si>
  <si>
    <t>2022 Equivalent Electricity Distribution Rates</t>
  </si>
  <si>
    <t>2022 Revenue from Rates Less Transformer Ownership Allowance:</t>
  </si>
  <si>
    <t>2023 Price Cap Index:</t>
  </si>
  <si>
    <t>2023 Indexed Revenue from Rates less Transformer Ownership Allowance:</t>
  </si>
  <si>
    <t>2022 Approved Rates</t>
  </si>
  <si>
    <t>2022 Approved ACM</t>
  </si>
  <si>
    <t>MONTH DAY, 2022</t>
  </si>
  <si>
    <t>Simple Average Increase in Delivery Charge for 2023 using the 2022 Board Calculated RRRP Adjustment Factor</t>
  </si>
  <si>
    <t>2023 ACM</t>
  </si>
  <si>
    <t>ACM Rate Rider Revenue Allocated to Residential Rate Classes for 2023</t>
  </si>
  <si>
    <t>See ACM section of Manager's summary for explanation of ACM cost recovery for RRRP-funded rate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</si>
</sst>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_);\(&quot;$&quot;#,##0\)"/>
    <numFmt numFmtId="165" formatCode="_(* #,##0.00_);_(* \(#,##0.00\);_(* &quot;-&quot;??_);_(@_)"/>
    <numFmt numFmtId="166" formatCode="_(* #,##0.0000_);_(* \(#,##0.0000\);_(* &quot;-&quot;??_);_(@_)"/>
    <numFmt numFmtId="167" formatCode="_(* #,##0_);_(* \(#,##0\);_(* &quot;-&quot;??_);_(@_)"/>
    <numFmt numFmtId="168" formatCode="0.0%"/>
    <numFmt numFmtId="169" formatCode="0.000%"/>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 numFmtId="176" formatCode="_-* #,##0.0000_-;\-* #,##0.0000_-;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
      <sz val="10"/>
      <color rgb="FFFF0000"/>
      <name val="Calibri"/>
      <family val="2"/>
      <scheme val="minor"/>
    </font>
    <font>
      <u/>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E2EFDA"/>
        <bgColor indexed="64"/>
      </patternFill>
    </fill>
  </fills>
  <borders count="5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2">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4" fillId="0" borderId="0"/>
    <xf numFmtId="0" fontId="1" fillId="0" borderId="0"/>
    <xf numFmtId="43" fontId="14" fillId="0" borderId="0" applyFont="0" applyFill="0" applyBorder="0" applyAlignment="0" applyProtection="0"/>
    <xf numFmtId="44"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xf numFmtId="43" fontId="1" fillId="0" borderId="0" applyFont="0" applyFill="0" applyBorder="0" applyAlignment="0" applyProtection="0"/>
  </cellStyleXfs>
  <cellXfs count="349">
    <xf numFmtId="0" fontId="0" fillId="0" borderId="0" xfId="0"/>
    <xf numFmtId="0" fontId="2" fillId="0" borderId="0" xfId="0" applyFont="1"/>
    <xf numFmtId="43" fontId="0" fillId="2" borderId="17" xfId="2" applyFont="1" applyFill="1" applyBorder="1"/>
    <xf numFmtId="10" fontId="0" fillId="0" borderId="9" xfId="1" applyNumberFormat="1" applyFont="1" applyBorder="1" applyAlignment="1">
      <alignment horizontal="center"/>
    </xf>
    <xf numFmtId="166" fontId="0" fillId="2" borderId="17" xfId="2" applyNumberFormat="1" applyFont="1" applyFill="1" applyBorder="1"/>
    <xf numFmtId="0" fontId="0" fillId="0" borderId="0" xfId="0" applyFont="1"/>
    <xf numFmtId="0" fontId="0" fillId="0" borderId="0" xfId="0" applyFont="1" applyAlignment="1">
      <alignment horizontal="center"/>
    </xf>
    <xf numFmtId="0" fontId="0" fillId="0" borderId="0" xfId="0" applyFont="1" applyBorder="1"/>
    <xf numFmtId="0" fontId="0" fillId="0" borderId="9" xfId="0" applyFont="1"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ont="1" applyFill="1" applyBorder="1"/>
    <xf numFmtId="0" fontId="0" fillId="0" borderId="10" xfId="0" applyFont="1" applyBorder="1"/>
    <xf numFmtId="0" fontId="0" fillId="0" borderId="18" xfId="0" applyFont="1" applyBorder="1"/>
    <xf numFmtId="0" fontId="0" fillId="0" borderId="11" xfId="0" applyFont="1" applyBorder="1"/>
    <xf numFmtId="0" fontId="0" fillId="0" borderId="16" xfId="0" applyFont="1" applyBorder="1"/>
    <xf numFmtId="0" fontId="0" fillId="0" borderId="21" xfId="0" applyFont="1" applyBorder="1"/>
    <xf numFmtId="10" fontId="0" fillId="0" borderId="9" xfId="0" applyNumberFormat="1" applyFont="1" applyBorder="1" applyAlignment="1">
      <alignment horizontal="center"/>
    </xf>
    <xf numFmtId="0" fontId="7" fillId="0" borderId="22" xfId="0" applyFont="1" applyBorder="1"/>
    <xf numFmtId="0" fontId="0" fillId="0" borderId="23" xfId="0" applyFont="1" applyBorder="1" applyAlignment="1">
      <alignment horizontal="center"/>
    </xf>
    <xf numFmtId="0" fontId="0" fillId="2" borderId="24" xfId="0" applyFont="1" applyFill="1" applyBorder="1"/>
    <xf numFmtId="0" fontId="0" fillId="0" borderId="27" xfId="0" applyFont="1"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0" fontId="7" fillId="0" borderId="9" xfId="0" applyFont="1" applyBorder="1" applyAlignment="1">
      <alignment horizontal="center" vertical="center" wrapText="1"/>
    </xf>
    <xf numFmtId="167" fontId="0" fillId="0" borderId="9" xfId="2" applyNumberFormat="1" applyFont="1" applyBorder="1"/>
    <xf numFmtId="167" fontId="0" fillId="0" borderId="31" xfId="0" applyNumberFormat="1" applyFont="1" applyBorder="1"/>
    <xf numFmtId="0" fontId="0" fillId="0" borderId="22" xfId="0" applyFont="1" applyBorder="1"/>
    <xf numFmtId="0" fontId="8" fillId="0" borderId="0" xfId="0" applyFont="1"/>
    <xf numFmtId="0" fontId="0" fillId="3" borderId="9" xfId="0" applyFont="1"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7" fontId="0" fillId="4" borderId="9" xfId="2" applyNumberFormat="1" applyFont="1" applyFill="1" applyBorder="1"/>
    <xf numFmtId="167" fontId="0" fillId="3" borderId="9" xfId="2" applyNumberFormat="1" applyFont="1" applyFill="1" applyBorder="1"/>
    <xf numFmtId="43" fontId="0" fillId="3" borderId="9" xfId="2" applyFont="1" applyFill="1" applyBorder="1"/>
    <xf numFmtId="166" fontId="0" fillId="3" borderId="9" xfId="2" applyNumberFormat="1" applyFont="1" applyFill="1" applyBorder="1"/>
    <xf numFmtId="3" fontId="0" fillId="3" borderId="9" xfId="0" applyNumberFormat="1" applyFon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ont="1" applyFill="1" applyAlignment="1">
      <alignment horizontal="center"/>
    </xf>
    <xf numFmtId="167" fontId="0" fillId="0" borderId="0" xfId="0" applyNumberFormat="1" applyFont="1"/>
    <xf numFmtId="169"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7" fontId="11" fillId="0" borderId="23" xfId="0" applyNumberFormat="1" applyFont="1" applyBorder="1"/>
    <xf numFmtId="167"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164" fontId="11" fillId="0" borderId="23" xfId="0" applyNumberFormat="1" applyFont="1" applyBorder="1"/>
    <xf numFmtId="164" fontId="11" fillId="0" borderId="32" xfId="0" applyNumberFormat="1" applyFont="1" applyBorder="1"/>
    <xf numFmtId="167" fontId="7" fillId="0" borderId="0" xfId="0" applyNumberFormat="1" applyFont="1" applyBorder="1"/>
    <xf numFmtId="0" fontId="12" fillId="0" borderId="0" xfId="0" applyFont="1"/>
    <xf numFmtId="0" fontId="3" fillId="0" borderId="0" xfId="0" applyFont="1"/>
    <xf numFmtId="164" fontId="2" fillId="0" borderId="0" xfId="0" applyNumberFormat="1" applyFont="1"/>
    <xf numFmtId="10" fontId="2" fillId="0" borderId="0" xfId="0" applyNumberFormat="1" applyFont="1"/>
    <xf numFmtId="0" fontId="6" fillId="0" borderId="0" xfId="0" applyFont="1" applyAlignment="1">
      <alignment horizontal="center"/>
    </xf>
    <xf numFmtId="43" fontId="6" fillId="0" borderId="0" xfId="0" applyNumberFormat="1" applyFont="1" applyAlignment="1">
      <alignment horizontal="center"/>
    </xf>
    <xf numFmtId="0" fontId="6" fillId="0" borderId="0" xfId="0" applyFont="1" applyAlignment="1"/>
    <xf numFmtId="0" fontId="7" fillId="0" borderId="16" xfId="0" applyFont="1" applyFill="1" applyBorder="1"/>
    <xf numFmtId="170" fontId="7" fillId="0" borderId="32" xfId="3" applyNumberFormat="1" applyFont="1" applyBorder="1"/>
    <xf numFmtId="170" fontId="0" fillId="0" borderId="0" xfId="0" applyNumberFormat="1" applyFont="1"/>
    <xf numFmtId="0" fontId="11" fillId="0" borderId="29" xfId="0" applyFont="1" applyBorder="1" applyAlignment="1">
      <alignment horizontal="center"/>
    </xf>
    <xf numFmtId="43" fontId="11" fillId="0" borderId="30" xfId="0" applyNumberFormat="1" applyFont="1" applyBorder="1" applyAlignment="1">
      <alignment horizontal="center"/>
    </xf>
    <xf numFmtId="0" fontId="7" fillId="0" borderId="38" xfId="0" applyFont="1" applyBorder="1" applyAlignment="1"/>
    <xf numFmtId="0" fontId="11" fillId="0" borderId="16" xfId="0" applyFont="1" applyFill="1" applyBorder="1"/>
    <xf numFmtId="3" fontId="13" fillId="0" borderId="9" xfId="0" applyNumberFormat="1" applyFont="1" applyFill="1" applyBorder="1" applyAlignment="1">
      <alignment horizontal="center"/>
    </xf>
    <xf numFmtId="168" fontId="0" fillId="0" borderId="47" xfId="1" applyNumberFormat="1" applyFont="1" applyBorder="1"/>
    <xf numFmtId="168" fontId="0" fillId="0" borderId="48" xfId="1" applyNumberFormat="1" applyFont="1" applyBorder="1"/>
    <xf numFmtId="0" fontId="2" fillId="0" borderId="0" xfId="0" applyFont="1" applyAlignment="1">
      <alignment horizontal="center"/>
    </xf>
    <xf numFmtId="0" fontId="2" fillId="0" borderId="0" xfId="0" applyFont="1" applyBorder="1" applyAlignment="1">
      <alignment horizontal="center"/>
    </xf>
    <xf numFmtId="44" fontId="0" fillId="0" borderId="0" xfId="3" applyFont="1"/>
    <xf numFmtId="171" fontId="0" fillId="0" borderId="47" xfId="2" applyNumberFormat="1" applyFont="1" applyBorder="1"/>
    <xf numFmtId="171" fontId="0" fillId="0" borderId="47" xfId="0" applyNumberFormat="1" applyFont="1" applyBorder="1"/>
    <xf numFmtId="0" fontId="0" fillId="0" borderId="45" xfId="0" applyFont="1" applyBorder="1"/>
    <xf numFmtId="0" fontId="0" fillId="0" borderId="46" xfId="0" applyFont="1" applyBorder="1"/>
    <xf numFmtId="0" fontId="0" fillId="0" borderId="45" xfId="0" applyFont="1" applyBorder="1" applyAlignment="1">
      <alignment horizontal="center"/>
    </xf>
    <xf numFmtId="0" fontId="0" fillId="0" borderId="46" xfId="0" applyFont="1" applyBorder="1" applyAlignment="1">
      <alignment horizontal="center"/>
    </xf>
    <xf numFmtId="0" fontId="0" fillId="0" borderId="15" xfId="0" applyFont="1" applyBorder="1"/>
    <xf numFmtId="44" fontId="0" fillId="0" borderId="0" xfId="0" applyNumberFormat="1" applyFont="1"/>
    <xf numFmtId="0" fontId="0" fillId="0" borderId="0" xfId="0" applyFont="1" applyAlignment="1">
      <alignment horizontal="left"/>
    </xf>
    <xf numFmtId="171" fontId="0" fillId="0" borderId="0" xfId="0" applyNumberFormat="1" applyFon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Fill="1" applyBorder="1" applyAlignment="1">
      <alignment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0" fillId="0" borderId="47" xfId="0" applyFont="1" applyFill="1" applyBorder="1"/>
    <xf numFmtId="0" fontId="0" fillId="0" borderId="43" xfId="0" applyFont="1" applyFill="1" applyBorder="1"/>
    <xf numFmtId="171" fontId="13" fillId="0" borderId="48" xfId="2" applyNumberFormat="1" applyFont="1" applyBorder="1"/>
    <xf numFmtId="44" fontId="13" fillId="0" borderId="47" xfId="3" applyNumberFormat="1" applyFont="1" applyFill="1" applyBorder="1"/>
    <xf numFmtId="174" fontId="13" fillId="0" borderId="47" xfId="3" applyNumberFormat="1" applyFont="1" applyFill="1" applyBorder="1"/>
    <xf numFmtId="0" fontId="11" fillId="0" borderId="7"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3" xfId="0" applyFont="1" applyFill="1" applyBorder="1" applyAlignment="1">
      <alignment vertical="center" wrapText="1"/>
    </xf>
    <xf numFmtId="171" fontId="13" fillId="0" borderId="47" xfId="2" applyNumberFormat="1" applyFont="1" applyBorder="1"/>
    <xf numFmtId="0" fontId="0" fillId="0" borderId="0" xfId="0" applyFont="1" applyFill="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1" fontId="0" fillId="0" borderId="0" xfId="0" applyNumberFormat="1" applyFont="1" applyBorder="1"/>
    <xf numFmtId="37" fontId="0" fillId="0" borderId="29" xfId="0" applyNumberFormat="1" applyFont="1" applyBorder="1"/>
    <xf numFmtId="37" fontId="0" fillId="0" borderId="30" xfId="0"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6"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16" xfId="0" applyBorder="1"/>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0" fontId="7" fillId="0" borderId="9" xfId="0" applyFont="1" applyBorder="1" applyAlignment="1">
      <alignment horizontal="center" vertical="center"/>
    </xf>
    <xf numFmtId="0" fontId="3" fillId="0" borderId="0" xfId="0" applyFont="1" applyBorder="1"/>
    <xf numFmtId="0" fontId="3" fillId="0" borderId="19" xfId="0" applyFont="1" applyBorder="1"/>
    <xf numFmtId="0" fontId="3" fillId="0" borderId="10" xfId="0" applyFont="1" applyBorder="1"/>
    <xf numFmtId="0" fontId="3" fillId="0" borderId="26" xfId="0" applyFont="1" applyBorder="1"/>
    <xf numFmtId="0" fontId="3" fillId="0" borderId="25" xfId="0" applyFont="1" applyBorder="1"/>
    <xf numFmtId="0" fontId="3" fillId="0" borderId="16" xfId="0" applyFont="1" applyBorder="1"/>
    <xf numFmtId="0" fontId="3" fillId="0" borderId="9" xfId="0" applyFont="1" applyBorder="1"/>
    <xf numFmtId="0" fontId="3" fillId="0" borderId="31" xfId="0" applyFont="1" applyBorder="1"/>
    <xf numFmtId="0" fontId="19" fillId="0" borderId="0" xfId="0" applyFont="1"/>
    <xf numFmtId="0" fontId="3" fillId="0" borderId="0" xfId="0" applyFont="1" applyAlignment="1">
      <alignment horizontal="center"/>
    </xf>
    <xf numFmtId="170" fontId="3" fillId="0" borderId="0" xfId="0" applyNumberFormat="1" applyFont="1"/>
    <xf numFmtId="0" fontId="13" fillId="0" borderId="23" xfId="0" applyFont="1" applyBorder="1" applyAlignment="1">
      <alignment horizontal="center"/>
    </xf>
    <xf numFmtId="10" fontId="13" fillId="0" borderId="32" xfId="1" applyNumberFormat="1" applyFont="1" applyBorder="1" applyAlignment="1">
      <alignment horizontal="center"/>
    </xf>
    <xf numFmtId="167" fontId="1" fillId="0" borderId="9" xfId="11" applyNumberFormat="1" applyBorder="1"/>
    <xf numFmtId="167" fontId="0" fillId="0" borderId="31" xfId="0" applyNumberFormat="1" applyBorder="1"/>
    <xf numFmtId="167" fontId="18" fillId="0" borderId="23" xfId="0" applyNumberFormat="1" applyFont="1" applyBorder="1"/>
    <xf numFmtId="167" fontId="18" fillId="0" borderId="32" xfId="0" applyNumberFormat="1" applyFont="1" applyBorder="1"/>
    <xf numFmtId="0" fontId="0" fillId="0" borderId="0" xfId="0" applyAlignment="1">
      <alignment horizontal="center"/>
    </xf>
    <xf numFmtId="167" fontId="11" fillId="0" borderId="31" xfId="2" applyNumberFormat="1" applyFont="1" applyBorder="1"/>
    <xf numFmtId="167" fontId="11" fillId="0" borderId="23" xfId="2" applyNumberFormat="1" applyFont="1" applyBorder="1"/>
    <xf numFmtId="167" fontId="13" fillId="0" borderId="9" xfId="2" applyNumberFormat="1" applyFont="1" applyBorder="1"/>
    <xf numFmtId="0" fontId="20" fillId="0" borderId="0" xfId="0" applyFont="1"/>
    <xf numFmtId="0" fontId="13" fillId="0" borderId="0" xfId="0" applyFont="1"/>
    <xf numFmtId="0" fontId="13" fillId="0" borderId="9" xfId="0" applyFont="1" applyBorder="1" applyAlignment="1">
      <alignment horizontal="center"/>
    </xf>
    <xf numFmtId="0" fontId="13" fillId="0" borderId="9" xfId="0" applyFont="1" applyFill="1" applyBorder="1" applyAlignment="1">
      <alignment horizontal="center"/>
    </xf>
    <xf numFmtId="168" fontId="13" fillId="0" borderId="9" xfId="1" applyNumberFormat="1" applyFont="1" applyBorder="1" applyAlignment="1">
      <alignment horizontal="center"/>
    </xf>
    <xf numFmtId="167" fontId="13" fillId="0" borderId="9" xfId="2" applyNumberFormat="1" applyFont="1" applyFill="1" applyBorder="1"/>
    <xf numFmtId="167" fontId="13" fillId="0" borderId="31" xfId="0" applyNumberFormat="1" applyFont="1" applyBorder="1"/>
    <xf numFmtId="0" fontId="13" fillId="0" borderId="6" xfId="0" applyFont="1" applyBorder="1"/>
    <xf numFmtId="0" fontId="13" fillId="0" borderId="0" xfId="0" applyFont="1" applyBorder="1"/>
    <xf numFmtId="167" fontId="13" fillId="3" borderId="26" xfId="2" applyNumberFormat="1" applyFont="1" applyFill="1" applyBorder="1"/>
    <xf numFmtId="43" fontId="13" fillId="3" borderId="11" xfId="2" applyFont="1" applyFill="1" applyBorder="1"/>
    <xf numFmtId="166" fontId="13" fillId="3" borderId="11" xfId="2" applyNumberFormat="1" applyFont="1" applyFill="1" applyBorder="1"/>
    <xf numFmtId="165" fontId="13" fillId="3" borderId="11" xfId="0" applyNumberFormat="1" applyFont="1" applyFill="1" applyBorder="1"/>
    <xf numFmtId="0" fontId="13" fillId="0" borderId="10" xfId="0" applyFont="1" applyBorder="1"/>
    <xf numFmtId="0" fontId="13" fillId="0" borderId="11" xfId="0" applyFont="1" applyFill="1" applyBorder="1"/>
    <xf numFmtId="0" fontId="13" fillId="0" borderId="18" xfId="0" applyFont="1" applyBorder="1"/>
    <xf numFmtId="43" fontId="13" fillId="0" borderId="10" xfId="2" applyFont="1" applyBorder="1" applyAlignment="1">
      <alignment horizontal="center"/>
    </xf>
    <xf numFmtId="0" fontId="13" fillId="0" borderId="11" xfId="0" applyFont="1" applyBorder="1"/>
    <xf numFmtId="167" fontId="13" fillId="0" borderId="25" xfId="2" applyNumberFormat="1" applyFont="1" applyBorder="1" applyAlignment="1">
      <alignment horizontal="center"/>
    </xf>
    <xf numFmtId="0" fontId="13" fillId="0" borderId="27" xfId="0" applyFont="1" applyBorder="1"/>
    <xf numFmtId="43" fontId="13" fillId="0" borderId="20" xfId="2" applyFont="1" applyFill="1" applyBorder="1"/>
    <xf numFmtId="166" fontId="13" fillId="0" borderId="11" xfId="2" applyNumberFormat="1" applyFont="1" applyFill="1" applyBorder="1"/>
    <xf numFmtId="1" fontId="13" fillId="3" borderId="9" xfId="0" applyNumberFormat="1" applyFont="1" applyFill="1" applyBorder="1" applyAlignment="1">
      <alignment horizontal="center"/>
    </xf>
    <xf numFmtId="167" fontId="13" fillId="3" borderId="9" xfId="2" applyNumberFormat="1" applyFont="1" applyFill="1" applyBorder="1"/>
    <xf numFmtId="167" fontId="13" fillId="4" borderId="9" xfId="2" applyNumberFormat="1" applyFont="1" applyFill="1" applyBorder="1"/>
    <xf numFmtId="1" fontId="13" fillId="0" borderId="9" xfId="0" applyNumberFormat="1" applyFont="1" applyFill="1" applyBorder="1" applyAlignment="1">
      <alignment horizontal="center"/>
    </xf>
    <xf numFmtId="43" fontId="13" fillId="0" borderId="9" xfId="2" applyFont="1" applyBorder="1"/>
    <xf numFmtId="166" fontId="13" fillId="0" borderId="9" xfId="2" applyNumberFormat="1" applyFont="1" applyBorder="1"/>
    <xf numFmtId="43" fontId="13" fillId="0" borderId="9" xfId="2" applyNumberFormat="1" applyFont="1" applyBorder="1"/>
    <xf numFmtId="43" fontId="13" fillId="0" borderId="9" xfId="2" applyFont="1" applyFill="1" applyBorder="1"/>
    <xf numFmtId="166" fontId="13" fillId="0" borderId="9" xfId="2" applyNumberFormat="1" applyFont="1" applyFill="1" applyBorder="1"/>
    <xf numFmtId="0" fontId="13" fillId="0" borderId="0" xfId="0" applyFont="1" applyFill="1"/>
    <xf numFmtId="167" fontId="13" fillId="0" borderId="9" xfId="2" applyNumberFormat="1" applyFont="1" applyBorder="1" applyAlignment="1">
      <alignment horizontal="center"/>
    </xf>
    <xf numFmtId="167" fontId="13" fillId="0" borderId="31" xfId="2" applyNumberFormat="1" applyFont="1" applyBorder="1" applyAlignment="1">
      <alignment horizontal="center"/>
    </xf>
    <xf numFmtId="4" fontId="13" fillId="0" borderId="9" xfId="1" applyNumberFormat="1" applyFont="1" applyFill="1" applyBorder="1" applyAlignment="1">
      <alignment horizontal="center"/>
    </xf>
    <xf numFmtId="175" fontId="13" fillId="0" borderId="9" xfId="1" applyNumberFormat="1" applyFont="1" applyBorder="1" applyAlignment="1">
      <alignment horizontal="center"/>
    </xf>
    <xf numFmtId="171" fontId="13" fillId="0" borderId="47" xfId="0" applyNumberFormat="1" applyFont="1" applyBorder="1"/>
    <xf numFmtId="168" fontId="13" fillId="0" borderId="47" xfId="1" applyNumberFormat="1" applyFont="1" applyBorder="1"/>
    <xf numFmtId="168" fontId="13" fillId="0" borderId="48" xfId="1" applyNumberFormat="1" applyFont="1" applyBorder="1"/>
    <xf numFmtId="10" fontId="13" fillId="0" borderId="31" xfId="1" applyNumberFormat="1" applyFont="1" applyFill="1" applyBorder="1" applyAlignment="1">
      <alignment horizontal="center"/>
    </xf>
    <xf numFmtId="10" fontId="20" fillId="0" borderId="31" xfId="1" applyNumberFormat="1" applyFont="1" applyFill="1" applyBorder="1" applyAlignment="1">
      <alignment horizontal="center"/>
    </xf>
    <xf numFmtId="0" fontId="11" fillId="0" borderId="9" xfId="0" applyFont="1" applyBorder="1" applyAlignment="1">
      <alignment horizontal="center" vertical="center"/>
    </xf>
    <xf numFmtId="176" fontId="0" fillId="3" borderId="9" xfId="2" applyNumberFormat="1" applyFont="1" applyFill="1" applyBorder="1"/>
    <xf numFmtId="168" fontId="3" fillId="0" borderId="0" xfId="1" applyNumberFormat="1" applyFont="1"/>
    <xf numFmtId="0" fontId="11" fillId="0" borderId="9" xfId="0" applyFont="1" applyBorder="1" applyAlignment="1">
      <alignment horizontal="center" vertical="center"/>
    </xf>
    <xf numFmtId="166" fontId="3" fillId="0" borderId="11" xfId="2" applyNumberFormat="1" applyFont="1" applyBorder="1"/>
    <xf numFmtId="0" fontId="3" fillId="0" borderId="11" xfId="0" applyFont="1" applyBorder="1"/>
    <xf numFmtId="10" fontId="0" fillId="0" borderId="31" xfId="1" applyNumberFormat="1" applyFont="1" applyFill="1" applyBorder="1" applyAlignment="1">
      <alignment horizontal="center"/>
    </xf>
    <xf numFmtId="10" fontId="10" fillId="0" borderId="31" xfId="1" applyNumberFormat="1" applyFont="1" applyFill="1" applyBorder="1" applyAlignment="1">
      <alignment horizontal="center"/>
    </xf>
    <xf numFmtId="10" fontId="0" fillId="0" borderId="32" xfId="1" applyNumberFormat="1" applyFont="1" applyFill="1" applyBorder="1" applyAlignment="1">
      <alignment horizontal="center"/>
    </xf>
    <xf numFmtId="0" fontId="11" fillId="0" borderId="0" xfId="0" applyFont="1" applyBorder="1" applyAlignment="1">
      <alignment horizontal="center"/>
    </xf>
    <xf numFmtId="44" fontId="13" fillId="0" borderId="0" xfId="0" applyNumberFormat="1" applyFont="1"/>
    <xf numFmtId="44" fontId="13" fillId="0" borderId="0" xfId="3" applyFont="1"/>
    <xf numFmtId="10" fontId="7" fillId="3" borderId="31" xfId="1" applyNumberFormat="1" applyFont="1" applyFill="1" applyBorder="1" applyAlignment="1">
      <alignment horizontal="center"/>
    </xf>
    <xf numFmtId="164" fontId="2" fillId="0" borderId="0" xfId="0" applyNumberFormat="1" applyFont="1" applyFill="1"/>
    <xf numFmtId="10" fontId="2" fillId="0" borderId="0" xfId="0" applyNumberFormat="1" applyFont="1" applyFill="1"/>
    <xf numFmtId="43" fontId="13" fillId="3" borderId="9" xfId="2" applyFont="1" applyFill="1" applyBorder="1"/>
    <xf numFmtId="176" fontId="13" fillId="3" borderId="9" xfId="2" applyNumberFormat="1" applyFont="1" applyFill="1" applyBorder="1"/>
    <xf numFmtId="0" fontId="3" fillId="0" borderId="0" xfId="0" applyFont="1" applyFill="1" applyAlignment="1">
      <alignment horizontal="right"/>
    </xf>
    <xf numFmtId="164" fontId="3" fillId="0" borderId="0" xfId="0" applyNumberFormat="1" applyFont="1" applyFill="1" applyAlignment="1">
      <alignment horizontal="left"/>
    </xf>
    <xf numFmtId="0" fontId="3" fillId="0" borderId="0" xfId="0" applyFont="1" applyFill="1" applyAlignment="1">
      <alignment horizontal="left"/>
    </xf>
    <xf numFmtId="0" fontId="0" fillId="0" borderId="0" xfId="0" applyFont="1" applyFill="1"/>
    <xf numFmtId="0" fontId="11" fillId="0" borderId="9" xfId="0" applyFont="1" applyFill="1" applyBorder="1" applyAlignment="1">
      <alignment horizontal="center" vertical="center" wrapText="1"/>
    </xf>
    <xf numFmtId="4" fontId="13" fillId="0" borderId="9" xfId="2" applyNumberFormat="1" applyFont="1" applyFill="1" applyBorder="1" applyAlignment="1">
      <alignment horizontal="center"/>
    </xf>
    <xf numFmtId="175" fontId="13" fillId="0" borderId="9" xfId="2" applyNumberFormat="1" applyFont="1" applyFill="1" applyBorder="1" applyAlignment="1">
      <alignment horizontal="center"/>
    </xf>
    <xf numFmtId="168" fontId="0" fillId="0" borderId="0" xfId="1" applyNumberFormat="1" applyFont="1"/>
    <xf numFmtId="0" fontId="2" fillId="0" borderId="49" xfId="0" applyFont="1" applyBorder="1"/>
    <xf numFmtId="0" fontId="0" fillId="0" borderId="50" xfId="0" applyFont="1" applyBorder="1"/>
    <xf numFmtId="3" fontId="0" fillId="0" borderId="50" xfId="0" applyNumberFormat="1" applyFont="1" applyBorder="1" applyAlignment="1">
      <alignment horizontal="center"/>
    </xf>
    <xf numFmtId="0" fontId="0" fillId="4" borderId="50" xfId="0" applyFont="1" applyFill="1" applyBorder="1"/>
    <xf numFmtId="167" fontId="11" fillId="0" borderId="50" xfId="0" applyNumberFormat="1" applyFont="1" applyBorder="1"/>
    <xf numFmtId="167" fontId="11" fillId="0" borderId="51" xfId="0" applyNumberFormat="1" applyFont="1" applyBorder="1"/>
    <xf numFmtId="0" fontId="11" fillId="0" borderId="22" xfId="0" applyFont="1" applyFill="1" applyBorder="1"/>
    <xf numFmtId="0" fontId="13" fillId="0" borderId="23" xfId="0" applyFont="1" applyFill="1" applyBorder="1" applyAlignment="1">
      <alignment horizontal="center"/>
    </xf>
    <xf numFmtId="3" fontId="13" fillId="0" borderId="23" xfId="0" applyNumberFormat="1" applyFont="1" applyFill="1" applyBorder="1" applyAlignment="1">
      <alignment horizontal="center"/>
    </xf>
    <xf numFmtId="4" fontId="13" fillId="0" borderId="23" xfId="1" applyNumberFormat="1" applyFont="1" applyFill="1" applyBorder="1" applyAlignment="1">
      <alignment horizontal="center"/>
    </xf>
    <xf numFmtId="175" fontId="13" fillId="0" borderId="23" xfId="1" applyNumberFormat="1" applyFont="1" applyBorder="1" applyAlignment="1">
      <alignment horizontal="center"/>
    </xf>
    <xf numFmtId="4" fontId="13" fillId="0" borderId="23" xfId="2" applyNumberFormat="1" applyFont="1" applyFill="1" applyBorder="1" applyAlignment="1">
      <alignment horizontal="center"/>
    </xf>
    <xf numFmtId="175" fontId="13" fillId="0" borderId="23" xfId="2" applyNumberFormat="1" applyFont="1" applyFill="1" applyBorder="1" applyAlignment="1">
      <alignment horizontal="center"/>
    </xf>
    <xf numFmtId="167" fontId="13" fillId="0" borderId="23" xfId="2" applyNumberFormat="1" applyFont="1" applyBorder="1" applyAlignment="1">
      <alignment horizontal="center"/>
    </xf>
    <xf numFmtId="167" fontId="13" fillId="0" borderId="32" xfId="2" applyNumberFormat="1" applyFont="1" applyBorder="1" applyAlignment="1">
      <alignment horizontal="center"/>
    </xf>
    <xf numFmtId="43" fontId="13" fillId="7" borderId="11" xfId="2" applyFont="1" applyFill="1" applyBorder="1"/>
    <xf numFmtId="43" fontId="13" fillId="7" borderId="20" xfId="2" applyFont="1" applyFill="1" applyBorder="1"/>
    <xf numFmtId="166" fontId="13" fillId="7" borderId="11" xfId="2" applyNumberFormat="1" applyFont="1" applyFill="1" applyBorder="1"/>
    <xf numFmtId="165" fontId="13" fillId="7" borderId="11" xfId="0" applyNumberFormat="1" applyFont="1" applyFill="1" applyBorder="1"/>
    <xf numFmtId="167" fontId="13" fillId="7" borderId="26" xfId="2" applyNumberFormat="1" applyFont="1" applyFill="1" applyBorder="1"/>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4" fillId="6" borderId="0" xfId="0" quotePrefix="1" applyFont="1" applyFill="1" applyAlignment="1">
      <alignment horizontal="center" wrapText="1"/>
    </xf>
    <xf numFmtId="0" fontId="5" fillId="0" borderId="0" xfId="0" applyFont="1" applyAlignment="1">
      <alignment horizontal="center"/>
    </xf>
    <xf numFmtId="0" fontId="4" fillId="0" borderId="0" xfId="0" applyFont="1" applyFill="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Fill="1" applyBorder="1" applyAlignment="1">
      <alignment horizontal="center"/>
    </xf>
    <xf numFmtId="0" fontId="6" fillId="0" borderId="13" xfId="0" applyFont="1" applyFill="1" applyBorder="1" applyAlignment="1">
      <alignment horizontal="center"/>
    </xf>
    <xf numFmtId="0" fontId="6" fillId="0" borderId="14" xfId="0" applyFont="1" applyFill="1" applyBorder="1" applyAlignment="1">
      <alignment horizont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Fill="1" applyBorder="1" applyAlignment="1">
      <alignment horizontal="center"/>
    </xf>
    <xf numFmtId="0" fontId="7" fillId="0" borderId="11" xfId="0" applyFont="1" applyFill="1" applyBorder="1" applyAlignment="1">
      <alignment horizontal="center"/>
    </xf>
    <xf numFmtId="0" fontId="7" fillId="0" borderId="35" xfId="0" applyFont="1" applyFill="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Font="1" applyAlignment="1">
      <alignment horizontal="left" vertical="top" wrapText="1"/>
    </xf>
    <xf numFmtId="0" fontId="0" fillId="0" borderId="0" xfId="0"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11" fillId="0" borderId="17" xfId="0" applyFont="1" applyFill="1" applyBorder="1" applyAlignment="1">
      <alignment horizontal="center"/>
    </xf>
    <xf numFmtId="0" fontId="11" fillId="0" borderId="35" xfId="0" applyFont="1" applyFill="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0" fillId="0" borderId="0" xfId="0" applyFont="1" applyAlignment="1">
      <alignment horizontal="right"/>
    </xf>
    <xf numFmtId="0" fontId="11"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2" fillId="0" borderId="0" xfId="0" applyFont="1" applyAlignment="1">
      <alignment horizontal="left"/>
    </xf>
    <xf numFmtId="0" fontId="0" fillId="0" borderId="0" xfId="0" applyFont="1" applyAlignment="1">
      <alignment horizontal="left"/>
    </xf>
    <xf numFmtId="0" fontId="16" fillId="0" borderId="0" xfId="0" applyFont="1" applyAlignment="1">
      <alignment horizont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3" xfId="0" applyFont="1" applyFill="1" applyBorder="1" applyAlignment="1">
      <alignment horizontal="center" vertical="center" wrapText="1"/>
    </xf>
  </cellXfs>
  <cellStyles count="12">
    <cellStyle name="Comma" xfId="11" builtinId="3"/>
    <cellStyle name="Comma 2" xfId="2" xr:uid="{7BE898D3-340C-4B9E-A1F6-C757EE20C23B}"/>
    <cellStyle name="Comma 2 11" xfId="6" xr:uid="{877D0614-2CC4-4242-81EB-95D752FB48CF}"/>
    <cellStyle name="Comma 3" xfId="8" xr:uid="{974591EE-19F2-4158-931B-B8A3B260F9CE}"/>
    <cellStyle name="Currency 2" xfId="3" xr:uid="{732C39E1-518E-4DE7-ADAD-AE5E6BC9C08B}"/>
    <cellStyle name="Currency 2 10" xfId="7" xr:uid="{CA904D9A-663F-4E4C-962F-2F88BCB59405}"/>
    <cellStyle name="Normal" xfId="0" builtinId="0"/>
    <cellStyle name="Normal 2 2 3" xfId="4" xr:uid="{58841765-0DA8-41B1-B85C-E1B0E71F54CB}"/>
    <cellStyle name="Normal 76" xfId="5" xr:uid="{8097078B-F0B8-486B-A4AD-BDC9C88CC75A}"/>
    <cellStyle name="Percent" xfId="1" builtinId="5"/>
    <cellStyle name="Percent 10 2 2" xfId="9" xr:uid="{937C59EE-86CA-4EF2-9B83-BBE37C02ED7D}"/>
    <cellStyle name="Percent 2" xfId="10" xr:uid="{F717EAAD-4A70-4375-B8DB-5DE5D89B5250}"/>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48C5-14DD-474D-8760-7C8E52D64281}">
  <sheetPr>
    <tabColor theme="9" tint="0.79998168889431442"/>
    <pageSetUpPr fitToPage="1"/>
  </sheetPr>
  <dimension ref="B20:I34"/>
  <sheetViews>
    <sheetView showGridLines="0" tabSelected="1" workbookViewId="0"/>
  </sheetViews>
  <sheetFormatPr defaultColWidth="9.140625" defaultRowHeight="15" x14ac:dyDescent="0.25"/>
  <cols>
    <col min="1" max="1" width="5" style="5" customWidth="1"/>
    <col min="2" max="2" width="18.7109375" style="5" customWidth="1"/>
    <col min="3" max="8" width="9.140625" style="5"/>
    <col min="9" max="9" width="47" style="5" customWidth="1"/>
    <col min="10" max="16384" width="9.140625" style="5"/>
  </cols>
  <sheetData>
    <row r="20" spans="2:9" ht="33.75" x14ac:dyDescent="0.5">
      <c r="B20" s="232" t="s">
        <v>0</v>
      </c>
      <c r="C20" s="232"/>
      <c r="D20" s="232"/>
      <c r="E20" s="232"/>
      <c r="F20" s="232"/>
      <c r="G20" s="232"/>
      <c r="H20" s="232"/>
      <c r="I20" s="232"/>
    </row>
    <row r="21" spans="2:9" ht="33.75" x14ac:dyDescent="0.5">
      <c r="B21" s="232" t="s">
        <v>110</v>
      </c>
      <c r="C21" s="232"/>
      <c r="D21" s="232"/>
      <c r="E21" s="232"/>
      <c r="F21" s="232"/>
      <c r="G21" s="232"/>
      <c r="H21" s="232"/>
      <c r="I21" s="232"/>
    </row>
    <row r="22" spans="2:9" ht="33.75" x14ac:dyDescent="0.5">
      <c r="B22" s="232" t="s">
        <v>1</v>
      </c>
      <c r="C22" s="232"/>
      <c r="D22" s="232"/>
      <c r="E22" s="232"/>
      <c r="F22" s="232"/>
      <c r="G22" s="232"/>
      <c r="H22" s="232"/>
      <c r="I22" s="232"/>
    </row>
    <row r="25" spans="2:9" ht="31.5" x14ac:dyDescent="0.5">
      <c r="B25" s="237" t="s">
        <v>2</v>
      </c>
      <c r="C25" s="237"/>
      <c r="D25" s="237"/>
      <c r="E25" s="237"/>
      <c r="F25" s="237"/>
      <c r="G25" s="237"/>
      <c r="H25" s="237"/>
      <c r="I25" s="237"/>
    </row>
    <row r="26" spans="2:9" ht="33.75" x14ac:dyDescent="0.5">
      <c r="B26" s="238" t="s">
        <v>128</v>
      </c>
      <c r="C26" s="238"/>
      <c r="D26" s="238"/>
      <c r="E26" s="238"/>
      <c r="F26" s="238"/>
      <c r="G26" s="238"/>
      <c r="H26" s="238"/>
      <c r="I26" s="238"/>
    </row>
    <row r="27" spans="2:9" ht="33.75" x14ac:dyDescent="0.5">
      <c r="B27" s="232"/>
      <c r="C27" s="233"/>
      <c r="D27" s="233"/>
      <c r="E27" s="233"/>
      <c r="F27" s="233"/>
      <c r="G27" s="233"/>
      <c r="H27" s="233"/>
      <c r="I27" s="233"/>
    </row>
    <row r="28" spans="2:9" ht="33.75" x14ac:dyDescent="0.5">
      <c r="B28" s="234"/>
      <c r="C28" s="235"/>
      <c r="D28" s="235"/>
      <c r="E28" s="235"/>
      <c r="F28" s="235"/>
      <c r="G28" s="235"/>
      <c r="H28" s="235"/>
      <c r="I28" s="235"/>
    </row>
    <row r="29" spans="2:9" ht="33.75" x14ac:dyDescent="0.5">
      <c r="B29" s="236" t="s">
        <v>136</v>
      </c>
      <c r="C29" s="236"/>
      <c r="D29" s="236"/>
      <c r="E29" s="236"/>
      <c r="F29" s="236"/>
      <c r="G29" s="236"/>
      <c r="H29" s="236"/>
      <c r="I29" s="236"/>
    </row>
    <row r="32" spans="2:9" x14ac:dyDescent="0.25">
      <c r="B32" s="1"/>
    </row>
    <row r="33" spans="2:2" x14ac:dyDescent="0.25">
      <c r="B33" s="1"/>
    </row>
    <row r="34" spans="2:2" x14ac:dyDescent="0.25">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7A20-3ABB-4DDA-A569-F1D2B37650A0}">
  <sheetPr>
    <tabColor theme="9" tint="0.79998168889431442"/>
    <pageSetUpPr fitToPage="1"/>
  </sheetPr>
  <dimension ref="B2:O32"/>
  <sheetViews>
    <sheetView showGridLines="0" topLeftCell="A10" workbookViewId="0">
      <selection activeCell="O24" sqref="O24"/>
    </sheetView>
  </sheetViews>
  <sheetFormatPr defaultColWidth="9.140625" defaultRowHeight="15" x14ac:dyDescent="0.25"/>
  <cols>
    <col min="1" max="1" width="2.140625" style="5" customWidth="1"/>
    <col min="2" max="2" width="19.140625" style="5" bestFit="1" customWidth="1"/>
    <col min="3" max="3" width="12.85546875" style="5" customWidth="1"/>
    <col min="4" max="4" width="12.140625" style="5" bestFit="1" customWidth="1"/>
    <col min="5" max="5" width="13" style="5" customWidth="1"/>
    <col min="6" max="6" width="10" style="5" bestFit="1" customWidth="1"/>
    <col min="7" max="9" width="10.85546875" style="5" bestFit="1" customWidth="1"/>
    <col min="10" max="10" width="11.85546875" style="5" bestFit="1" customWidth="1"/>
    <col min="11" max="12" width="9.140625" style="5" bestFit="1" customWidth="1"/>
    <col min="13" max="16384" width="9.140625" style="5"/>
  </cols>
  <sheetData>
    <row r="2" spans="2:15" ht="18.75" x14ac:dyDescent="0.3">
      <c r="B2" s="345" t="s">
        <v>123</v>
      </c>
      <c r="C2" s="345"/>
      <c r="D2" s="345"/>
      <c r="E2" s="345"/>
      <c r="F2" s="345"/>
      <c r="G2" s="345"/>
      <c r="H2" s="345"/>
      <c r="I2" s="345"/>
      <c r="J2" s="345"/>
      <c r="K2" s="345"/>
      <c r="L2" s="345"/>
    </row>
    <row r="4" spans="2:15" ht="15.75" thickBot="1" x14ac:dyDescent="0.3"/>
    <row r="5" spans="2:15" ht="15.75" customHeight="1" thickBot="1" x14ac:dyDescent="0.3">
      <c r="B5" s="346" t="s">
        <v>68</v>
      </c>
      <c r="C5" s="348" t="s">
        <v>69</v>
      </c>
      <c r="D5" s="340"/>
      <c r="E5" s="341" t="s">
        <v>70</v>
      </c>
      <c r="F5" s="333" t="s">
        <v>71</v>
      </c>
      <c r="G5" s="334"/>
      <c r="H5" s="335" t="s">
        <v>72</v>
      </c>
      <c r="I5" s="336"/>
      <c r="J5" s="337"/>
      <c r="K5" s="336" t="s">
        <v>73</v>
      </c>
      <c r="L5" s="337"/>
    </row>
    <row r="6" spans="2:15" ht="45.75" thickBot="1" x14ac:dyDescent="0.3">
      <c r="B6" s="347"/>
      <c r="C6" s="91"/>
      <c r="D6" s="92" t="s">
        <v>74</v>
      </c>
      <c r="E6" s="342"/>
      <c r="F6" s="92" t="s">
        <v>8</v>
      </c>
      <c r="G6" s="93" t="s">
        <v>75</v>
      </c>
      <c r="H6" s="89" t="s">
        <v>38</v>
      </c>
      <c r="I6" s="89" t="s">
        <v>39</v>
      </c>
      <c r="J6" s="89" t="s">
        <v>43</v>
      </c>
      <c r="K6" s="89" t="s">
        <v>38</v>
      </c>
      <c r="L6" s="90" t="s">
        <v>39</v>
      </c>
    </row>
    <row r="7" spans="2:15" x14ac:dyDescent="0.25">
      <c r="B7" s="81"/>
      <c r="C7" s="82"/>
      <c r="D7" s="18"/>
      <c r="E7" s="83" t="s">
        <v>33</v>
      </c>
      <c r="F7" s="81"/>
      <c r="G7" s="84" t="s">
        <v>33</v>
      </c>
      <c r="H7" s="84" t="s">
        <v>9</v>
      </c>
      <c r="I7" s="84" t="s">
        <v>9</v>
      </c>
      <c r="J7" s="84" t="s">
        <v>9</v>
      </c>
      <c r="K7" s="82"/>
      <c r="L7" s="85"/>
      <c r="N7" s="5" t="s">
        <v>102</v>
      </c>
      <c r="O7" s="88">
        <f>J8-J29</f>
        <v>0</v>
      </c>
    </row>
    <row r="8" spans="2:15" ht="15.75" thickBot="1" x14ac:dyDescent="0.3">
      <c r="B8" s="94" t="s">
        <v>80</v>
      </c>
      <c r="C8" s="95" t="s">
        <v>67</v>
      </c>
      <c r="D8" s="96">
        <f>'RRRP Rate Design'!D14</f>
        <v>8115.5292008802571</v>
      </c>
      <c r="E8" s="96">
        <f>'RRRP Rate Design'!E14</f>
        <v>84857055.570733279</v>
      </c>
      <c r="F8" s="97">
        <f>'RRRP Rate Design'!I14</f>
        <v>58.63</v>
      </c>
      <c r="G8" s="98">
        <f>'RRRP Rate Design'!J14</f>
        <v>4.1000000000000003E-3</v>
      </c>
      <c r="H8" s="96">
        <f>D8*F8*12</f>
        <v>5709761.7245713137</v>
      </c>
      <c r="I8" s="96">
        <f>E8*G8</f>
        <v>347913.92784000648</v>
      </c>
      <c r="J8" s="96">
        <f>H8+I8</f>
        <v>6057675.6524113202</v>
      </c>
      <c r="K8" s="183">
        <f>H8/J8</f>
        <v>0.94256643177956945</v>
      </c>
      <c r="L8" s="184">
        <f>I8/J8</f>
        <v>5.7433568220430511E-2</v>
      </c>
    </row>
    <row r="10" spans="2:15" x14ac:dyDescent="0.25">
      <c r="B10" s="343" t="s">
        <v>84</v>
      </c>
      <c r="C10" s="343"/>
      <c r="D10" s="343"/>
      <c r="E10" s="343"/>
    </row>
    <row r="11" spans="2:15" x14ac:dyDescent="0.25">
      <c r="F11" s="114">
        <v>2023</v>
      </c>
      <c r="G11" s="196">
        <v>2024</v>
      </c>
      <c r="H11" s="77"/>
      <c r="I11" s="76"/>
      <c r="J11" s="77"/>
      <c r="K11" s="76"/>
    </row>
    <row r="12" spans="2:15" x14ac:dyDescent="0.25">
      <c r="B12" s="344" t="s">
        <v>127</v>
      </c>
      <c r="C12" s="344"/>
      <c r="D12" s="344"/>
      <c r="E12" s="344"/>
      <c r="F12" s="197">
        <f>F8</f>
        <v>58.63</v>
      </c>
      <c r="G12" s="197">
        <f>F15</f>
        <v>62.202512229622165</v>
      </c>
      <c r="H12" s="86"/>
      <c r="I12" s="86"/>
      <c r="J12" s="86"/>
      <c r="K12" s="86"/>
    </row>
    <row r="13" spans="2:15" x14ac:dyDescent="0.25">
      <c r="B13" s="344" t="s">
        <v>77</v>
      </c>
      <c r="C13" s="344"/>
      <c r="D13" s="344"/>
      <c r="E13" s="344"/>
      <c r="F13" s="198">
        <f>J8/D8/12</f>
        <v>62.202512229622165</v>
      </c>
      <c r="G13" s="197"/>
    </row>
    <row r="14" spans="2:15" x14ac:dyDescent="0.25">
      <c r="B14" s="87" t="s">
        <v>78</v>
      </c>
      <c r="C14" s="87"/>
      <c r="D14" s="87"/>
      <c r="E14" s="87"/>
      <c r="F14" s="198">
        <f>IF(($F$13-F12)&gt;4,4,$F$13-F12)</f>
        <v>3.5725122296221627</v>
      </c>
      <c r="G14" s="198">
        <f>IF(($F$13-G12)&gt;4,4,$F$13-G12)</f>
        <v>0</v>
      </c>
      <c r="H14" s="78"/>
      <c r="I14" s="78"/>
      <c r="J14" s="78"/>
      <c r="K14" s="78"/>
    </row>
    <row r="15" spans="2:15" x14ac:dyDescent="0.25">
      <c r="B15" s="344" t="s">
        <v>79</v>
      </c>
      <c r="C15" s="344"/>
      <c r="D15" s="344"/>
      <c r="E15" s="344"/>
      <c r="F15" s="198">
        <f>F12+F14</f>
        <v>62.202512229622165</v>
      </c>
      <c r="G15" s="198">
        <f>G12+G14</f>
        <v>62.202512229622165</v>
      </c>
      <c r="H15" s="78"/>
      <c r="I15" s="78"/>
      <c r="J15" s="78"/>
      <c r="K15" s="78"/>
    </row>
    <row r="17" spans="2:12" x14ac:dyDescent="0.25">
      <c r="B17" s="1" t="s">
        <v>120</v>
      </c>
    </row>
    <row r="18" spans="2:12" ht="15.75" thickBot="1" x14ac:dyDescent="0.3"/>
    <row r="19" spans="2:12" ht="15.75" thickBot="1" x14ac:dyDescent="0.3">
      <c r="B19" s="99" t="s">
        <v>68</v>
      </c>
      <c r="C19" s="339" t="s">
        <v>69</v>
      </c>
      <c r="D19" s="340"/>
      <c r="E19" s="341" t="s">
        <v>70</v>
      </c>
      <c r="F19" s="333" t="s">
        <v>71</v>
      </c>
      <c r="G19" s="334"/>
      <c r="H19" s="335" t="s">
        <v>72</v>
      </c>
      <c r="I19" s="336"/>
      <c r="J19" s="337"/>
      <c r="K19" s="336" t="s">
        <v>30</v>
      </c>
      <c r="L19" s="337"/>
    </row>
    <row r="20" spans="2:12" ht="45.75" thickBot="1" x14ac:dyDescent="0.3">
      <c r="B20" s="100"/>
      <c r="C20" s="101"/>
      <c r="D20" s="92" t="s">
        <v>74</v>
      </c>
      <c r="E20" s="342"/>
      <c r="F20" s="92" t="s">
        <v>8</v>
      </c>
      <c r="G20" s="93" t="s">
        <v>75</v>
      </c>
      <c r="H20" s="89" t="s">
        <v>38</v>
      </c>
      <c r="I20" s="89" t="s">
        <v>39</v>
      </c>
      <c r="J20" s="89" t="s">
        <v>43</v>
      </c>
      <c r="K20" s="89" t="s">
        <v>38</v>
      </c>
      <c r="L20" s="90" t="s">
        <v>39</v>
      </c>
    </row>
    <row r="21" spans="2:12" x14ac:dyDescent="0.25">
      <c r="B21" s="81"/>
      <c r="C21" s="81"/>
      <c r="D21" s="81"/>
      <c r="E21" s="83" t="s">
        <v>33</v>
      </c>
      <c r="F21" s="81"/>
      <c r="G21" s="84" t="s">
        <v>33</v>
      </c>
      <c r="H21" s="84" t="s">
        <v>9</v>
      </c>
      <c r="I21" s="84" t="s">
        <v>9</v>
      </c>
      <c r="J21" s="84" t="s">
        <v>9</v>
      </c>
      <c r="K21" s="82"/>
      <c r="L21" s="85"/>
    </row>
    <row r="22" spans="2:12" ht="15.75" thickBot="1" x14ac:dyDescent="0.3">
      <c r="B22" s="94" t="s">
        <v>76</v>
      </c>
      <c r="C22" s="94" t="s">
        <v>67</v>
      </c>
      <c r="D22" s="102">
        <f>D8</f>
        <v>8115.5292008802571</v>
      </c>
      <c r="E22" s="102">
        <f>E8</f>
        <v>84857055.570733279</v>
      </c>
      <c r="F22" s="97">
        <f>F15</f>
        <v>62.202512229622165</v>
      </c>
      <c r="G22" s="98">
        <f>I22/E22</f>
        <v>0</v>
      </c>
      <c r="H22" s="102">
        <f>F22*D22*12</f>
        <v>6057675.6524113202</v>
      </c>
      <c r="I22" s="102">
        <f>L22*J8</f>
        <v>0</v>
      </c>
      <c r="J22" s="182">
        <f>H22+I22</f>
        <v>6057675.6524113202</v>
      </c>
      <c r="K22" s="183">
        <f>H22/J8</f>
        <v>1</v>
      </c>
      <c r="L22" s="184">
        <f>1-K22</f>
        <v>0</v>
      </c>
    </row>
    <row r="24" spans="2:12" x14ac:dyDescent="0.25">
      <c r="B24" s="1" t="s">
        <v>83</v>
      </c>
      <c r="H24" s="338"/>
      <c r="I24" s="338"/>
      <c r="J24" s="88"/>
    </row>
    <row r="25" spans="2:12" ht="15.75" thickBot="1" x14ac:dyDescent="0.3"/>
    <row r="26" spans="2:12" ht="15.75" thickBot="1" x14ac:dyDescent="0.3">
      <c r="B26" s="99" t="s">
        <v>68</v>
      </c>
      <c r="C26" s="339" t="s">
        <v>69</v>
      </c>
      <c r="D26" s="340"/>
      <c r="E26" s="341" t="s">
        <v>70</v>
      </c>
      <c r="F26" s="333" t="s">
        <v>71</v>
      </c>
      <c r="G26" s="334"/>
      <c r="H26" s="335" t="s">
        <v>72</v>
      </c>
      <c r="I26" s="336"/>
      <c r="J26" s="337"/>
    </row>
    <row r="27" spans="2:12" ht="45.75" thickBot="1" x14ac:dyDescent="0.3">
      <c r="B27" s="100"/>
      <c r="C27" s="101"/>
      <c r="D27" s="92" t="s">
        <v>74</v>
      </c>
      <c r="E27" s="342"/>
      <c r="F27" s="92" t="s">
        <v>8</v>
      </c>
      <c r="G27" s="93" t="s">
        <v>75</v>
      </c>
      <c r="H27" s="89" t="s">
        <v>38</v>
      </c>
      <c r="I27" s="89" t="s">
        <v>39</v>
      </c>
      <c r="J27" s="89" t="s">
        <v>43</v>
      </c>
    </row>
    <row r="28" spans="2:12" x14ac:dyDescent="0.25">
      <c r="B28" s="81"/>
      <c r="C28" s="81"/>
      <c r="D28" s="81"/>
      <c r="E28" s="83" t="s">
        <v>33</v>
      </c>
      <c r="F28" s="81"/>
      <c r="G28" s="84" t="s">
        <v>33</v>
      </c>
      <c r="H28" s="84" t="s">
        <v>9</v>
      </c>
      <c r="I28" s="84" t="s">
        <v>9</v>
      </c>
      <c r="J28" s="84" t="s">
        <v>9</v>
      </c>
    </row>
    <row r="29" spans="2:12" ht="15.75" thickBot="1" x14ac:dyDescent="0.3">
      <c r="B29" s="94" t="s">
        <v>76</v>
      </c>
      <c r="C29" s="94" t="s">
        <v>67</v>
      </c>
      <c r="D29" s="102">
        <f>D22</f>
        <v>8115.5292008802571</v>
      </c>
      <c r="E29" s="102">
        <f>E22</f>
        <v>84857055.570733279</v>
      </c>
      <c r="F29" s="97">
        <f>F22</f>
        <v>62.202512229622165</v>
      </c>
      <c r="G29" s="98">
        <f>ROUND(G22,4)</f>
        <v>0</v>
      </c>
      <c r="H29" s="102">
        <f>F29*D29*12</f>
        <v>6057675.6524113202</v>
      </c>
      <c r="I29" s="102">
        <f>E29*G29</f>
        <v>0</v>
      </c>
      <c r="J29" s="182">
        <f>H29+I29</f>
        <v>6057675.6524113202</v>
      </c>
    </row>
    <row r="30" spans="2:12" ht="15.75" thickBot="1" x14ac:dyDescent="0.3">
      <c r="B30" s="103"/>
      <c r="C30" s="103"/>
      <c r="D30" s="104"/>
      <c r="E30" s="104"/>
      <c r="F30" s="105"/>
      <c r="G30" s="105"/>
      <c r="H30" s="106"/>
      <c r="I30" s="106"/>
      <c r="J30" s="107"/>
    </row>
    <row r="31" spans="2:12" x14ac:dyDescent="0.25">
      <c r="B31" s="329" t="s">
        <v>82</v>
      </c>
      <c r="C31" s="330"/>
      <c r="D31" s="330"/>
      <c r="E31" s="330"/>
      <c r="F31" s="330"/>
      <c r="G31" s="25" t="s">
        <v>9</v>
      </c>
      <c r="H31" s="108">
        <f>H29-H22</f>
        <v>0</v>
      </c>
      <c r="I31" s="108">
        <f>I29-I22</f>
        <v>0</v>
      </c>
      <c r="J31" s="109">
        <f>J29-J22</f>
        <v>0</v>
      </c>
    </row>
    <row r="32" spans="2:12" ht="15.75" thickBot="1" x14ac:dyDescent="0.3">
      <c r="B32" s="331"/>
      <c r="C32" s="332"/>
      <c r="D32" s="332"/>
      <c r="E32" s="332"/>
      <c r="F32" s="332"/>
      <c r="G32" s="111" t="s">
        <v>81</v>
      </c>
      <c r="H32" s="110">
        <f>H31/H22</f>
        <v>0</v>
      </c>
      <c r="I32" s="110" t="e">
        <f t="shared" ref="I32:J32" si="0">I31/I22</f>
        <v>#DIV/0!</v>
      </c>
      <c r="J32" s="112">
        <f t="shared" si="0"/>
        <v>0</v>
      </c>
    </row>
  </sheetData>
  <mergeCells count="22">
    <mergeCell ref="B2:L2"/>
    <mergeCell ref="B5:B6"/>
    <mergeCell ref="C5:D5"/>
    <mergeCell ref="E5:E6"/>
    <mergeCell ref="F5:G5"/>
    <mergeCell ref="H5:J5"/>
    <mergeCell ref="K5:L5"/>
    <mergeCell ref="B10:E10"/>
    <mergeCell ref="B12:E12"/>
    <mergeCell ref="B13:E13"/>
    <mergeCell ref="B15:E15"/>
    <mergeCell ref="C19:D19"/>
    <mergeCell ref="E19:E20"/>
    <mergeCell ref="B31:F32"/>
    <mergeCell ref="F19:G19"/>
    <mergeCell ref="H19:J19"/>
    <mergeCell ref="K19:L19"/>
    <mergeCell ref="H24:I24"/>
    <mergeCell ref="C26:D26"/>
    <mergeCell ref="E26:E27"/>
    <mergeCell ref="F26:G26"/>
    <mergeCell ref="H26:J26"/>
  </mergeCells>
  <pageMargins left="0.7" right="0.7" top="0.75" bottom="0.75" header="0.3" footer="0.3"/>
  <pageSetup scale="6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E17-E022-42C7-8062-45D3B1C6C683}">
  <sheetPr>
    <tabColor theme="9" tint="0.79998168889431442"/>
    <pageSetUpPr fitToPage="1"/>
  </sheetPr>
  <dimension ref="B2:L32"/>
  <sheetViews>
    <sheetView showGridLines="0" workbookViewId="0"/>
  </sheetViews>
  <sheetFormatPr defaultColWidth="9.140625" defaultRowHeight="15" x14ac:dyDescent="0.25"/>
  <cols>
    <col min="1" max="1" width="2.140625" style="5" customWidth="1"/>
    <col min="2" max="2" width="19.140625" style="5" bestFit="1" customWidth="1"/>
    <col min="3" max="3" width="12.85546875" style="5" customWidth="1"/>
    <col min="4" max="4" width="12.140625" style="5" bestFit="1" customWidth="1"/>
    <col min="5" max="5" width="13" style="5" customWidth="1"/>
    <col min="6" max="6" width="10" style="5" bestFit="1" customWidth="1"/>
    <col min="7" max="9" width="10.85546875" style="5" bestFit="1" customWidth="1"/>
    <col min="10" max="10" width="11.85546875" style="5" bestFit="1" customWidth="1"/>
    <col min="11" max="12" width="9.140625" style="5" bestFit="1" customWidth="1"/>
    <col min="13" max="16384" width="9.140625" style="5"/>
  </cols>
  <sheetData>
    <row r="2" spans="2:12" ht="18.75" x14ac:dyDescent="0.3">
      <c r="B2" s="345" t="s">
        <v>124</v>
      </c>
      <c r="C2" s="345"/>
      <c r="D2" s="345"/>
      <c r="E2" s="345"/>
      <c r="F2" s="345"/>
      <c r="G2" s="345"/>
      <c r="H2" s="345"/>
      <c r="I2" s="345"/>
      <c r="J2" s="345"/>
      <c r="K2" s="345"/>
      <c r="L2" s="345"/>
    </row>
    <row r="4" spans="2:12" ht="15.75" thickBot="1" x14ac:dyDescent="0.3"/>
    <row r="5" spans="2:12" ht="15.75" customHeight="1" thickBot="1" x14ac:dyDescent="0.3">
      <c r="B5" s="346" t="s">
        <v>68</v>
      </c>
      <c r="C5" s="348" t="s">
        <v>69</v>
      </c>
      <c r="D5" s="340"/>
      <c r="E5" s="341" t="s">
        <v>70</v>
      </c>
      <c r="F5" s="333" t="s">
        <v>71</v>
      </c>
      <c r="G5" s="334"/>
      <c r="H5" s="335" t="s">
        <v>72</v>
      </c>
      <c r="I5" s="336"/>
      <c r="J5" s="337"/>
      <c r="K5" s="336" t="s">
        <v>73</v>
      </c>
      <c r="L5" s="337"/>
    </row>
    <row r="6" spans="2:12" ht="45.75" thickBot="1" x14ac:dyDescent="0.3">
      <c r="B6" s="347"/>
      <c r="C6" s="91"/>
      <c r="D6" s="92" t="s">
        <v>74</v>
      </c>
      <c r="E6" s="342"/>
      <c r="F6" s="92" t="s">
        <v>8</v>
      </c>
      <c r="G6" s="93" t="s">
        <v>75</v>
      </c>
      <c r="H6" s="89" t="s">
        <v>38</v>
      </c>
      <c r="I6" s="89" t="s">
        <v>39</v>
      </c>
      <c r="J6" s="89" t="s">
        <v>43</v>
      </c>
      <c r="K6" s="89" t="s">
        <v>38</v>
      </c>
      <c r="L6" s="90" t="s">
        <v>39</v>
      </c>
    </row>
    <row r="7" spans="2:12" x14ac:dyDescent="0.25">
      <c r="B7" s="81"/>
      <c r="C7" s="82"/>
      <c r="D7" s="18"/>
      <c r="E7" s="83" t="s">
        <v>33</v>
      </c>
      <c r="F7" s="81"/>
      <c r="G7" s="84" t="s">
        <v>33</v>
      </c>
      <c r="H7" s="84" t="s">
        <v>9</v>
      </c>
      <c r="I7" s="84" t="s">
        <v>9</v>
      </c>
      <c r="J7" s="84" t="s">
        <v>9</v>
      </c>
      <c r="K7" s="82"/>
      <c r="L7" s="85"/>
    </row>
    <row r="8" spans="2:12" ht="15.75" thickBot="1" x14ac:dyDescent="0.3">
      <c r="B8" s="94" t="s">
        <v>15</v>
      </c>
      <c r="C8" s="95" t="s">
        <v>67</v>
      </c>
      <c r="D8" s="96">
        <f>'Non-RRRP Rate Design'!D7</f>
        <v>2960.1858518389645</v>
      </c>
      <c r="E8" s="96">
        <f>'Non-RRRP Rate Design'!E7</f>
        <v>5874372.3645382812</v>
      </c>
      <c r="F8" s="97">
        <f>'Non-RRRP Rate Design'!H7</f>
        <v>71.34</v>
      </c>
      <c r="G8" s="98">
        <f>'Non-RRRP Rate Design'!I7</f>
        <v>8.4000000000000005E-2</v>
      </c>
      <c r="H8" s="96">
        <f>D8*F8*12</f>
        <v>2534155.9040423008</v>
      </c>
      <c r="I8" s="96">
        <f>E8*G8</f>
        <v>493447.27862121566</v>
      </c>
      <c r="J8" s="96">
        <f>H8+I8</f>
        <v>3027603.1826635166</v>
      </c>
      <c r="K8" s="74">
        <f>H8/J8</f>
        <v>0.83701718856461615</v>
      </c>
      <c r="L8" s="75">
        <f>I8/J8</f>
        <v>0.16298281143538376</v>
      </c>
    </row>
    <row r="10" spans="2:12" x14ac:dyDescent="0.25">
      <c r="B10" s="343" t="s">
        <v>85</v>
      </c>
      <c r="C10" s="343"/>
      <c r="D10" s="343"/>
      <c r="E10" s="343"/>
    </row>
    <row r="11" spans="2:12" x14ac:dyDescent="0.25">
      <c r="F11" s="76">
        <v>2023</v>
      </c>
      <c r="G11" s="77">
        <v>2024</v>
      </c>
      <c r="H11" s="76">
        <v>2025</v>
      </c>
      <c r="I11" s="77">
        <v>2026</v>
      </c>
      <c r="J11" s="76">
        <v>2027</v>
      </c>
      <c r="K11" s="77"/>
    </row>
    <row r="12" spans="2:12" x14ac:dyDescent="0.25">
      <c r="B12" s="344" t="s">
        <v>127</v>
      </c>
      <c r="C12" s="344"/>
      <c r="D12" s="344"/>
      <c r="E12" s="344"/>
      <c r="F12" s="86">
        <f>F8</f>
        <v>71.34</v>
      </c>
      <c r="G12" s="86">
        <f>F15</f>
        <v>75.34</v>
      </c>
      <c r="H12" s="86">
        <f>G15</f>
        <v>79.34</v>
      </c>
      <c r="I12" s="86">
        <f t="shared" ref="I12:J12" si="0">H15</f>
        <v>83.34</v>
      </c>
      <c r="J12" s="86">
        <f t="shared" si="0"/>
        <v>85.231224608827361</v>
      </c>
      <c r="K12" s="86"/>
    </row>
    <row r="13" spans="2:12" x14ac:dyDescent="0.25">
      <c r="B13" s="344" t="s">
        <v>77</v>
      </c>
      <c r="C13" s="344"/>
      <c r="D13" s="344"/>
      <c r="E13" s="344"/>
      <c r="F13" s="78">
        <f>J8/D8/12</f>
        <v>85.231224608827361</v>
      </c>
      <c r="G13" s="86"/>
    </row>
    <row r="14" spans="2:12" x14ac:dyDescent="0.25">
      <c r="B14" s="87" t="s">
        <v>78</v>
      </c>
      <c r="C14" s="87"/>
      <c r="D14" s="87"/>
      <c r="E14" s="87"/>
      <c r="F14" s="78">
        <f>IF(($F$13-F12)&gt;4,4,$F$13-F12)</f>
        <v>4</v>
      </c>
      <c r="G14" s="78">
        <f>IF(($F$13-G12)&gt;4,4,$F$13-G12)</f>
        <v>4</v>
      </c>
      <c r="H14" s="78">
        <f>IF(($F$13-H12)&gt;4,4,$F$13-H12)</f>
        <v>4</v>
      </c>
      <c r="I14" s="78">
        <f t="shared" ref="I14:J14" si="1">IF(($F$13-I12)&gt;4,4,$F$13-I12)</f>
        <v>1.8912246088273577</v>
      </c>
      <c r="J14" s="78">
        <f t="shared" si="1"/>
        <v>0</v>
      </c>
      <c r="K14" s="78"/>
    </row>
    <row r="15" spans="2:12" x14ac:dyDescent="0.25">
      <c r="B15" s="344" t="s">
        <v>79</v>
      </c>
      <c r="C15" s="344"/>
      <c r="D15" s="344"/>
      <c r="E15" s="344"/>
      <c r="F15" s="78">
        <f>F12+F14</f>
        <v>75.34</v>
      </c>
      <c r="G15" s="78">
        <f>G12+G14</f>
        <v>79.34</v>
      </c>
      <c r="H15" s="78">
        <f>H12+H14</f>
        <v>83.34</v>
      </c>
      <c r="I15" s="78">
        <f t="shared" ref="I15:J15" si="2">I12+I14</f>
        <v>85.231224608827361</v>
      </c>
      <c r="J15" s="78">
        <f t="shared" si="2"/>
        <v>85.231224608827361</v>
      </c>
      <c r="K15" s="78"/>
    </row>
    <row r="17" spans="2:12" x14ac:dyDescent="0.25">
      <c r="B17" s="1" t="s">
        <v>125</v>
      </c>
    </row>
    <row r="18" spans="2:12" ht="15.75" thickBot="1" x14ac:dyDescent="0.3"/>
    <row r="19" spans="2:12" ht="15.75" thickBot="1" x14ac:dyDescent="0.3">
      <c r="B19" s="99" t="s">
        <v>68</v>
      </c>
      <c r="C19" s="339" t="s">
        <v>69</v>
      </c>
      <c r="D19" s="340"/>
      <c r="E19" s="341" t="s">
        <v>70</v>
      </c>
      <c r="F19" s="333" t="s">
        <v>71</v>
      </c>
      <c r="G19" s="334"/>
      <c r="H19" s="335" t="s">
        <v>72</v>
      </c>
      <c r="I19" s="336"/>
      <c r="J19" s="337"/>
      <c r="K19" s="336" t="s">
        <v>30</v>
      </c>
      <c r="L19" s="337"/>
    </row>
    <row r="20" spans="2:12" ht="45.75" thickBot="1" x14ac:dyDescent="0.3">
      <c r="B20" s="100"/>
      <c r="C20" s="101"/>
      <c r="D20" s="92" t="s">
        <v>74</v>
      </c>
      <c r="E20" s="342"/>
      <c r="F20" s="92" t="s">
        <v>8</v>
      </c>
      <c r="G20" s="93" t="s">
        <v>75</v>
      </c>
      <c r="H20" s="89" t="s">
        <v>38</v>
      </c>
      <c r="I20" s="89" t="s">
        <v>39</v>
      </c>
      <c r="J20" s="89" t="s">
        <v>43</v>
      </c>
      <c r="K20" s="89" t="s">
        <v>38</v>
      </c>
      <c r="L20" s="90" t="s">
        <v>39</v>
      </c>
    </row>
    <row r="21" spans="2:12" x14ac:dyDescent="0.25">
      <c r="B21" s="81"/>
      <c r="C21" s="81"/>
      <c r="D21" s="81"/>
      <c r="E21" s="83" t="s">
        <v>33</v>
      </c>
      <c r="F21" s="81"/>
      <c r="G21" s="84" t="s">
        <v>33</v>
      </c>
      <c r="H21" s="84" t="s">
        <v>9</v>
      </c>
      <c r="I21" s="84" t="s">
        <v>9</v>
      </c>
      <c r="J21" s="84" t="s">
        <v>9</v>
      </c>
      <c r="K21" s="82"/>
      <c r="L21" s="85"/>
    </row>
    <row r="22" spans="2:12" ht="15.75" thickBot="1" x14ac:dyDescent="0.3">
      <c r="B22" s="94" t="s">
        <v>15</v>
      </c>
      <c r="C22" s="94" t="s">
        <v>67</v>
      </c>
      <c r="D22" s="102">
        <f>D8</f>
        <v>2960.1858518389645</v>
      </c>
      <c r="E22" s="102">
        <f>E8</f>
        <v>5874372.3645382812</v>
      </c>
      <c r="F22" s="97">
        <f>F15</f>
        <v>75.34</v>
      </c>
      <c r="G22" s="98">
        <f>I22/E22</f>
        <v>5.9812067728968674E-2</v>
      </c>
      <c r="H22" s="79">
        <f>F22*D22*12</f>
        <v>2676244.824930571</v>
      </c>
      <c r="I22" s="79">
        <f>L22*J8</f>
        <v>351358.35773294553</v>
      </c>
      <c r="J22" s="80">
        <f>H22+I22</f>
        <v>3027603.1826635166</v>
      </c>
      <c r="K22" s="74">
        <f>H22/J8</f>
        <v>0.88394834575915593</v>
      </c>
      <c r="L22" s="75">
        <f>1-K22</f>
        <v>0.11605165424084407</v>
      </c>
    </row>
    <row r="24" spans="2:12" x14ac:dyDescent="0.25">
      <c r="B24" s="1" t="s">
        <v>83</v>
      </c>
      <c r="H24" s="338"/>
      <c r="I24" s="338"/>
      <c r="J24" s="88"/>
    </row>
    <row r="25" spans="2:12" ht="15.75" thickBot="1" x14ac:dyDescent="0.3"/>
    <row r="26" spans="2:12" ht="15.75" thickBot="1" x14ac:dyDescent="0.3">
      <c r="B26" s="99" t="s">
        <v>68</v>
      </c>
      <c r="C26" s="339" t="s">
        <v>69</v>
      </c>
      <c r="D26" s="340"/>
      <c r="E26" s="341" t="s">
        <v>70</v>
      </c>
      <c r="F26" s="333" t="s">
        <v>71</v>
      </c>
      <c r="G26" s="334"/>
      <c r="H26" s="335" t="s">
        <v>72</v>
      </c>
      <c r="I26" s="336"/>
      <c r="J26" s="337"/>
    </row>
    <row r="27" spans="2:12" ht="45.75" thickBot="1" x14ac:dyDescent="0.3">
      <c r="B27" s="100"/>
      <c r="C27" s="101"/>
      <c r="D27" s="92" t="s">
        <v>74</v>
      </c>
      <c r="E27" s="342"/>
      <c r="F27" s="92" t="s">
        <v>8</v>
      </c>
      <c r="G27" s="93" t="s">
        <v>75</v>
      </c>
      <c r="H27" s="89" t="s">
        <v>38</v>
      </c>
      <c r="I27" s="89" t="s">
        <v>39</v>
      </c>
      <c r="J27" s="89" t="s">
        <v>43</v>
      </c>
    </row>
    <row r="28" spans="2:12" x14ac:dyDescent="0.25">
      <c r="B28" s="81"/>
      <c r="C28" s="81"/>
      <c r="D28" s="81"/>
      <c r="E28" s="83" t="s">
        <v>33</v>
      </c>
      <c r="F28" s="81"/>
      <c r="G28" s="84" t="s">
        <v>33</v>
      </c>
      <c r="H28" s="84" t="s">
        <v>9</v>
      </c>
      <c r="I28" s="84" t="s">
        <v>9</v>
      </c>
      <c r="J28" s="84" t="s">
        <v>9</v>
      </c>
    </row>
    <row r="29" spans="2:12" ht="15.75" thickBot="1" x14ac:dyDescent="0.3">
      <c r="B29" s="94" t="s">
        <v>15</v>
      </c>
      <c r="C29" s="94" t="s">
        <v>67</v>
      </c>
      <c r="D29" s="102">
        <f>D22</f>
        <v>2960.1858518389645</v>
      </c>
      <c r="E29" s="102">
        <f>E22</f>
        <v>5874372.3645382812</v>
      </c>
      <c r="F29" s="97">
        <f>F22</f>
        <v>75.34</v>
      </c>
      <c r="G29" s="98">
        <f>ROUND(G22,4)</f>
        <v>5.9799999999999999E-2</v>
      </c>
      <c r="H29" s="79">
        <f>F29*D29*12</f>
        <v>2676244.824930571</v>
      </c>
      <c r="I29" s="79">
        <f>E29*G29</f>
        <v>351287.46739938919</v>
      </c>
      <c r="J29" s="80">
        <f>H29+I29</f>
        <v>3027532.29232996</v>
      </c>
    </row>
    <row r="30" spans="2:12" ht="15.75" thickBot="1" x14ac:dyDescent="0.3">
      <c r="B30" s="103"/>
      <c r="C30" s="103"/>
      <c r="D30" s="104"/>
      <c r="E30" s="104"/>
      <c r="F30" s="105"/>
      <c r="G30" s="105"/>
      <c r="H30" s="106"/>
      <c r="I30" s="106"/>
      <c r="J30" s="107"/>
    </row>
    <row r="31" spans="2:12" x14ac:dyDescent="0.25">
      <c r="B31" s="329" t="s">
        <v>82</v>
      </c>
      <c r="C31" s="330"/>
      <c r="D31" s="330"/>
      <c r="E31" s="330"/>
      <c r="F31" s="330"/>
      <c r="G31" s="25" t="s">
        <v>9</v>
      </c>
      <c r="H31" s="108">
        <f>H29-H22</f>
        <v>0</v>
      </c>
      <c r="I31" s="108">
        <f>I29-I22</f>
        <v>-70.890333556337282</v>
      </c>
      <c r="J31" s="109">
        <f>J29-J22</f>
        <v>-70.890333556570113</v>
      </c>
    </row>
    <row r="32" spans="2:12" ht="15.75" thickBot="1" x14ac:dyDescent="0.3">
      <c r="B32" s="331"/>
      <c r="C32" s="332"/>
      <c r="D32" s="332"/>
      <c r="E32" s="332"/>
      <c r="F32" s="332"/>
      <c r="G32" s="111" t="s">
        <v>81</v>
      </c>
      <c r="H32" s="110">
        <f>H31/H22</f>
        <v>0</v>
      </c>
      <c r="I32" s="110">
        <f t="shared" ref="I32:J32" si="3">I31/I22</f>
        <v>-2.0176077214653423E-4</v>
      </c>
      <c r="J32" s="112">
        <f t="shared" si="3"/>
        <v>-2.3414671368592217E-5</v>
      </c>
    </row>
  </sheetData>
  <mergeCells count="22">
    <mergeCell ref="B2:L2"/>
    <mergeCell ref="B5:B6"/>
    <mergeCell ref="C5:D5"/>
    <mergeCell ref="E5:E6"/>
    <mergeCell ref="F5:G5"/>
    <mergeCell ref="H5:J5"/>
    <mergeCell ref="K5:L5"/>
    <mergeCell ref="B10:E10"/>
    <mergeCell ref="B12:E12"/>
    <mergeCell ref="B13:E13"/>
    <mergeCell ref="B15:E15"/>
    <mergeCell ref="C19:D19"/>
    <mergeCell ref="E19:E20"/>
    <mergeCell ref="B31:F32"/>
    <mergeCell ref="F19:G19"/>
    <mergeCell ref="H19:J19"/>
    <mergeCell ref="K19:L19"/>
    <mergeCell ref="H24:I24"/>
    <mergeCell ref="C26:D26"/>
    <mergeCell ref="E26:E27"/>
    <mergeCell ref="F26:G26"/>
    <mergeCell ref="H26:J26"/>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0746-760F-4A40-AF18-6199DD84677D}">
  <sheetPr>
    <tabColor theme="9" tint="0.79998168889431442"/>
    <pageSetUpPr fitToPage="1"/>
  </sheetPr>
  <dimension ref="B2:M28"/>
  <sheetViews>
    <sheetView showGridLines="0" workbookViewId="0"/>
  </sheetViews>
  <sheetFormatPr defaultColWidth="9.140625" defaultRowHeight="15" x14ac:dyDescent="0.25"/>
  <cols>
    <col min="1" max="1" width="2.85546875" style="5" customWidth="1"/>
    <col min="2" max="2" width="39.7109375" style="5" customWidth="1"/>
    <col min="3" max="3" width="6.7109375" style="5" bestFit="1" customWidth="1"/>
    <col min="4" max="4" width="2.85546875" style="5" customWidth="1"/>
    <col min="5" max="5" width="5.7109375" style="5" customWidth="1"/>
    <col min="6" max="6" width="11.7109375" style="5" bestFit="1" customWidth="1"/>
    <col min="7" max="7" width="7" style="5" customWidth="1"/>
    <col min="8" max="8" width="1.85546875" style="5" customWidth="1"/>
    <col min="9" max="9" width="6.140625" style="5" customWidth="1"/>
    <col min="10" max="10" width="12.140625" style="5" bestFit="1" customWidth="1"/>
    <col min="11" max="11" width="8.85546875" style="5" customWidth="1"/>
    <col min="12" max="12" width="3" style="5" customWidth="1"/>
    <col min="13" max="13" width="9.140625" style="6"/>
    <col min="14" max="14" width="9.140625" style="5"/>
    <col min="15" max="15" width="16.28515625" style="5" bestFit="1" customWidth="1"/>
    <col min="16" max="16384" width="9.140625" style="5"/>
  </cols>
  <sheetData>
    <row r="2" spans="2:13" ht="15.75" x14ac:dyDescent="0.25">
      <c r="B2" s="253" t="s">
        <v>112</v>
      </c>
      <c r="C2" s="253"/>
      <c r="D2" s="253"/>
      <c r="E2" s="253"/>
      <c r="F2" s="253"/>
      <c r="G2" s="253"/>
      <c r="H2" s="253"/>
      <c r="I2" s="253"/>
      <c r="J2" s="253"/>
      <c r="K2" s="253"/>
    </row>
    <row r="3" spans="2:13" ht="15.75" thickBot="1" x14ac:dyDescent="0.3">
      <c r="C3" s="6"/>
    </row>
    <row r="4" spans="2:13" ht="16.5" thickBot="1" x14ac:dyDescent="0.3">
      <c r="B4" s="254"/>
      <c r="C4" s="255"/>
      <c r="D4" s="255"/>
      <c r="E4" s="256" t="s">
        <v>111</v>
      </c>
      <c r="F4" s="257"/>
      <c r="G4" s="258"/>
      <c r="H4" s="153"/>
      <c r="I4" s="259" t="s">
        <v>113</v>
      </c>
      <c r="J4" s="260"/>
      <c r="K4" s="261"/>
      <c r="M4" s="262" t="s">
        <v>3</v>
      </c>
    </row>
    <row r="5" spans="2:13" ht="16.5" thickBot="1" x14ac:dyDescent="0.3">
      <c r="B5" s="239" t="s">
        <v>4</v>
      </c>
      <c r="C5" s="240"/>
      <c r="D5" s="240"/>
      <c r="E5" s="263" t="s">
        <v>94</v>
      </c>
      <c r="F5" s="264"/>
      <c r="G5" s="265"/>
      <c r="H5" s="154"/>
      <c r="I5" s="266" t="s">
        <v>128</v>
      </c>
      <c r="J5" s="267"/>
      <c r="K5" s="268"/>
      <c r="M5" s="262"/>
    </row>
    <row r="6" spans="2:13" ht="16.5" thickBot="1" x14ac:dyDescent="0.3">
      <c r="B6" s="239"/>
      <c r="C6" s="240"/>
      <c r="D6" s="240"/>
      <c r="E6" s="241"/>
      <c r="F6" s="242"/>
      <c r="G6" s="243"/>
      <c r="H6" s="154"/>
      <c r="I6" s="244"/>
      <c r="J6" s="245"/>
      <c r="K6" s="246"/>
      <c r="M6" s="8"/>
    </row>
    <row r="7" spans="2:13" ht="43.5" customHeight="1" x14ac:dyDescent="0.25">
      <c r="B7" s="9" t="s">
        <v>5</v>
      </c>
      <c r="C7" s="10" t="s">
        <v>6</v>
      </c>
      <c r="D7" s="11"/>
      <c r="E7" s="247" t="s">
        <v>101</v>
      </c>
      <c r="F7" s="248"/>
      <c r="G7" s="249"/>
      <c r="H7" s="154"/>
      <c r="I7" s="250" t="s">
        <v>114</v>
      </c>
      <c r="J7" s="251"/>
      <c r="K7" s="252"/>
      <c r="M7" s="8"/>
    </row>
    <row r="8" spans="2:13" x14ac:dyDescent="0.25">
      <c r="B8" s="12" t="s">
        <v>7</v>
      </c>
      <c r="C8" s="8"/>
      <c r="D8" s="13"/>
      <c r="E8" s="159"/>
      <c r="F8" s="160"/>
      <c r="G8" s="161"/>
      <c r="H8" s="7"/>
      <c r="I8" s="14"/>
      <c r="J8" s="16"/>
      <c r="K8" s="15"/>
      <c r="M8" s="8"/>
    </row>
    <row r="9" spans="2:13" x14ac:dyDescent="0.25">
      <c r="B9" s="17" t="s">
        <v>8</v>
      </c>
      <c r="C9" s="8" t="s">
        <v>9</v>
      </c>
      <c r="D9" s="2"/>
      <c r="E9" s="162"/>
      <c r="F9" s="227">
        <v>56.77</v>
      </c>
      <c r="G9" s="161"/>
      <c r="H9" s="125"/>
      <c r="I9" s="126"/>
      <c r="J9" s="228">
        <f>'R1(i) Decoupling'!F29</f>
        <v>62.202512229622165</v>
      </c>
      <c r="K9" s="18"/>
      <c r="M9" s="3">
        <f>(J9-F9)/F9</f>
        <v>9.5693363213354976E-2</v>
      </c>
    </row>
    <row r="10" spans="2:13" x14ac:dyDescent="0.25">
      <c r="B10" s="17" t="s">
        <v>10</v>
      </c>
      <c r="C10" s="8" t="s">
        <v>11</v>
      </c>
      <c r="D10" s="4"/>
      <c r="E10" s="162"/>
      <c r="F10" s="157">
        <v>4.0000000000000001E-3</v>
      </c>
      <c r="G10" s="161"/>
      <c r="H10" s="125"/>
      <c r="I10" s="127"/>
      <c r="J10" s="229">
        <f>'R1(i) Decoupling'!G29</f>
        <v>0</v>
      </c>
      <c r="K10" s="15"/>
      <c r="M10" s="3">
        <f>(J10-F10)/F10</f>
        <v>-1</v>
      </c>
    </row>
    <row r="11" spans="2:13" x14ac:dyDescent="0.25">
      <c r="B11" s="17"/>
      <c r="C11" s="8"/>
      <c r="D11" s="4"/>
      <c r="E11" s="162"/>
      <c r="F11" s="191"/>
      <c r="G11" s="161"/>
      <c r="H11" s="125"/>
      <c r="I11" s="127"/>
      <c r="J11" s="167"/>
      <c r="K11" s="15"/>
      <c r="M11" s="3"/>
    </row>
    <row r="12" spans="2:13" x14ac:dyDescent="0.25">
      <c r="B12" s="12" t="s">
        <v>12</v>
      </c>
      <c r="C12" s="8"/>
      <c r="D12" s="4"/>
      <c r="E12" s="162"/>
      <c r="F12" s="191"/>
      <c r="G12" s="161"/>
      <c r="H12" s="125"/>
      <c r="I12" s="127"/>
      <c r="J12" s="166"/>
      <c r="K12" s="15"/>
      <c r="M12" s="3"/>
    </row>
    <row r="13" spans="2:13" x14ac:dyDescent="0.25">
      <c r="B13" s="17" t="s">
        <v>8</v>
      </c>
      <c r="C13" s="8" t="s">
        <v>9</v>
      </c>
      <c r="D13" s="4"/>
      <c r="E13" s="162"/>
      <c r="F13" s="156">
        <v>27.01</v>
      </c>
      <c r="G13" s="161"/>
      <c r="H13" s="125"/>
      <c r="I13" s="127"/>
      <c r="J13" s="228">
        <f>'RRRP Rate Design'!I15</f>
        <v>27.9</v>
      </c>
      <c r="K13" s="15"/>
      <c r="M13" s="3">
        <f>(J13-F13)/F13</f>
        <v>3.2950758978156129E-2</v>
      </c>
    </row>
    <row r="14" spans="2:13" x14ac:dyDescent="0.25">
      <c r="B14" s="17" t="s">
        <v>10</v>
      </c>
      <c r="C14" s="8" t="s">
        <v>11</v>
      </c>
      <c r="D14" s="4"/>
      <c r="E14" s="162"/>
      <c r="F14" s="157">
        <v>3.7999999999999999E-2</v>
      </c>
      <c r="G14" s="161"/>
      <c r="H14" s="125"/>
      <c r="I14" s="127"/>
      <c r="J14" s="229">
        <f>'RRRP Rate Design'!J15</f>
        <v>3.9199999999999999E-2</v>
      </c>
      <c r="K14" s="15"/>
      <c r="M14" s="3">
        <f>(J14-F14)/F14</f>
        <v>3.1578947368421047E-2</v>
      </c>
    </row>
    <row r="15" spans="2:13" x14ac:dyDescent="0.25">
      <c r="B15" s="17"/>
      <c r="C15" s="8"/>
      <c r="D15" s="13"/>
      <c r="E15" s="159"/>
      <c r="F15" s="192"/>
      <c r="G15" s="161"/>
      <c r="H15" s="125"/>
      <c r="I15" s="127"/>
      <c r="J15" s="160"/>
      <c r="K15" s="15"/>
      <c r="M15" s="19"/>
    </row>
    <row r="16" spans="2:13" x14ac:dyDescent="0.25">
      <c r="B16" s="12" t="s">
        <v>13</v>
      </c>
      <c r="C16" s="8"/>
      <c r="D16" s="13"/>
      <c r="E16" s="159"/>
      <c r="F16" s="163"/>
      <c r="G16" s="161"/>
      <c r="H16" s="125"/>
      <c r="I16" s="127"/>
      <c r="J16" s="160"/>
      <c r="K16" s="15"/>
      <c r="M16" s="19"/>
    </row>
    <row r="17" spans="2:13" x14ac:dyDescent="0.25">
      <c r="B17" s="17" t="s">
        <v>8</v>
      </c>
      <c r="C17" s="8" t="s">
        <v>9</v>
      </c>
      <c r="D17" s="2"/>
      <c r="E17" s="162"/>
      <c r="F17" s="158">
        <v>695.07</v>
      </c>
      <c r="G17" s="161"/>
      <c r="H17" s="125"/>
      <c r="I17" s="127"/>
      <c r="J17" s="227">
        <f>'RRRP Rate Design'!I16</f>
        <v>717.87</v>
      </c>
      <c r="K17" s="15"/>
      <c r="M17" s="3">
        <f t="shared" ref="M17:M18" si="0">(J17-F17)/F17</f>
        <v>3.2802451551642214E-2</v>
      </c>
    </row>
    <row r="18" spans="2:13" x14ac:dyDescent="0.25">
      <c r="B18" s="17" t="s">
        <v>10</v>
      </c>
      <c r="C18" s="8" t="s">
        <v>14</v>
      </c>
      <c r="D18" s="4"/>
      <c r="E18" s="162"/>
      <c r="F18" s="157">
        <v>3.6015000000000001</v>
      </c>
      <c r="G18" s="161"/>
      <c r="H18" s="125"/>
      <c r="I18" s="127"/>
      <c r="J18" s="229">
        <f>'RRRP Rate Design'!J16</f>
        <v>3.7195999999999998</v>
      </c>
      <c r="K18" s="15"/>
      <c r="M18" s="3">
        <f t="shared" si="0"/>
        <v>3.279189226711083E-2</v>
      </c>
    </row>
    <row r="19" spans="2:13" x14ac:dyDescent="0.25">
      <c r="B19" s="17"/>
      <c r="C19" s="8"/>
      <c r="D19" s="13"/>
      <c r="E19" s="159"/>
      <c r="F19" s="192"/>
      <c r="G19" s="161"/>
      <c r="H19" s="125"/>
      <c r="I19" s="127"/>
      <c r="J19" s="160"/>
      <c r="K19" s="15"/>
      <c r="M19" s="19"/>
    </row>
    <row r="20" spans="2:13" x14ac:dyDescent="0.25">
      <c r="B20" s="12" t="s">
        <v>15</v>
      </c>
      <c r="C20" s="8"/>
      <c r="D20" s="13"/>
      <c r="E20" s="159"/>
      <c r="F20" s="192"/>
      <c r="G20" s="161"/>
      <c r="H20" s="125"/>
      <c r="I20" s="127"/>
      <c r="J20" s="160"/>
      <c r="K20" s="15"/>
      <c r="M20" s="19"/>
    </row>
    <row r="21" spans="2:13" x14ac:dyDescent="0.25">
      <c r="B21" s="17" t="s">
        <v>8</v>
      </c>
      <c r="C21" s="8" t="s">
        <v>9</v>
      </c>
      <c r="D21" s="2"/>
      <c r="E21" s="162"/>
      <c r="F21" s="158">
        <v>69.459999999999994</v>
      </c>
      <c r="G21" s="161"/>
      <c r="H21" s="125"/>
      <c r="I21" s="127"/>
      <c r="J21" s="230">
        <f>'Seasonal Decoupling'!F29</f>
        <v>75.34</v>
      </c>
      <c r="K21" s="15"/>
      <c r="M21" s="3">
        <f t="shared" ref="M21:M22" si="1">(J21-F21)/F21</f>
        <v>8.4653037719550961E-2</v>
      </c>
    </row>
    <row r="22" spans="2:13" x14ac:dyDescent="0.25">
      <c r="B22" s="17" t="s">
        <v>10</v>
      </c>
      <c r="C22" s="8" t="s">
        <v>11</v>
      </c>
      <c r="D22" s="4"/>
      <c r="E22" s="162"/>
      <c r="F22" s="157">
        <v>8.1799999999999998E-2</v>
      </c>
      <c r="G22" s="161"/>
      <c r="H22" s="125"/>
      <c r="I22" s="127"/>
      <c r="J22" s="229">
        <f>'Seasonal Decoupling'!G29</f>
        <v>5.9799999999999999E-2</v>
      </c>
      <c r="K22" s="15"/>
      <c r="M22" s="3">
        <f t="shared" si="1"/>
        <v>-0.26894865525672373</v>
      </c>
    </row>
    <row r="23" spans="2:13" x14ac:dyDescent="0.25">
      <c r="B23" s="17"/>
      <c r="C23" s="8"/>
      <c r="D23" s="13"/>
      <c r="E23" s="159"/>
      <c r="F23" s="192"/>
      <c r="G23" s="161"/>
      <c r="H23" s="125"/>
      <c r="I23" s="127"/>
      <c r="J23" s="160"/>
      <c r="K23" s="15"/>
      <c r="M23" s="19"/>
    </row>
    <row r="24" spans="2:13" x14ac:dyDescent="0.25">
      <c r="B24" s="12" t="s">
        <v>16</v>
      </c>
      <c r="C24" s="8"/>
      <c r="D24" s="13"/>
      <c r="E24" s="159"/>
      <c r="F24" s="192"/>
      <c r="G24" s="161"/>
      <c r="H24" s="125"/>
      <c r="I24" s="127"/>
      <c r="J24" s="160"/>
      <c r="K24" s="15"/>
      <c r="M24" s="19"/>
    </row>
    <row r="25" spans="2:13" x14ac:dyDescent="0.25">
      <c r="B25" s="17" t="s">
        <v>8</v>
      </c>
      <c r="C25" s="8" t="s">
        <v>9</v>
      </c>
      <c r="D25" s="2"/>
      <c r="E25" s="162"/>
      <c r="F25" s="158">
        <v>1.94</v>
      </c>
      <c r="G25" s="161"/>
      <c r="H25" s="125"/>
      <c r="I25" s="127"/>
      <c r="J25" s="230">
        <f>'Non-RRRP Rate Design'!H8</f>
        <v>1.99</v>
      </c>
      <c r="K25" s="15"/>
      <c r="M25" s="3">
        <f t="shared" ref="M25:M26" si="2">(J25-F25)/F25</f>
        <v>2.5773195876288683E-2</v>
      </c>
    </row>
    <row r="26" spans="2:13" x14ac:dyDescent="0.25">
      <c r="B26" s="17" t="s">
        <v>10</v>
      </c>
      <c r="C26" s="8" t="s">
        <v>11</v>
      </c>
      <c r="D26" s="4"/>
      <c r="E26" s="162"/>
      <c r="F26" s="157">
        <v>0.31290000000000001</v>
      </c>
      <c r="G26" s="161"/>
      <c r="H26" s="125"/>
      <c r="I26" s="127"/>
      <c r="J26" s="229">
        <f>'Non-RRRP Rate Design'!I8</f>
        <v>0.32129999999999997</v>
      </c>
      <c r="K26" s="15"/>
      <c r="M26" s="3">
        <f t="shared" si="2"/>
        <v>2.6845637583892499E-2</v>
      </c>
    </row>
    <row r="27" spans="2:13" x14ac:dyDescent="0.25">
      <c r="B27" s="17"/>
      <c r="C27" s="8"/>
      <c r="D27" s="13"/>
      <c r="E27" s="159"/>
      <c r="F27" s="192"/>
      <c r="G27" s="161"/>
      <c r="H27" s="125"/>
      <c r="I27" s="127"/>
      <c r="J27" s="160"/>
      <c r="K27" s="15"/>
      <c r="M27" s="19"/>
    </row>
    <row r="28" spans="2:13" ht="15.75" thickBot="1" x14ac:dyDescent="0.3">
      <c r="B28" s="20" t="s">
        <v>17</v>
      </c>
      <c r="C28" s="21" t="s">
        <v>9</v>
      </c>
      <c r="D28" s="22"/>
      <c r="E28" s="164"/>
      <c r="F28" s="155">
        <v>15547625</v>
      </c>
      <c r="G28" s="165"/>
      <c r="H28" s="128"/>
      <c r="I28" s="129"/>
      <c r="J28" s="231">
        <f>'RRRP Rate Design'!M19</f>
        <v>16522606.217448469</v>
      </c>
      <c r="K28" s="23"/>
      <c r="M28" s="3">
        <f>(J28-F28)/F28</f>
        <v>6.2709334541350803E-2</v>
      </c>
    </row>
  </sheetData>
  <mergeCells count="13">
    <mergeCell ref="B2:K2"/>
    <mergeCell ref="B4:D4"/>
    <mergeCell ref="E4:G4"/>
    <mergeCell ref="I4:K4"/>
    <mergeCell ref="M4:M5"/>
    <mergeCell ref="B5:D5"/>
    <mergeCell ref="E5:G5"/>
    <mergeCell ref="I5:K5"/>
    <mergeCell ref="B6:D6"/>
    <mergeCell ref="E6:G6"/>
    <mergeCell ref="I6:K6"/>
    <mergeCell ref="E7:G7"/>
    <mergeCell ref="I7:K7"/>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4982-61F9-4BF2-A139-8D79528AD383}">
  <sheetPr>
    <tabColor theme="8" tint="0.79998168889431442"/>
    <pageSetUpPr fitToPage="1"/>
  </sheetPr>
  <dimension ref="B2:F12"/>
  <sheetViews>
    <sheetView showGridLines="0" workbookViewId="0"/>
  </sheetViews>
  <sheetFormatPr defaultRowHeight="15" x14ac:dyDescent="0.25"/>
  <cols>
    <col min="1" max="1" width="2.85546875" customWidth="1"/>
    <col min="2" max="2" width="15" customWidth="1"/>
    <col min="3" max="3" width="14.140625" customWidth="1"/>
    <col min="4" max="4" width="10.28515625" bestFit="1" customWidth="1"/>
    <col min="5" max="5" width="12.140625" customWidth="1"/>
    <col min="6" max="6" width="11.7109375" customWidth="1"/>
  </cols>
  <sheetData>
    <row r="2" spans="2:6" ht="15.75" thickBot="1" x14ac:dyDescent="0.3"/>
    <row r="3" spans="2:6" x14ac:dyDescent="0.25">
      <c r="B3" s="269" t="s">
        <v>89</v>
      </c>
      <c r="C3" s="270"/>
      <c r="D3" s="270"/>
      <c r="E3" s="270"/>
      <c r="F3" s="271"/>
    </row>
    <row r="4" spans="2:6" ht="15.75" thickBot="1" x14ac:dyDescent="0.3">
      <c r="B4" s="272"/>
      <c r="C4" s="273"/>
      <c r="D4" s="273"/>
      <c r="E4" s="273"/>
      <c r="F4" s="274"/>
    </row>
    <row r="5" spans="2:6" ht="51" x14ac:dyDescent="0.25">
      <c r="B5" s="116"/>
      <c r="C5" s="117" t="s">
        <v>93</v>
      </c>
      <c r="D5" s="117" t="s">
        <v>88</v>
      </c>
      <c r="E5" s="117" t="s">
        <v>91</v>
      </c>
      <c r="F5" s="118" t="s">
        <v>90</v>
      </c>
    </row>
    <row r="6" spans="2:6" x14ac:dyDescent="0.25">
      <c r="B6" s="119" t="s">
        <v>41</v>
      </c>
      <c r="C6" s="122">
        <v>16904988.472834036</v>
      </c>
      <c r="D6" s="122">
        <v>328511.99052853708</v>
      </c>
      <c r="E6" s="122">
        <v>17362030.650583163</v>
      </c>
      <c r="F6" s="121">
        <f>(D6+E6)/C6</f>
        <v>1.046468778700443</v>
      </c>
    </row>
    <row r="7" spans="2:6" x14ac:dyDescent="0.25">
      <c r="B7" s="119" t="s">
        <v>13</v>
      </c>
      <c r="C7" s="122">
        <v>5043434.3676901637</v>
      </c>
      <c r="D7" s="122">
        <v>83044.070069468231</v>
      </c>
      <c r="E7" s="122">
        <v>4634806.1194622787</v>
      </c>
      <c r="F7" s="121">
        <f t="shared" ref="F7:F9" si="0">(D7+E7)/C7</f>
        <v>0.93544395457107332</v>
      </c>
    </row>
    <row r="8" spans="2:6" x14ac:dyDescent="0.25">
      <c r="B8" s="119" t="s">
        <v>15</v>
      </c>
      <c r="C8" s="122">
        <v>3391922.3985712621</v>
      </c>
      <c r="D8" s="122">
        <v>72715.982014777779</v>
      </c>
      <c r="E8" s="122">
        <v>2825242.8631995791</v>
      </c>
      <c r="F8" s="121">
        <f t="shared" si="0"/>
        <v>0.8543706207533015</v>
      </c>
    </row>
    <row r="9" spans="2:6" x14ac:dyDescent="0.25">
      <c r="B9" s="119" t="s">
        <v>16</v>
      </c>
      <c r="C9" s="122">
        <v>169967.81619938929</v>
      </c>
      <c r="D9" s="122">
        <v>4518.7973872169614</v>
      </c>
      <c r="E9" s="122">
        <v>199442.58204983751</v>
      </c>
      <c r="F9" s="121">
        <f t="shared" si="0"/>
        <v>1.1999999999869819</v>
      </c>
    </row>
    <row r="10" spans="2:6" ht="15.75" thickBot="1" x14ac:dyDescent="0.3">
      <c r="B10" s="36" t="s">
        <v>43</v>
      </c>
      <c r="C10" s="38">
        <f>SUM(C6:C9)</f>
        <v>25510313.055294853</v>
      </c>
      <c r="D10" s="38">
        <f>SUM(D6:D9)</f>
        <v>488790.84</v>
      </c>
      <c r="E10" s="38">
        <f>SUM(E6:E9)</f>
        <v>25021522.21529486</v>
      </c>
      <c r="F10" s="123"/>
    </row>
    <row r="12" spans="2:6" x14ac:dyDescent="0.25">
      <c r="F12" s="120"/>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51E-3CEA-4204-B586-D4F1E2FC840E}">
  <sheetPr>
    <tabColor theme="8" tint="0.79998168889431442"/>
    <pageSetUpPr fitToPage="1"/>
  </sheetPr>
  <dimension ref="B2:N16"/>
  <sheetViews>
    <sheetView showGridLines="0" workbookViewId="0"/>
  </sheetViews>
  <sheetFormatPr defaultColWidth="9.140625" defaultRowHeight="15" x14ac:dyDescent="0.25"/>
  <cols>
    <col min="1" max="1" width="2.85546875" style="5" customWidth="1"/>
    <col min="2" max="2" width="16.28515625" style="5" customWidth="1"/>
    <col min="3" max="3" width="6.28515625" style="5" customWidth="1"/>
    <col min="4" max="4" width="10.140625" style="5" customWidth="1"/>
    <col min="5" max="5" width="12.85546875" style="5" bestFit="1" customWidth="1"/>
    <col min="6" max="6" width="9.140625" style="5" bestFit="1" customWidth="1"/>
    <col min="7" max="8" width="10.140625" style="5" bestFit="1" customWidth="1"/>
    <col min="9" max="9" width="9.7109375" style="5" bestFit="1" customWidth="1"/>
    <col min="10" max="10" width="9.140625" style="5" bestFit="1" customWidth="1"/>
    <col min="11" max="12" width="11.85546875" style="5" bestFit="1" customWidth="1"/>
    <col min="13" max="13" width="11.7109375" style="5" customWidth="1"/>
    <col min="14" max="14" width="11.85546875" style="5" bestFit="1" customWidth="1"/>
    <col min="15" max="16384" width="9.140625" style="5"/>
  </cols>
  <sheetData>
    <row r="2" spans="2:14" ht="15.75" thickBot="1" x14ac:dyDescent="0.3"/>
    <row r="3" spans="2:14" ht="31.5" customHeight="1" x14ac:dyDescent="0.25">
      <c r="B3" s="275" t="s">
        <v>44</v>
      </c>
      <c r="C3" s="276"/>
      <c r="D3" s="276"/>
      <c r="E3" s="276"/>
      <c r="F3" s="276"/>
      <c r="G3" s="276"/>
      <c r="H3" s="276"/>
      <c r="I3" s="276"/>
      <c r="J3" s="276"/>
      <c r="K3" s="276"/>
      <c r="L3" s="276"/>
      <c r="M3" s="276"/>
      <c r="N3" s="277"/>
    </row>
    <row r="4" spans="2:14" x14ac:dyDescent="0.25">
      <c r="B4" s="278" t="s">
        <v>42</v>
      </c>
      <c r="C4" s="279"/>
      <c r="D4" s="279"/>
      <c r="E4" s="279"/>
      <c r="F4" s="279"/>
      <c r="G4" s="279"/>
      <c r="H4" s="279"/>
      <c r="I4" s="279"/>
      <c r="J4" s="279"/>
      <c r="K4" s="279"/>
      <c r="L4" s="279"/>
      <c r="M4" s="279"/>
      <c r="N4" s="280"/>
    </row>
    <row r="5" spans="2:14" ht="15" customHeight="1" x14ac:dyDescent="0.25">
      <c r="B5" s="281" t="s">
        <v>27</v>
      </c>
      <c r="C5" s="283" t="s">
        <v>6</v>
      </c>
      <c r="D5" s="285" t="s">
        <v>28</v>
      </c>
      <c r="E5" s="287" t="s">
        <v>29</v>
      </c>
      <c r="F5" s="288"/>
      <c r="G5" s="287" t="s">
        <v>30</v>
      </c>
      <c r="H5" s="288"/>
      <c r="I5" s="287" t="s">
        <v>31</v>
      </c>
      <c r="J5" s="288"/>
      <c r="K5" s="287" t="s">
        <v>32</v>
      </c>
      <c r="L5" s="279"/>
      <c r="M5" s="279"/>
      <c r="N5" s="280"/>
    </row>
    <row r="6" spans="2:14" ht="60" x14ac:dyDescent="0.25">
      <c r="B6" s="282"/>
      <c r="C6" s="284"/>
      <c r="D6" s="286"/>
      <c r="E6" s="48" t="s">
        <v>33</v>
      </c>
      <c r="F6" s="48" t="s">
        <v>34</v>
      </c>
      <c r="G6" s="49" t="s">
        <v>35</v>
      </c>
      <c r="H6" s="49" t="s">
        <v>36</v>
      </c>
      <c r="I6" s="49" t="s">
        <v>8</v>
      </c>
      <c r="J6" s="49" t="s">
        <v>37</v>
      </c>
      <c r="K6" s="49" t="s">
        <v>38</v>
      </c>
      <c r="L6" s="49" t="s">
        <v>39</v>
      </c>
      <c r="M6" s="49" t="s">
        <v>45</v>
      </c>
      <c r="N6" s="50" t="s">
        <v>46</v>
      </c>
    </row>
    <row r="7" spans="2:14" x14ac:dyDescent="0.25">
      <c r="B7" s="51" t="s">
        <v>41</v>
      </c>
      <c r="C7" s="8" t="s">
        <v>33</v>
      </c>
      <c r="D7" s="43">
        <v>9112.8451064303372</v>
      </c>
      <c r="E7" s="40">
        <v>113337066.328181</v>
      </c>
      <c r="F7" s="39"/>
      <c r="G7" s="54">
        <v>0.64118373052413569</v>
      </c>
      <c r="H7" s="55">
        <f>1-G7</f>
        <v>0.35881626947586431</v>
      </c>
      <c r="I7" s="41">
        <v>101.8</v>
      </c>
      <c r="J7" s="42">
        <v>5.5E-2</v>
      </c>
      <c r="K7" s="31">
        <f>D7*I7*12</f>
        <v>11132251.582015298</v>
      </c>
      <c r="L7" s="31">
        <f>E7*J7</f>
        <v>6233538.6480499553</v>
      </c>
      <c r="M7" s="39"/>
      <c r="N7" s="32">
        <f>SUM(K7:M7)</f>
        <v>17365790.230065253</v>
      </c>
    </row>
    <row r="8" spans="2:14" x14ac:dyDescent="0.25">
      <c r="B8" s="51" t="s">
        <v>13</v>
      </c>
      <c r="C8" s="8" t="s">
        <v>34</v>
      </c>
      <c r="D8" s="43">
        <v>37.282220262380214</v>
      </c>
      <c r="E8" s="39"/>
      <c r="F8" s="40">
        <v>248604.90668572392</v>
      </c>
      <c r="G8" s="54">
        <v>0.12009672583040554</v>
      </c>
      <c r="H8" s="55">
        <f t="shared" ref="H8:H10" si="0">1-G8</f>
        <v>0.87990327416959446</v>
      </c>
      <c r="I8" s="41">
        <v>1244.17</v>
      </c>
      <c r="J8" s="42">
        <v>16.8475</v>
      </c>
      <c r="K8" s="31">
        <f t="shared" ref="K8:K10" si="1">D8*I8*12</f>
        <v>556625.03980614711</v>
      </c>
      <c r="L8" s="31">
        <f>F8*J8</f>
        <v>4188371.1653877338</v>
      </c>
      <c r="M8" s="40">
        <v>-110187.67683102925</v>
      </c>
      <c r="N8" s="32">
        <f t="shared" ref="N8:N10" si="2">SUM(K8:M8)</f>
        <v>4634808.5283628516</v>
      </c>
    </row>
    <row r="9" spans="2:14" x14ac:dyDescent="0.25">
      <c r="B9" s="51" t="s">
        <v>15</v>
      </c>
      <c r="C9" s="8" t="s">
        <v>33</v>
      </c>
      <c r="D9" s="43">
        <v>2960.1858518389645</v>
      </c>
      <c r="E9" s="40">
        <v>5874372.3645382812</v>
      </c>
      <c r="F9" s="39"/>
      <c r="G9" s="54">
        <v>0.68900916148665659</v>
      </c>
      <c r="H9" s="55">
        <f t="shared" si="0"/>
        <v>0.31099083851334341</v>
      </c>
      <c r="I9" s="41">
        <v>54.8</v>
      </c>
      <c r="J9" s="42">
        <v>0.14960000000000001</v>
      </c>
      <c r="K9" s="31">
        <f t="shared" si="1"/>
        <v>1946618.2161693028</v>
      </c>
      <c r="L9" s="31">
        <f t="shared" ref="L9:L10" si="3">E9*J9</f>
        <v>878806.10573492688</v>
      </c>
      <c r="M9" s="39"/>
      <c r="N9" s="32">
        <f t="shared" si="2"/>
        <v>2825424.3219042299</v>
      </c>
    </row>
    <row r="10" spans="2:14" x14ac:dyDescent="0.25">
      <c r="B10" s="51" t="s">
        <v>16</v>
      </c>
      <c r="C10" s="8" t="s">
        <v>33</v>
      </c>
      <c r="D10" s="43">
        <v>1127.6033016645551</v>
      </c>
      <c r="E10" s="40">
        <v>581104.4520676051</v>
      </c>
      <c r="F10" s="39"/>
      <c r="G10" s="54">
        <v>0.12619223755769352</v>
      </c>
      <c r="H10" s="55">
        <f t="shared" si="0"/>
        <v>0.87380776244230651</v>
      </c>
      <c r="I10" s="41">
        <v>1.86</v>
      </c>
      <c r="J10" s="42">
        <v>0.2999</v>
      </c>
      <c r="K10" s="31">
        <f t="shared" si="1"/>
        <v>25168.105693152873</v>
      </c>
      <c r="L10" s="31">
        <f t="shared" si="3"/>
        <v>174273.22517507477</v>
      </c>
      <c r="M10" s="39"/>
      <c r="N10" s="32">
        <f t="shared" si="2"/>
        <v>199441.33086822764</v>
      </c>
    </row>
    <row r="11" spans="2:14" s="1" customFormat="1" ht="15.75" thickBot="1" x14ac:dyDescent="0.3">
      <c r="B11" s="36" t="s">
        <v>43</v>
      </c>
      <c r="C11" s="37"/>
      <c r="D11" s="38">
        <f>SUM(D7:D10)</f>
        <v>13237.91648019624</v>
      </c>
      <c r="E11" s="37"/>
      <c r="F11" s="37"/>
      <c r="G11" s="37"/>
      <c r="H11" s="37"/>
      <c r="I11" s="37"/>
      <c r="J11" s="37"/>
      <c r="K11" s="56">
        <f>SUM(K7:K10)</f>
        <v>13660662.9436839</v>
      </c>
      <c r="L11" s="56">
        <f>SUM(L7:L10)</f>
        <v>11474989.144347692</v>
      </c>
      <c r="M11" s="56">
        <f>SUM(M7:M10)</f>
        <v>-110187.67683102925</v>
      </c>
      <c r="N11" s="57">
        <f>SUM(N7:N10)</f>
        <v>25025464.411200564</v>
      </c>
    </row>
    <row r="13" spans="2:14" x14ac:dyDescent="0.25">
      <c r="K13" s="5" t="s">
        <v>47</v>
      </c>
      <c r="L13" s="34"/>
      <c r="M13" s="34"/>
      <c r="N13" s="45">
        <v>25021522.215294853</v>
      </c>
    </row>
    <row r="15" spans="2:14" x14ac:dyDescent="0.25">
      <c r="K15" s="5" t="s">
        <v>48</v>
      </c>
      <c r="N15" s="46">
        <f>N11-N13</f>
        <v>3942.1959057115018</v>
      </c>
    </row>
    <row r="16" spans="2:14" x14ac:dyDescent="0.25">
      <c r="K16" s="5" t="s">
        <v>49</v>
      </c>
      <c r="N16" s="47">
        <f>N15/N13</f>
        <v>1.5755220133256977E-4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42D4-51B4-48E3-8F1C-FF7356E430DE}">
  <sheetPr>
    <tabColor theme="9" tint="0.79998168889431442"/>
    <pageSetUpPr fitToPage="1"/>
  </sheetPr>
  <dimension ref="A2:T26"/>
  <sheetViews>
    <sheetView showGridLines="0" zoomScaleNormal="100" workbookViewId="0">
      <selection activeCell="B4" sqref="B4:M19"/>
    </sheetView>
  </sheetViews>
  <sheetFormatPr defaultColWidth="9.140625" defaultRowHeight="15" x14ac:dyDescent="0.25"/>
  <cols>
    <col min="1" max="1" width="2.85546875" style="5" customWidth="1"/>
    <col min="2" max="2" width="19.85546875" style="5" customWidth="1"/>
    <col min="3" max="3" width="6.28515625" style="5" customWidth="1"/>
    <col min="4" max="4" width="10.140625" style="5" customWidth="1"/>
    <col min="5" max="5" width="12.7109375" style="5" bestFit="1" customWidth="1"/>
    <col min="6" max="6" width="9" style="5" bestFit="1" customWidth="1"/>
    <col min="7" max="8" width="8.85546875" style="5" bestFit="1" customWidth="1"/>
    <col min="9" max="9" width="9.140625" style="5" bestFit="1" customWidth="1"/>
    <col min="10" max="10" width="11.140625" style="5" bestFit="1" customWidth="1"/>
    <col min="11" max="11" width="11.7109375" style="5" bestFit="1" customWidth="1"/>
    <col min="12" max="12" width="12.140625" style="5" bestFit="1" customWidth="1"/>
    <col min="13" max="13" width="14.140625" style="5" bestFit="1" customWidth="1"/>
    <col min="14" max="14" width="3.85546875" style="5" customWidth="1"/>
    <col min="15" max="15" width="8.7109375" style="113" customWidth="1"/>
    <col min="16" max="16384" width="9.140625" style="5"/>
  </cols>
  <sheetData>
    <row r="2" spans="2:20" ht="15.75" x14ac:dyDescent="0.25">
      <c r="B2" s="253" t="s">
        <v>115</v>
      </c>
      <c r="C2" s="253"/>
      <c r="D2" s="253"/>
      <c r="E2" s="253"/>
      <c r="F2" s="253"/>
      <c r="G2" s="253"/>
      <c r="H2" s="253"/>
      <c r="I2" s="253"/>
      <c r="J2" s="253"/>
      <c r="K2" s="253"/>
      <c r="L2" s="253"/>
      <c r="M2" s="253"/>
    </row>
    <row r="3" spans="2:20" ht="16.5" thickBot="1" x14ac:dyDescent="0.3">
      <c r="B3" s="63"/>
      <c r="C3" s="63"/>
      <c r="D3" s="63"/>
      <c r="E3" s="63"/>
      <c r="F3" s="63"/>
      <c r="G3" s="63"/>
      <c r="H3" s="63"/>
      <c r="I3" s="63"/>
      <c r="J3" s="63"/>
      <c r="K3" s="63"/>
      <c r="L3" s="63"/>
      <c r="M3" s="64"/>
    </row>
    <row r="4" spans="2:20" x14ac:dyDescent="0.25">
      <c r="B4" s="307" t="s">
        <v>65</v>
      </c>
      <c r="C4" s="308"/>
      <c r="D4" s="308"/>
      <c r="E4" s="308"/>
      <c r="F4" s="308"/>
      <c r="G4" s="308"/>
      <c r="H4" s="308"/>
      <c r="I4" s="308"/>
      <c r="J4" s="308"/>
      <c r="K4" s="69" t="s">
        <v>62</v>
      </c>
      <c r="L4" s="69" t="s">
        <v>63</v>
      </c>
      <c r="M4" s="70" t="s">
        <v>64</v>
      </c>
      <c r="O4" s="114" t="s">
        <v>86</v>
      </c>
    </row>
    <row r="5" spans="2:20" x14ac:dyDescent="0.25">
      <c r="B5" s="309" t="s">
        <v>129</v>
      </c>
      <c r="C5" s="310"/>
      <c r="D5" s="310"/>
      <c r="E5" s="310"/>
      <c r="F5" s="310"/>
      <c r="G5" s="310"/>
      <c r="H5" s="310"/>
      <c r="I5" s="310"/>
      <c r="J5" s="310"/>
      <c r="K5" s="145">
        <f>'Indexed Revenue'!O5</f>
        <v>18609261.804583557</v>
      </c>
      <c r="L5" s="145">
        <f>'Indexed Revenue'!O6</f>
        <v>4966682.4357406069</v>
      </c>
      <c r="M5" s="143">
        <f>SUM(K5:L5)</f>
        <v>23575944.240324162</v>
      </c>
      <c r="P5" s="5" t="s">
        <v>62</v>
      </c>
      <c r="Q5" s="5" t="s">
        <v>63</v>
      </c>
    </row>
    <row r="6" spans="2:20" x14ac:dyDescent="0.25">
      <c r="B6" s="309" t="s">
        <v>139</v>
      </c>
      <c r="C6" s="310"/>
      <c r="D6" s="310"/>
      <c r="E6" s="310"/>
      <c r="F6" s="310"/>
      <c r="G6" s="310"/>
      <c r="H6" s="310"/>
      <c r="I6" s="310"/>
      <c r="J6" s="310"/>
      <c r="K6" s="169">
        <f>P6+P7</f>
        <v>1255336</v>
      </c>
      <c r="L6" s="169">
        <f>Q6+Q7</f>
        <v>335008</v>
      </c>
      <c r="M6" s="143">
        <f>SUM(K6:L6)</f>
        <v>1590344</v>
      </c>
      <c r="O6" s="113">
        <v>1</v>
      </c>
      <c r="P6" s="169">
        <v>759331</v>
      </c>
      <c r="Q6" s="169">
        <v>202632</v>
      </c>
      <c r="R6" s="5" t="s">
        <v>135</v>
      </c>
    </row>
    <row r="7" spans="2:20" ht="15.75" thickBot="1" x14ac:dyDescent="0.3">
      <c r="B7" s="311" t="s">
        <v>43</v>
      </c>
      <c r="C7" s="312"/>
      <c r="D7" s="312"/>
      <c r="E7" s="312"/>
      <c r="F7" s="312"/>
      <c r="G7" s="312"/>
      <c r="H7" s="312"/>
      <c r="I7" s="312"/>
      <c r="J7" s="313"/>
      <c r="K7" s="144">
        <f>SUM(K5:K6)</f>
        <v>19864597.804583557</v>
      </c>
      <c r="L7" s="144">
        <f>SUM(L5:L6)</f>
        <v>5301690.4357406069</v>
      </c>
      <c r="M7" s="144">
        <f>SUM(M5:M6)</f>
        <v>25166288.240324162</v>
      </c>
      <c r="P7" s="169">
        <v>496005</v>
      </c>
      <c r="Q7" s="169">
        <v>132376</v>
      </c>
      <c r="R7" s="207" t="s">
        <v>138</v>
      </c>
      <c r="S7" s="207"/>
      <c r="T7" s="207"/>
    </row>
    <row r="8" spans="2:20" ht="15.75" thickBot="1" x14ac:dyDescent="0.3">
      <c r="B8" s="60"/>
      <c r="C8" s="60"/>
      <c r="D8" s="60"/>
      <c r="E8" s="60"/>
      <c r="F8" s="60"/>
      <c r="G8" s="60"/>
      <c r="H8" s="60"/>
      <c r="I8" s="60"/>
      <c r="J8" s="60"/>
      <c r="K8" s="60"/>
      <c r="L8" s="60"/>
      <c r="M8" s="60"/>
      <c r="P8" s="47"/>
      <c r="Q8" s="47"/>
    </row>
    <row r="9" spans="2:20" x14ac:dyDescent="0.25">
      <c r="B9" s="289" t="s">
        <v>117</v>
      </c>
      <c r="C9" s="290"/>
      <c r="D9" s="290"/>
      <c r="E9" s="290"/>
      <c r="F9" s="290"/>
      <c r="G9" s="290"/>
      <c r="H9" s="290"/>
      <c r="I9" s="290"/>
      <c r="J9" s="290"/>
      <c r="K9" s="290"/>
      <c r="L9" s="290"/>
      <c r="M9" s="291"/>
    </row>
    <row r="10" spans="2:20" x14ac:dyDescent="0.25">
      <c r="B10" s="292" t="s">
        <v>55</v>
      </c>
      <c r="C10" s="293"/>
      <c r="D10" s="293"/>
      <c r="E10" s="293"/>
      <c r="F10" s="293"/>
      <c r="G10" s="293"/>
      <c r="H10" s="293"/>
      <c r="I10" s="293"/>
      <c r="J10" s="293"/>
      <c r="K10" s="293"/>
      <c r="L10" s="293"/>
      <c r="M10" s="294"/>
      <c r="P10" s="211"/>
      <c r="Q10" s="211"/>
    </row>
    <row r="11" spans="2:20" x14ac:dyDescent="0.25">
      <c r="B11" s="295" t="s">
        <v>137</v>
      </c>
      <c r="C11" s="296"/>
      <c r="D11" s="296"/>
      <c r="E11" s="296"/>
      <c r="F11" s="296"/>
      <c r="G11" s="296"/>
      <c r="H11" s="296"/>
      <c r="I11" s="296"/>
      <c r="J11" s="296"/>
      <c r="K11" s="296"/>
      <c r="L11" s="297"/>
      <c r="M11" s="199">
        <v>3.2800000000000003E-2</v>
      </c>
      <c r="O11" s="113">
        <v>2</v>
      </c>
    </row>
    <row r="12" spans="2:20" x14ac:dyDescent="0.25">
      <c r="B12" s="298" t="s">
        <v>27</v>
      </c>
      <c r="C12" s="299" t="s">
        <v>6</v>
      </c>
      <c r="D12" s="300" t="s">
        <v>28</v>
      </c>
      <c r="E12" s="293" t="s">
        <v>29</v>
      </c>
      <c r="F12" s="293"/>
      <c r="G12" s="293" t="s">
        <v>30</v>
      </c>
      <c r="H12" s="293"/>
      <c r="I12" s="293" t="s">
        <v>31</v>
      </c>
      <c r="J12" s="293"/>
      <c r="K12" s="293" t="s">
        <v>60</v>
      </c>
      <c r="L12" s="293"/>
      <c r="M12" s="294"/>
    </row>
    <row r="13" spans="2:20" ht="38.25" x14ac:dyDescent="0.25">
      <c r="B13" s="298"/>
      <c r="C13" s="299"/>
      <c r="D13" s="301"/>
      <c r="E13" s="124" t="s">
        <v>33</v>
      </c>
      <c r="F13" s="124" t="s">
        <v>34</v>
      </c>
      <c r="G13" s="30" t="s">
        <v>35</v>
      </c>
      <c r="H13" s="30" t="s">
        <v>36</v>
      </c>
      <c r="I13" s="30" t="s">
        <v>8</v>
      </c>
      <c r="J13" s="30" t="s">
        <v>37</v>
      </c>
      <c r="K13" s="30" t="s">
        <v>38</v>
      </c>
      <c r="L13" s="30" t="s">
        <v>39</v>
      </c>
      <c r="M13" s="44" t="s">
        <v>40</v>
      </c>
    </row>
    <row r="14" spans="2:20" x14ac:dyDescent="0.25">
      <c r="B14" s="12" t="s">
        <v>56</v>
      </c>
      <c r="C14" s="148" t="s">
        <v>33</v>
      </c>
      <c r="D14" s="168">
        <v>8115.5292008802571</v>
      </c>
      <c r="E14" s="169">
        <v>84857055.570733279</v>
      </c>
      <c r="F14" s="170"/>
      <c r="G14" s="150">
        <f>K14/M14</f>
        <v>0.94256643177956945</v>
      </c>
      <c r="H14" s="150">
        <f>L14/M14</f>
        <v>5.7433568220430511E-2</v>
      </c>
      <c r="I14" s="172">
        <f>ROUND('Rate Summary'!F9*(1+M11),2)</f>
        <v>58.63</v>
      </c>
      <c r="J14" s="173">
        <f>ROUND('Rate Summary'!F10*(1+M11),4)</f>
        <v>4.1000000000000003E-3</v>
      </c>
      <c r="K14" s="145">
        <f>D14*I14*12</f>
        <v>5709761.7245713137</v>
      </c>
      <c r="L14" s="145">
        <f>E14*J14</f>
        <v>347913.92784000648</v>
      </c>
      <c r="M14" s="152">
        <f>SUM(K14:L14)</f>
        <v>6057675.6524113202</v>
      </c>
      <c r="O14" s="113" t="s">
        <v>87</v>
      </c>
    </row>
    <row r="15" spans="2:20" x14ac:dyDescent="0.25">
      <c r="B15" s="12" t="s">
        <v>57</v>
      </c>
      <c r="C15" s="148" t="s">
        <v>33</v>
      </c>
      <c r="D15" s="168">
        <v>997.31590555008074</v>
      </c>
      <c r="E15" s="169">
        <v>28480010.757447898</v>
      </c>
      <c r="F15" s="170"/>
      <c r="G15" s="150">
        <f t="shared" ref="G15:G16" si="0">K15/M15</f>
        <v>0.23022634639181166</v>
      </c>
      <c r="H15" s="150">
        <f t="shared" ref="H15:H16" si="1">L15/M15</f>
        <v>0.76977365360818828</v>
      </c>
      <c r="I15" s="174">
        <f>ROUND('Rate Summary'!F13*(1+M11),2)</f>
        <v>27.9</v>
      </c>
      <c r="J15" s="173">
        <f>ROUND('Rate Summary'!F14*(1+M11),4)</f>
        <v>3.9199999999999999E-2</v>
      </c>
      <c r="K15" s="145">
        <f>D15*I15*12</f>
        <v>333901.36517816701</v>
      </c>
      <c r="L15" s="145">
        <f>E15*J15</f>
        <v>1116416.4216919576</v>
      </c>
      <c r="M15" s="152">
        <f t="shared" ref="M15:M16" si="2">SUM(K15:L15)</f>
        <v>1450317.7868701247</v>
      </c>
      <c r="O15" s="113">
        <v>3</v>
      </c>
    </row>
    <row r="16" spans="2:20" x14ac:dyDescent="0.25">
      <c r="B16" s="66" t="s">
        <v>13</v>
      </c>
      <c r="C16" s="149" t="s">
        <v>34</v>
      </c>
      <c r="D16" s="171">
        <f>'2020 COS Eq Rates and Revenue'!D8</f>
        <v>37.282220262380214</v>
      </c>
      <c r="E16" s="170"/>
      <c r="F16" s="151">
        <f>'2020 COS Eq Rates and Revenue'!F8</f>
        <v>248604.90668572392</v>
      </c>
      <c r="G16" s="150">
        <f t="shared" si="0"/>
        <v>0.2577827828643508</v>
      </c>
      <c r="H16" s="150">
        <f t="shared" si="1"/>
        <v>0.74221721713564914</v>
      </c>
      <c r="I16" s="175">
        <f>ROUND('Rate Summary'!F17*(1+M11),2)</f>
        <v>717.87</v>
      </c>
      <c r="J16" s="176">
        <f>ROUND('Rate Summary'!F18*(1+M11),4)</f>
        <v>3.7195999999999998</v>
      </c>
      <c r="K16" s="145">
        <f>D16*I16*12</f>
        <v>321165.44951705862</v>
      </c>
      <c r="L16" s="151">
        <f>F16*J16</f>
        <v>924710.81090821861</v>
      </c>
      <c r="M16" s="152">
        <f t="shared" si="2"/>
        <v>1245876.2604252773</v>
      </c>
    </row>
    <row r="17" spans="1:15" x14ac:dyDescent="0.25">
      <c r="B17" s="304" t="s">
        <v>61</v>
      </c>
      <c r="C17" s="305"/>
      <c r="D17" s="305"/>
      <c r="E17" s="305"/>
      <c r="F17" s="305"/>
      <c r="G17" s="305"/>
      <c r="H17" s="305"/>
      <c r="I17" s="305"/>
      <c r="J17" s="305"/>
      <c r="K17" s="305"/>
      <c r="L17" s="306"/>
      <c r="M17" s="152">
        <f>'2020 COS Eq Rates and Revenue'!M8</f>
        <v>-110187.67683102925</v>
      </c>
    </row>
    <row r="18" spans="1:15" x14ac:dyDescent="0.25">
      <c r="B18" s="130"/>
      <c r="C18" s="131"/>
      <c r="D18" s="131"/>
      <c r="E18" s="131"/>
      <c r="F18" s="131"/>
      <c r="G18" s="131"/>
      <c r="H18" s="131"/>
      <c r="I18" s="131"/>
      <c r="J18" s="131"/>
      <c r="K18" s="131"/>
      <c r="L18" s="131"/>
      <c r="M18" s="132"/>
    </row>
    <row r="19" spans="1:15" ht="15.75" thickBot="1" x14ac:dyDescent="0.3">
      <c r="B19" s="302" t="s">
        <v>116</v>
      </c>
      <c r="C19" s="303"/>
      <c r="D19" s="303"/>
      <c r="E19" s="303"/>
      <c r="F19" s="303"/>
      <c r="G19" s="303"/>
      <c r="H19" s="303"/>
      <c r="I19" s="303"/>
      <c r="J19" s="303"/>
      <c r="K19" s="303"/>
      <c r="L19" s="303"/>
      <c r="M19" s="67">
        <f>M7-SUM(M14:M17)</f>
        <v>16522606.217448469</v>
      </c>
      <c r="O19" s="115"/>
    </row>
    <row r="20" spans="1:15" x14ac:dyDescent="0.25">
      <c r="B20" s="60"/>
      <c r="C20" s="60"/>
      <c r="D20" s="60"/>
      <c r="E20" s="60"/>
      <c r="F20" s="60"/>
      <c r="G20" s="60"/>
      <c r="H20" s="60"/>
      <c r="I20" s="60"/>
      <c r="J20" s="60"/>
      <c r="K20" s="60"/>
      <c r="L20" s="133"/>
      <c r="M20" s="134"/>
    </row>
    <row r="21" spans="1:15" x14ac:dyDescent="0.25">
      <c r="B21" s="146" t="s">
        <v>58</v>
      </c>
      <c r="C21" s="60"/>
      <c r="D21" s="60"/>
      <c r="E21" s="60"/>
      <c r="F21" s="60"/>
      <c r="G21" s="60"/>
      <c r="H21" s="60"/>
      <c r="I21" s="60"/>
      <c r="J21" s="60"/>
      <c r="K21" s="60"/>
      <c r="L21" s="60"/>
      <c r="M21" s="60"/>
    </row>
    <row r="22" spans="1:15" x14ac:dyDescent="0.25">
      <c r="A22" s="6">
        <v>1</v>
      </c>
      <c r="B22" s="177" t="s">
        <v>140</v>
      </c>
      <c r="C22" s="60"/>
      <c r="D22" s="60"/>
      <c r="E22" s="60"/>
      <c r="F22" s="60"/>
      <c r="G22" s="60"/>
      <c r="H22" s="60"/>
      <c r="I22" s="60"/>
      <c r="J22" s="60"/>
      <c r="K22" s="60"/>
      <c r="L22" s="60"/>
      <c r="M22" s="189"/>
    </row>
    <row r="23" spans="1:15" x14ac:dyDescent="0.25">
      <c r="A23" s="6">
        <v>2</v>
      </c>
      <c r="B23" s="147" t="s">
        <v>100</v>
      </c>
      <c r="C23" s="60"/>
      <c r="D23" s="60"/>
      <c r="E23" s="60"/>
      <c r="F23" s="60"/>
      <c r="G23" s="60"/>
      <c r="H23" s="60"/>
      <c r="I23" s="60"/>
      <c r="J23" s="60"/>
      <c r="K23" s="60"/>
      <c r="L23" s="60"/>
      <c r="M23" s="135"/>
    </row>
    <row r="24" spans="1:15" x14ac:dyDescent="0.25">
      <c r="A24" s="6">
        <v>3</v>
      </c>
      <c r="B24" s="177" t="s">
        <v>59</v>
      </c>
      <c r="C24" s="60"/>
      <c r="D24" s="60"/>
      <c r="E24" s="60"/>
      <c r="F24" s="60"/>
      <c r="G24" s="60"/>
      <c r="H24" s="60"/>
      <c r="I24" s="60"/>
      <c r="J24" s="60"/>
      <c r="K24" s="60"/>
      <c r="L24" s="60"/>
      <c r="M24" s="60"/>
    </row>
    <row r="25" spans="1:15" x14ac:dyDescent="0.25">
      <c r="A25" s="6">
        <v>4</v>
      </c>
      <c r="B25" s="147" t="s">
        <v>105</v>
      </c>
      <c r="C25" s="60"/>
      <c r="D25" s="60"/>
      <c r="E25" s="60"/>
      <c r="F25" s="60"/>
      <c r="G25" s="60"/>
      <c r="H25" s="60"/>
      <c r="I25" s="60"/>
      <c r="J25" s="60"/>
      <c r="K25" s="60"/>
      <c r="L25" s="60"/>
      <c r="M25" s="135"/>
    </row>
    <row r="26" spans="1:15" x14ac:dyDescent="0.25">
      <c r="M26" s="68"/>
    </row>
  </sheetData>
  <mergeCells count="17">
    <mergeCell ref="B19:L19"/>
    <mergeCell ref="B17:L17"/>
    <mergeCell ref="B4:J4"/>
    <mergeCell ref="B5:J5"/>
    <mergeCell ref="B6:J6"/>
    <mergeCell ref="B7:J7"/>
    <mergeCell ref="B2:M2"/>
    <mergeCell ref="B9:M9"/>
    <mergeCell ref="B10:M10"/>
    <mergeCell ref="B11:L11"/>
    <mergeCell ref="B12:B13"/>
    <mergeCell ref="C12:C13"/>
    <mergeCell ref="D12:D13"/>
    <mergeCell ref="E12:F12"/>
    <mergeCell ref="G12:H12"/>
    <mergeCell ref="I12:J12"/>
    <mergeCell ref="K12:M12"/>
  </mergeCells>
  <pageMargins left="0.7" right="0.7" top="0.75" bottom="0.75" header="0.3" footer="0.3"/>
  <pageSetup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FDCB-1D57-4877-A04B-86BB3C798B19}">
  <sheetPr>
    <tabColor theme="9" tint="0.79998168889431442"/>
    <pageSetUpPr fitToPage="1"/>
  </sheetPr>
  <dimension ref="B3:P29"/>
  <sheetViews>
    <sheetView showGridLines="0" topLeftCell="A18" workbookViewId="0">
      <selection activeCell="M37" sqref="M37"/>
    </sheetView>
  </sheetViews>
  <sheetFormatPr defaultColWidth="9.140625" defaultRowHeight="15" x14ac:dyDescent="0.25"/>
  <cols>
    <col min="1" max="1" width="2.85546875" style="5" customWidth="1"/>
    <col min="2" max="2" width="16.28515625" style="5" customWidth="1"/>
    <col min="3" max="3" width="6.28515625" style="5" customWidth="1"/>
    <col min="4" max="4" width="10.140625" style="5" customWidth="1"/>
    <col min="5" max="5" width="12.85546875" style="5" bestFit="1" customWidth="1"/>
    <col min="6" max="6" width="9.140625" style="5" bestFit="1" customWidth="1"/>
    <col min="7" max="8" width="10.140625" style="5" bestFit="1" customWidth="1"/>
    <col min="9" max="9" width="9.7109375" style="5" bestFit="1" customWidth="1"/>
    <col min="10" max="10" width="9.140625" style="5" bestFit="1" customWidth="1"/>
    <col min="11" max="12" width="11.85546875" style="5" bestFit="1" customWidth="1"/>
    <col min="13" max="13" width="11.7109375" style="5" customWidth="1"/>
    <col min="14" max="14" width="11.85546875" style="5" bestFit="1" customWidth="1"/>
    <col min="15" max="15" width="10.140625" style="5" customWidth="1"/>
    <col min="16" max="16" width="12.85546875" style="5" customWidth="1"/>
    <col min="17" max="16384" width="9.140625" style="5"/>
  </cols>
  <sheetData>
    <row r="3" spans="2:14" x14ac:dyDescent="0.25">
      <c r="B3" s="278" t="s">
        <v>42</v>
      </c>
      <c r="C3" s="279"/>
      <c r="D3" s="279"/>
      <c r="E3" s="279"/>
      <c r="F3" s="279"/>
      <c r="G3" s="279"/>
      <c r="H3" s="279"/>
      <c r="I3" s="279"/>
      <c r="J3" s="279"/>
      <c r="K3" s="279"/>
      <c r="L3" s="279"/>
      <c r="M3" s="279"/>
      <c r="N3" s="280"/>
    </row>
    <row r="4" spans="2:14" ht="15" customHeight="1" x14ac:dyDescent="0.25">
      <c r="B4" s="281" t="s">
        <v>27</v>
      </c>
      <c r="C4" s="283" t="s">
        <v>6</v>
      </c>
      <c r="D4" s="285" t="s">
        <v>28</v>
      </c>
      <c r="E4" s="287" t="s">
        <v>29</v>
      </c>
      <c r="F4" s="288"/>
      <c r="G4" s="287" t="s">
        <v>30</v>
      </c>
      <c r="H4" s="288"/>
      <c r="I4" s="287" t="s">
        <v>31</v>
      </c>
      <c r="J4" s="288"/>
      <c r="K4" s="287" t="s">
        <v>32</v>
      </c>
      <c r="L4" s="279"/>
      <c r="M4" s="279"/>
      <c r="N4" s="280"/>
    </row>
    <row r="5" spans="2:14" ht="60" x14ac:dyDescent="0.25">
      <c r="B5" s="282"/>
      <c r="C5" s="284"/>
      <c r="D5" s="286"/>
      <c r="E5" s="187" t="s">
        <v>33</v>
      </c>
      <c r="F5" s="187" t="s">
        <v>34</v>
      </c>
      <c r="G5" s="49" t="s">
        <v>35</v>
      </c>
      <c r="H5" s="49" t="s">
        <v>36</v>
      </c>
      <c r="I5" s="49" t="s">
        <v>8</v>
      </c>
      <c r="J5" s="49" t="s">
        <v>37</v>
      </c>
      <c r="K5" s="49" t="s">
        <v>38</v>
      </c>
      <c r="L5" s="49" t="s">
        <v>39</v>
      </c>
      <c r="M5" s="49" t="s">
        <v>45</v>
      </c>
      <c r="N5" s="50" t="s">
        <v>46</v>
      </c>
    </row>
    <row r="6" spans="2:14" x14ac:dyDescent="0.25">
      <c r="B6" s="51" t="s">
        <v>41</v>
      </c>
      <c r="C6" s="8" t="s">
        <v>33</v>
      </c>
      <c r="D6" s="43">
        <v>9112.8451064303372</v>
      </c>
      <c r="E6" s="40">
        <v>113337066.328181</v>
      </c>
      <c r="F6" s="39"/>
      <c r="G6" s="54">
        <v>0.64118373052413569</v>
      </c>
      <c r="H6" s="55">
        <f>1-G6</f>
        <v>0.35881626947586431</v>
      </c>
      <c r="I6" s="41">
        <v>101.8</v>
      </c>
      <c r="J6" s="42">
        <v>5.5E-2</v>
      </c>
      <c r="K6" s="31">
        <f>D6*I6*12</f>
        <v>11132251.582015298</v>
      </c>
      <c r="L6" s="31">
        <f>E6*J6</f>
        <v>6233538.6480499553</v>
      </c>
      <c r="M6" s="39"/>
      <c r="N6" s="32">
        <f>SUM(K6:M6)</f>
        <v>17365790.230065253</v>
      </c>
    </row>
    <row r="7" spans="2:14" x14ac:dyDescent="0.25">
      <c r="B7" s="51" t="s">
        <v>13</v>
      </c>
      <c r="C7" s="8" t="s">
        <v>34</v>
      </c>
      <c r="D7" s="43">
        <v>37.282220262380214</v>
      </c>
      <c r="E7" s="39"/>
      <c r="F7" s="40">
        <v>248604.90668572392</v>
      </c>
      <c r="G7" s="54">
        <v>0.12009672583040554</v>
      </c>
      <c r="H7" s="55">
        <f t="shared" ref="H7:H9" si="0">1-G7</f>
        <v>0.87990327416959446</v>
      </c>
      <c r="I7" s="41">
        <v>1244.17</v>
      </c>
      <c r="J7" s="42">
        <v>16.8475</v>
      </c>
      <c r="K7" s="31">
        <f t="shared" ref="K7:K9" si="1">D7*I7*12</f>
        <v>556625.03980614711</v>
      </c>
      <c r="L7" s="31">
        <f>F7*J7</f>
        <v>4188371.1653877338</v>
      </c>
      <c r="M7" s="40">
        <v>-110187.67683102925</v>
      </c>
      <c r="N7" s="32">
        <f t="shared" ref="N7:N9" si="2">SUM(K7:M7)</f>
        <v>4634808.5283628516</v>
      </c>
    </row>
    <row r="8" spans="2:14" x14ac:dyDescent="0.25">
      <c r="B8" s="51" t="s">
        <v>15</v>
      </c>
      <c r="C8" s="8" t="s">
        <v>33</v>
      </c>
      <c r="D8" s="43">
        <v>2960.1858518389645</v>
      </c>
      <c r="E8" s="40">
        <v>5874372.3645382812</v>
      </c>
      <c r="F8" s="39"/>
      <c r="G8" s="54">
        <v>0.68900916148665659</v>
      </c>
      <c r="H8" s="55">
        <f t="shared" si="0"/>
        <v>0.31099083851334341</v>
      </c>
      <c r="I8" s="41">
        <v>54.8</v>
      </c>
      <c r="J8" s="42">
        <v>0.14960000000000001</v>
      </c>
      <c r="K8" s="31">
        <f t="shared" si="1"/>
        <v>1946618.2161693028</v>
      </c>
      <c r="L8" s="31">
        <f t="shared" ref="L8:L9" si="3">E8*J8</f>
        <v>878806.10573492688</v>
      </c>
      <c r="M8" s="39"/>
      <c r="N8" s="32">
        <f t="shared" si="2"/>
        <v>2825424.3219042299</v>
      </c>
    </row>
    <row r="9" spans="2:14" x14ac:dyDescent="0.25">
      <c r="B9" s="51" t="s">
        <v>16</v>
      </c>
      <c r="C9" s="8" t="s">
        <v>33</v>
      </c>
      <c r="D9" s="43">
        <v>1127.6033016645551</v>
      </c>
      <c r="E9" s="40">
        <v>581104.4520676051</v>
      </c>
      <c r="F9" s="39"/>
      <c r="G9" s="54">
        <v>0.12619223755769352</v>
      </c>
      <c r="H9" s="55">
        <f t="shared" si="0"/>
        <v>0.87380776244230651</v>
      </c>
      <c r="I9" s="41">
        <v>1.86</v>
      </c>
      <c r="J9" s="42">
        <v>0.2999</v>
      </c>
      <c r="K9" s="31">
        <f t="shared" si="1"/>
        <v>25168.105693152873</v>
      </c>
      <c r="L9" s="31">
        <f t="shared" si="3"/>
        <v>174273.22517507477</v>
      </c>
      <c r="M9" s="39"/>
      <c r="N9" s="32">
        <f t="shared" si="2"/>
        <v>199441.33086822764</v>
      </c>
    </row>
    <row r="10" spans="2:14" s="1" customFormat="1" ht="15.75" thickBot="1" x14ac:dyDescent="0.3">
      <c r="B10" s="36" t="s">
        <v>43</v>
      </c>
      <c r="C10" s="37"/>
      <c r="D10" s="38">
        <f>SUM(D6:D9)</f>
        <v>13237.91648019624</v>
      </c>
      <c r="E10" s="37"/>
      <c r="F10" s="37"/>
      <c r="G10" s="37"/>
      <c r="H10" s="37"/>
      <c r="I10" s="37"/>
      <c r="J10" s="37"/>
      <c r="K10" s="56">
        <f>SUM(K6:K9)</f>
        <v>13660662.9436839</v>
      </c>
      <c r="L10" s="56">
        <f>SUM(L6:L9)</f>
        <v>11474989.144347692</v>
      </c>
      <c r="M10" s="56">
        <f>SUM(M6:M9)</f>
        <v>-110187.67683102925</v>
      </c>
      <c r="N10" s="57">
        <f>SUM(N6:N9)</f>
        <v>25025464.411200564</v>
      </c>
    </row>
    <row r="12" spans="2:14" x14ac:dyDescent="0.25">
      <c r="B12" s="278" t="s">
        <v>107</v>
      </c>
      <c r="C12" s="279"/>
      <c r="D12" s="279"/>
      <c r="E12" s="279"/>
      <c r="F12" s="279"/>
      <c r="G12" s="279"/>
      <c r="H12" s="279"/>
      <c r="I12" s="279"/>
      <c r="J12" s="279"/>
      <c r="K12" s="279"/>
      <c r="L12" s="279"/>
      <c r="M12" s="279"/>
      <c r="N12" s="280"/>
    </row>
    <row r="13" spans="2:14" x14ac:dyDescent="0.25">
      <c r="B13" s="281" t="s">
        <v>27</v>
      </c>
      <c r="C13" s="283" t="s">
        <v>6</v>
      </c>
      <c r="D13" s="285" t="s">
        <v>28</v>
      </c>
      <c r="E13" s="287" t="s">
        <v>29</v>
      </c>
      <c r="F13" s="288"/>
      <c r="G13" s="287" t="s">
        <v>30</v>
      </c>
      <c r="H13" s="288"/>
      <c r="I13" s="287" t="s">
        <v>31</v>
      </c>
      <c r="J13" s="288"/>
      <c r="K13" s="287" t="s">
        <v>32</v>
      </c>
      <c r="L13" s="279"/>
      <c r="M13" s="279"/>
      <c r="N13" s="280"/>
    </row>
    <row r="14" spans="2:14" ht="60" x14ac:dyDescent="0.25">
      <c r="B14" s="282"/>
      <c r="C14" s="284"/>
      <c r="D14" s="286"/>
      <c r="E14" s="187" t="s">
        <v>33</v>
      </c>
      <c r="F14" s="187" t="s">
        <v>34</v>
      </c>
      <c r="G14" s="49" t="s">
        <v>35</v>
      </c>
      <c r="H14" s="49" t="s">
        <v>36</v>
      </c>
      <c r="I14" s="49" t="s">
        <v>8</v>
      </c>
      <c r="J14" s="49" t="s">
        <v>37</v>
      </c>
      <c r="K14" s="49" t="s">
        <v>38</v>
      </c>
      <c r="L14" s="49" t="s">
        <v>39</v>
      </c>
      <c r="M14" s="49" t="s">
        <v>45</v>
      </c>
      <c r="N14" s="50" t="s">
        <v>46</v>
      </c>
    </row>
    <row r="15" spans="2:14" x14ac:dyDescent="0.25">
      <c r="B15" s="51" t="s">
        <v>41</v>
      </c>
      <c r="C15" s="8" t="s">
        <v>33</v>
      </c>
      <c r="D15" s="43">
        <v>9112.8451064303372</v>
      </c>
      <c r="E15" s="40">
        <v>113337066.328181</v>
      </c>
      <c r="F15" s="39"/>
      <c r="G15" s="54">
        <f>K15/$N15</f>
        <v>0.64104491845940414</v>
      </c>
      <c r="H15" s="55">
        <f>1-G15</f>
        <v>0.35895508154059586</v>
      </c>
      <c r="I15" s="41">
        <f>(K15/12)/D15</f>
        <v>103.42879999999998</v>
      </c>
      <c r="J15" s="188">
        <f>(L15)/E15</f>
        <v>5.5880000000000006E-2</v>
      </c>
      <c r="K15" s="31">
        <f>'Indexed Revenue'!C5</f>
        <v>11310367.607327543</v>
      </c>
      <c r="L15" s="31">
        <f>'Indexed Revenue'!D5</f>
        <v>6333275.2664187551</v>
      </c>
      <c r="M15" s="39"/>
      <c r="N15" s="32">
        <f>SUM(K15:M15)</f>
        <v>17643642.873746298</v>
      </c>
    </row>
    <row r="16" spans="2:14" x14ac:dyDescent="0.25">
      <c r="B16" s="51" t="s">
        <v>13</v>
      </c>
      <c r="C16" s="8" t="s">
        <v>34</v>
      </c>
      <c r="D16" s="43">
        <v>37.282220262380214</v>
      </c>
      <c r="E16" s="39"/>
      <c r="F16" s="40">
        <v>248604.90668572392</v>
      </c>
      <c r="G16" s="54">
        <f t="shared" ref="G16:G17" si="4">K16/$N16</f>
        <v>0.12297420456376547</v>
      </c>
      <c r="H16" s="55">
        <f t="shared" ref="H16:H18" si="5">1-G16</f>
        <v>0.87702579543623449</v>
      </c>
      <c r="I16" s="41">
        <f t="shared" ref="I16:I17" si="6">(K16/12)/D16</f>
        <v>1264.07672</v>
      </c>
      <c r="J16" s="188">
        <f>(L16)/F16</f>
        <v>16.666744351959114</v>
      </c>
      <c r="K16" s="31">
        <f>'Indexed Revenue'!C6</f>
        <v>565531.04044304544</v>
      </c>
      <c r="L16" s="31">
        <f>'Indexed Revenue'!D6</f>
        <v>4143434.4243736118</v>
      </c>
      <c r="M16" s="40">
        <v>-110187.67683102925</v>
      </c>
      <c r="N16" s="32">
        <f t="shared" ref="N16:N18" si="7">SUM(K16:M16)</f>
        <v>4598777.7879856275</v>
      </c>
    </row>
    <row r="17" spans="2:16" x14ac:dyDescent="0.25">
      <c r="B17" s="51" t="s">
        <v>15</v>
      </c>
      <c r="C17" s="8" t="s">
        <v>33</v>
      </c>
      <c r="D17" s="43">
        <v>2960.1858518389645</v>
      </c>
      <c r="E17" s="40">
        <v>5874372.3645382812</v>
      </c>
      <c r="F17" s="39"/>
      <c r="G17" s="54">
        <f t="shared" si="4"/>
        <v>0.68896491089074918</v>
      </c>
      <c r="H17" s="55">
        <f t="shared" si="5"/>
        <v>0.31103508910925082</v>
      </c>
      <c r="I17" s="41">
        <f t="shared" si="6"/>
        <v>55.676799999999993</v>
      </c>
      <c r="J17" s="188">
        <f t="shared" ref="J17:J18" si="8">(L17)/E17</f>
        <v>0.15199360000000001</v>
      </c>
      <c r="K17" s="31">
        <f>'Indexed Revenue'!C7</f>
        <v>1977764.1076280116</v>
      </c>
      <c r="L17" s="31">
        <f>'Indexed Revenue'!D7</f>
        <v>892867.0034266857</v>
      </c>
      <c r="M17" s="39"/>
      <c r="N17" s="32">
        <f t="shared" si="7"/>
        <v>2870631.1110546971</v>
      </c>
    </row>
    <row r="18" spans="2:16" x14ac:dyDescent="0.25">
      <c r="B18" s="51" t="s">
        <v>16</v>
      </c>
      <c r="C18" s="8" t="s">
        <v>33</v>
      </c>
      <c r="D18" s="43">
        <v>1127.6033016645551</v>
      </c>
      <c r="E18" s="40">
        <v>581104.4520676051</v>
      </c>
      <c r="F18" s="39"/>
      <c r="G18" s="54">
        <f>K18/$N18</f>
        <v>0.12619302921610381</v>
      </c>
      <c r="H18" s="55">
        <f t="shared" si="5"/>
        <v>0.87380697078389624</v>
      </c>
      <c r="I18" s="41">
        <f>(K18/12)/D18</f>
        <v>1.8897600000000003</v>
      </c>
      <c r="J18" s="188">
        <f t="shared" si="8"/>
        <v>0.30469839999999998</v>
      </c>
      <c r="K18" s="31">
        <f>'Indexed Revenue'!C8</f>
        <v>25570.79538424332</v>
      </c>
      <c r="L18" s="31">
        <f>'Indexed Revenue'!D8</f>
        <v>177061.59677787597</v>
      </c>
      <c r="M18" s="39"/>
      <c r="N18" s="32">
        <f t="shared" si="7"/>
        <v>202632.39216211927</v>
      </c>
      <c r="O18" s="204" t="s">
        <v>50</v>
      </c>
      <c r="P18" s="204"/>
    </row>
    <row r="19" spans="2:16" ht="15.75" thickBot="1" x14ac:dyDescent="0.3">
      <c r="B19" s="36" t="s">
        <v>43</v>
      </c>
      <c r="C19" s="37"/>
      <c r="D19" s="38">
        <f>SUM(D15:D18)</f>
        <v>13237.91648019624</v>
      </c>
      <c r="E19" s="37"/>
      <c r="F19" s="37"/>
      <c r="G19" s="37"/>
      <c r="H19" s="37"/>
      <c r="I19" s="37"/>
      <c r="J19" s="37"/>
      <c r="K19" s="56">
        <f>SUM(K15:K18)</f>
        <v>13879233.550782844</v>
      </c>
      <c r="L19" s="56">
        <f>SUM(L15:L18)</f>
        <v>11546638.29099693</v>
      </c>
      <c r="M19" s="56">
        <f>SUM(M15:M18)</f>
        <v>-110187.67683102925</v>
      </c>
      <c r="N19" s="57">
        <f>SUM(N15:N18)</f>
        <v>25315684.164948739</v>
      </c>
      <c r="O19" s="204" t="s">
        <v>108</v>
      </c>
      <c r="P19" s="205">
        <f>N19+ABS(M16)</f>
        <v>25425871.841779768</v>
      </c>
    </row>
    <row r="20" spans="2:16" x14ac:dyDescent="0.25">
      <c r="O20" s="204" t="s">
        <v>109</v>
      </c>
      <c r="P20" s="206" t="str">
        <f>IF(P19='Indexed Revenue'!E9,"True","No")</f>
        <v>True</v>
      </c>
    </row>
    <row r="21" spans="2:16" x14ac:dyDescent="0.25">
      <c r="B21" s="278" t="s">
        <v>130</v>
      </c>
      <c r="C21" s="279"/>
      <c r="D21" s="279"/>
      <c r="E21" s="279"/>
      <c r="F21" s="279"/>
      <c r="G21" s="279"/>
      <c r="H21" s="279"/>
      <c r="I21" s="279"/>
      <c r="J21" s="279"/>
      <c r="K21" s="279"/>
      <c r="L21" s="279"/>
      <c r="M21" s="279"/>
      <c r="N21" s="280"/>
      <c r="O21" s="207"/>
      <c r="P21" s="207"/>
    </row>
    <row r="22" spans="2:16" x14ac:dyDescent="0.25">
      <c r="B22" s="281" t="s">
        <v>27</v>
      </c>
      <c r="C22" s="283" t="s">
        <v>6</v>
      </c>
      <c r="D22" s="285" t="s">
        <v>28</v>
      </c>
      <c r="E22" s="287" t="s">
        <v>29</v>
      </c>
      <c r="F22" s="288"/>
      <c r="G22" s="287" t="s">
        <v>30</v>
      </c>
      <c r="H22" s="288"/>
      <c r="I22" s="287" t="s">
        <v>31</v>
      </c>
      <c r="J22" s="288"/>
      <c r="K22" s="287" t="s">
        <v>32</v>
      </c>
      <c r="L22" s="279"/>
      <c r="M22" s="279"/>
      <c r="N22" s="280"/>
      <c r="O22" s="207"/>
      <c r="P22" s="207"/>
    </row>
    <row r="23" spans="2:16" ht="60" x14ac:dyDescent="0.25">
      <c r="B23" s="282"/>
      <c r="C23" s="284"/>
      <c r="D23" s="286"/>
      <c r="E23" s="190" t="s">
        <v>33</v>
      </c>
      <c r="F23" s="190" t="s">
        <v>34</v>
      </c>
      <c r="G23" s="49" t="s">
        <v>35</v>
      </c>
      <c r="H23" s="49" t="s">
        <v>36</v>
      </c>
      <c r="I23" s="49" t="s">
        <v>8</v>
      </c>
      <c r="J23" s="49" t="s">
        <v>37</v>
      </c>
      <c r="K23" s="49" t="s">
        <v>38</v>
      </c>
      <c r="L23" s="49" t="s">
        <v>39</v>
      </c>
      <c r="M23" s="49" t="s">
        <v>45</v>
      </c>
      <c r="N23" s="50" t="s">
        <v>46</v>
      </c>
      <c r="O23" s="207"/>
      <c r="P23" s="207"/>
    </row>
    <row r="24" spans="2:16" x14ac:dyDescent="0.25">
      <c r="B24" s="51" t="s">
        <v>41</v>
      </c>
      <c r="C24" s="8" t="s">
        <v>33</v>
      </c>
      <c r="D24" s="43">
        <v>9112.8451064303372</v>
      </c>
      <c r="E24" s="40">
        <v>113337066.328181</v>
      </c>
      <c r="F24" s="39"/>
      <c r="G24" s="54">
        <f>K24/$N24</f>
        <v>0.64104491845940414</v>
      </c>
      <c r="H24" s="55">
        <f>1-G24</f>
        <v>0.35895508154059586</v>
      </c>
      <c r="I24" s="202">
        <f>(K24/12)/D24</f>
        <v>106.22137759999998</v>
      </c>
      <c r="J24" s="203">
        <f>(L24)/E24</f>
        <v>5.7388760000000004E-2</v>
      </c>
      <c r="K24" s="145">
        <f>'Indexed Revenue'!H5</f>
        <v>11615747.532725386</v>
      </c>
      <c r="L24" s="145">
        <f>'Indexed Revenue'!I5</f>
        <v>6504273.6986120613</v>
      </c>
      <c r="M24" s="170"/>
      <c r="N24" s="152">
        <f>SUM(K24:M24)</f>
        <v>18120021.231337447</v>
      </c>
      <c r="O24" s="207"/>
      <c r="P24" s="207"/>
    </row>
    <row r="25" spans="2:16" x14ac:dyDescent="0.25">
      <c r="B25" s="51" t="s">
        <v>13</v>
      </c>
      <c r="C25" s="8" t="s">
        <v>34</v>
      </c>
      <c r="D25" s="43">
        <v>37.282220262380214</v>
      </c>
      <c r="E25" s="39"/>
      <c r="F25" s="40">
        <v>248604.90668572392</v>
      </c>
      <c r="G25" s="54">
        <f t="shared" ref="G25:G26" si="9">K25/$N25</f>
        <v>0.12289678968099527</v>
      </c>
      <c r="H25" s="55">
        <f t="shared" ref="H25:H27" si="10">1-G25</f>
        <v>0.87710321031900473</v>
      </c>
      <c r="I25" s="202">
        <f t="shared" ref="I25:I26" si="11">(K25/12)/D25</f>
        <v>1298.2067914399997</v>
      </c>
      <c r="J25" s="203">
        <f>(L25)/F25</f>
        <v>17.11674644946201</v>
      </c>
      <c r="K25" s="145">
        <f>'Indexed Revenue'!H6</f>
        <v>580800.37853500759</v>
      </c>
      <c r="L25" s="145">
        <f>'Indexed Revenue'!I6</f>
        <v>4255307.1538316989</v>
      </c>
      <c r="M25" s="169">
        <v>-110187.67683102925</v>
      </c>
      <c r="N25" s="152">
        <f t="shared" ref="N25:N27" si="12">SUM(K25:M25)</f>
        <v>4725919.8555356767</v>
      </c>
      <c r="O25" s="207"/>
      <c r="P25" s="207"/>
    </row>
    <row r="26" spans="2:16" x14ac:dyDescent="0.25">
      <c r="B26" s="51" t="s">
        <v>15</v>
      </c>
      <c r="C26" s="8" t="s">
        <v>33</v>
      </c>
      <c r="D26" s="43">
        <v>2960.1858518389645</v>
      </c>
      <c r="E26" s="40">
        <v>5874372.3645382812</v>
      </c>
      <c r="F26" s="39"/>
      <c r="G26" s="54">
        <f t="shared" si="9"/>
        <v>0.68896491089074907</v>
      </c>
      <c r="H26" s="55">
        <f t="shared" si="10"/>
        <v>0.31103508910925093</v>
      </c>
      <c r="I26" s="202">
        <f t="shared" si="11"/>
        <v>57.180073599999986</v>
      </c>
      <c r="J26" s="203">
        <f t="shared" ref="J26:J27" si="13">(L26)/E26</f>
        <v>0.1560974272</v>
      </c>
      <c r="K26" s="145">
        <f>'Indexed Revenue'!H7</f>
        <v>2031163.7385339676</v>
      </c>
      <c r="L26" s="145">
        <f>'Indexed Revenue'!I7</f>
        <v>916974.41251920618</v>
      </c>
      <c r="M26" s="170"/>
      <c r="N26" s="152">
        <f t="shared" si="12"/>
        <v>2948138.1510531739</v>
      </c>
      <c r="O26" s="207"/>
      <c r="P26" s="207"/>
    </row>
    <row r="27" spans="2:16" x14ac:dyDescent="0.25">
      <c r="B27" s="51" t="s">
        <v>16</v>
      </c>
      <c r="C27" s="8" t="s">
        <v>33</v>
      </c>
      <c r="D27" s="43">
        <v>1127.6033016645551</v>
      </c>
      <c r="E27" s="40">
        <v>581104.4520676051</v>
      </c>
      <c r="F27" s="39"/>
      <c r="G27" s="54">
        <f>K27/$N27</f>
        <v>0.12619302921610379</v>
      </c>
      <c r="H27" s="55">
        <f t="shared" si="10"/>
        <v>0.87380697078389624</v>
      </c>
      <c r="I27" s="202">
        <f>(K27/12)/D27</f>
        <v>1.9407835199999999</v>
      </c>
      <c r="J27" s="203">
        <f t="shared" si="13"/>
        <v>0.3129252568</v>
      </c>
      <c r="K27" s="145">
        <f>'Indexed Revenue'!H8</f>
        <v>26261.206859617887</v>
      </c>
      <c r="L27" s="145">
        <f>'Indexed Revenue'!I8</f>
        <v>181842.2598908786</v>
      </c>
      <c r="M27" s="170"/>
      <c r="N27" s="152">
        <f t="shared" si="12"/>
        <v>208103.46675049647</v>
      </c>
      <c r="O27" s="204" t="s">
        <v>50</v>
      </c>
      <c r="P27" s="204"/>
    </row>
    <row r="28" spans="2:16" ht="15.75" thickBot="1" x14ac:dyDescent="0.3">
      <c r="B28" s="36" t="s">
        <v>43</v>
      </c>
      <c r="C28" s="37"/>
      <c r="D28" s="38">
        <f>SUM(D24:D27)</f>
        <v>13237.91648019624</v>
      </c>
      <c r="E28" s="37"/>
      <c r="F28" s="37"/>
      <c r="G28" s="37"/>
      <c r="H28" s="37"/>
      <c r="I28" s="37"/>
      <c r="J28" s="37"/>
      <c r="K28" s="56">
        <f>SUM(K24:K27)</f>
        <v>14253972.856653981</v>
      </c>
      <c r="L28" s="56">
        <f>SUM(L24:L27)</f>
        <v>11858397.524853844</v>
      </c>
      <c r="M28" s="56">
        <f>SUM(M24:M27)</f>
        <v>-110187.67683102925</v>
      </c>
      <c r="N28" s="57">
        <f>SUM(N24:N27)</f>
        <v>26002182.704676792</v>
      </c>
      <c r="O28" s="204" t="s">
        <v>108</v>
      </c>
      <c r="P28" s="205">
        <f>N28+ABS(M25)</f>
        <v>26112370.381507821</v>
      </c>
    </row>
    <row r="29" spans="2:16" x14ac:dyDescent="0.25">
      <c r="O29" s="204" t="s">
        <v>109</v>
      </c>
      <c r="P29" s="206" t="str">
        <f>IF(P28='Indexed Revenue'!H24,"True","No")</f>
        <v>True</v>
      </c>
    </row>
  </sheetData>
  <mergeCells count="24">
    <mergeCell ref="K13:N13"/>
    <mergeCell ref="B13:B14"/>
    <mergeCell ref="C13:C14"/>
    <mergeCell ref="D13:D14"/>
    <mergeCell ref="E13:F13"/>
    <mergeCell ref="G13:H13"/>
    <mergeCell ref="I13:J13"/>
    <mergeCell ref="B12:N12"/>
    <mergeCell ref="K4:N4"/>
    <mergeCell ref="B3:N3"/>
    <mergeCell ref="B4:B5"/>
    <mergeCell ref="C4:C5"/>
    <mergeCell ref="D4:D5"/>
    <mergeCell ref="E4:F4"/>
    <mergeCell ref="G4:H4"/>
    <mergeCell ref="I4:J4"/>
    <mergeCell ref="B21:N21"/>
    <mergeCell ref="B22:B23"/>
    <mergeCell ref="C22:C23"/>
    <mergeCell ref="D22:D23"/>
    <mergeCell ref="E22:F22"/>
    <mergeCell ref="G22:H22"/>
    <mergeCell ref="I22:J22"/>
    <mergeCell ref="K22:N22"/>
  </mergeCells>
  <pageMargins left="0.7" right="0.7" top="0.75" bottom="0.75" header="0.3" footer="0.3"/>
  <pageSetup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E060-AD1F-4276-964B-024741D9AAFA}">
  <sheetPr>
    <tabColor theme="9" tint="0.79998168889431442"/>
  </sheetPr>
  <dimension ref="B1:L9"/>
  <sheetViews>
    <sheetView showGridLines="0" workbookViewId="0"/>
  </sheetViews>
  <sheetFormatPr defaultColWidth="9.140625" defaultRowHeight="15" x14ac:dyDescent="0.25"/>
  <cols>
    <col min="1" max="1" width="2.85546875" style="5" customWidth="1"/>
    <col min="2" max="2" width="18.7109375" style="5" customWidth="1"/>
    <col min="3" max="3" width="11.7109375" style="5" bestFit="1" customWidth="1"/>
    <col min="4" max="4" width="8.7109375" style="5" customWidth="1"/>
    <col min="5" max="5" width="9.140625" style="5"/>
    <col min="6" max="6" width="18.7109375" style="5" customWidth="1"/>
    <col min="7" max="7" width="11.7109375" style="5" bestFit="1" customWidth="1"/>
    <col min="8" max="8" width="8.7109375" style="5" customWidth="1"/>
    <col min="9" max="9" width="9.140625" style="5"/>
    <col min="10" max="10" width="16.5703125" style="5" bestFit="1" customWidth="1"/>
    <col min="11" max="11" width="10.7109375" style="5" bestFit="1" customWidth="1"/>
    <col min="12" max="16384" width="9.140625" style="5"/>
  </cols>
  <sheetData>
    <row r="1" spans="2:12" ht="15.75" thickBot="1" x14ac:dyDescent="0.3"/>
    <row r="2" spans="2:12" ht="30.75" customHeight="1" thickBot="1" x14ac:dyDescent="0.3">
      <c r="B2" s="314" t="s">
        <v>25</v>
      </c>
      <c r="C2" s="315"/>
      <c r="D2" s="316"/>
      <c r="F2" s="314" t="s">
        <v>96</v>
      </c>
      <c r="G2" s="315"/>
      <c r="H2" s="316"/>
      <c r="J2" s="314" t="s">
        <v>121</v>
      </c>
      <c r="K2" s="315"/>
      <c r="L2" s="316"/>
    </row>
    <row r="3" spans="2:12" x14ac:dyDescent="0.25">
      <c r="B3" s="24" t="s">
        <v>18</v>
      </c>
      <c r="C3" s="25" t="s">
        <v>19</v>
      </c>
      <c r="D3" s="26" t="s">
        <v>20</v>
      </c>
      <c r="F3" s="24" t="s">
        <v>18</v>
      </c>
      <c r="G3" s="25" t="s">
        <v>19</v>
      </c>
      <c r="H3" s="26" t="s">
        <v>20</v>
      </c>
      <c r="J3" s="24" t="s">
        <v>18</v>
      </c>
      <c r="K3" s="25" t="s">
        <v>19</v>
      </c>
      <c r="L3" s="26" t="s">
        <v>20</v>
      </c>
    </row>
    <row r="4" spans="2:12" x14ac:dyDescent="0.25">
      <c r="B4" s="17" t="s">
        <v>21</v>
      </c>
      <c r="C4" s="149" t="s">
        <v>103</v>
      </c>
      <c r="D4" s="185">
        <v>2.1999999999999999E-2</v>
      </c>
      <c r="F4" s="17" t="s">
        <v>21</v>
      </c>
      <c r="G4" s="149" t="s">
        <v>103</v>
      </c>
      <c r="H4" s="193">
        <v>3.3000000000000002E-2</v>
      </c>
      <c r="J4" s="17" t="s">
        <v>21</v>
      </c>
      <c r="K4" s="35" t="s">
        <v>26</v>
      </c>
      <c r="L4" s="28">
        <v>3.3000000000000002E-2</v>
      </c>
    </row>
    <row r="5" spans="2:12" x14ac:dyDescent="0.25">
      <c r="B5" s="17" t="s">
        <v>22</v>
      </c>
      <c r="C5" s="149" t="s">
        <v>103</v>
      </c>
      <c r="D5" s="185">
        <v>0</v>
      </c>
      <c r="F5" s="17" t="s">
        <v>22</v>
      </c>
      <c r="G5" s="149" t="s">
        <v>103</v>
      </c>
      <c r="H5" s="193">
        <v>0</v>
      </c>
      <c r="J5" s="17" t="s">
        <v>22</v>
      </c>
      <c r="K5" s="35" t="s">
        <v>26</v>
      </c>
      <c r="L5" s="28">
        <v>0</v>
      </c>
    </row>
    <row r="6" spans="2:12" x14ac:dyDescent="0.25">
      <c r="B6" s="17" t="s">
        <v>23</v>
      </c>
      <c r="C6" s="149" t="s">
        <v>104</v>
      </c>
      <c r="D6" s="186">
        <v>6.0000000000000001E-3</v>
      </c>
      <c r="F6" s="17" t="s">
        <v>23</v>
      </c>
      <c r="G6" s="149" t="s">
        <v>104</v>
      </c>
      <c r="H6" s="194">
        <v>6.0000000000000001E-3</v>
      </c>
      <c r="J6" s="17" t="s">
        <v>23</v>
      </c>
      <c r="K6" s="35" t="s">
        <v>26</v>
      </c>
      <c r="L6" s="29">
        <v>6.0000000000000001E-3</v>
      </c>
    </row>
    <row r="7" spans="2:12" ht="15.75" thickBot="1" x14ac:dyDescent="0.3">
      <c r="B7" s="33" t="s">
        <v>92</v>
      </c>
      <c r="C7" s="136" t="s">
        <v>24</v>
      </c>
      <c r="D7" s="137">
        <f>D4-D5-D6</f>
        <v>1.6E-2</v>
      </c>
      <c r="F7" s="33" t="s">
        <v>92</v>
      </c>
      <c r="G7" s="136" t="s">
        <v>24</v>
      </c>
      <c r="H7" s="195">
        <f>H4-H5-H6</f>
        <v>2.7000000000000003E-2</v>
      </c>
      <c r="J7" s="33" t="s">
        <v>92</v>
      </c>
      <c r="K7" s="21" t="s">
        <v>24</v>
      </c>
      <c r="L7" s="27">
        <f>L4-L5-L6</f>
        <v>2.7000000000000003E-2</v>
      </c>
    </row>
    <row r="9" spans="2:12" x14ac:dyDescent="0.25">
      <c r="J9" s="60" t="s">
        <v>118</v>
      </c>
    </row>
  </sheetData>
  <mergeCells count="3">
    <mergeCell ref="B2:D2"/>
    <mergeCell ref="F2:H2"/>
    <mergeCell ref="J2:L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11CC-CA96-4E43-81B5-813207B4E22B}">
  <sheetPr>
    <tabColor theme="9" tint="0.79998168889431442"/>
    <pageSetUpPr fitToPage="1"/>
  </sheetPr>
  <dimension ref="B1:O33"/>
  <sheetViews>
    <sheetView showGridLines="0" workbookViewId="0"/>
  </sheetViews>
  <sheetFormatPr defaultColWidth="9.140625" defaultRowHeight="15" x14ac:dyDescent="0.25"/>
  <cols>
    <col min="1" max="1" width="2.85546875" style="5" customWidth="1"/>
    <col min="2" max="2" width="24.85546875" style="5" customWidth="1"/>
    <col min="3" max="5" width="12.85546875" style="5" customWidth="1"/>
    <col min="6" max="6" width="10.140625" style="5" customWidth="1"/>
    <col min="7" max="7" width="24.85546875" style="5" customWidth="1"/>
    <col min="8" max="10" width="12.85546875" style="5" customWidth="1"/>
    <col min="11" max="11" width="9.140625" style="5"/>
    <col min="12" max="12" width="24.7109375" style="5" customWidth="1"/>
    <col min="13" max="15" width="12.7109375" style="5" customWidth="1"/>
    <col min="16" max="16384" width="9.140625" style="5"/>
  </cols>
  <sheetData>
    <row r="1" spans="2:15" ht="15.75" thickBot="1" x14ac:dyDescent="0.3"/>
    <row r="2" spans="2:15" ht="33.75" customHeight="1" x14ac:dyDescent="0.25">
      <c r="B2" s="244" t="s">
        <v>54</v>
      </c>
      <c r="C2" s="245"/>
      <c r="D2" s="245"/>
      <c r="E2" s="246"/>
      <c r="G2" s="244" t="s">
        <v>95</v>
      </c>
      <c r="H2" s="245"/>
      <c r="I2" s="245"/>
      <c r="J2" s="246"/>
      <c r="L2" s="244" t="s">
        <v>122</v>
      </c>
      <c r="M2" s="245"/>
      <c r="N2" s="245"/>
      <c r="O2" s="246"/>
    </row>
    <row r="3" spans="2:15" ht="15" customHeight="1" x14ac:dyDescent="0.25">
      <c r="B3" s="281" t="s">
        <v>27</v>
      </c>
      <c r="C3" s="287" t="s">
        <v>32</v>
      </c>
      <c r="D3" s="279"/>
      <c r="E3" s="280"/>
      <c r="G3" s="281" t="s">
        <v>27</v>
      </c>
      <c r="H3" s="287" t="s">
        <v>32</v>
      </c>
      <c r="I3" s="279"/>
      <c r="J3" s="280"/>
      <c r="L3" s="281" t="s">
        <v>27</v>
      </c>
      <c r="M3" s="287" t="s">
        <v>32</v>
      </c>
      <c r="N3" s="279"/>
      <c r="O3" s="280"/>
    </row>
    <row r="4" spans="2:15" ht="14.85" customHeight="1" x14ac:dyDescent="0.25">
      <c r="B4" s="282"/>
      <c r="C4" s="49" t="s">
        <v>38</v>
      </c>
      <c r="D4" s="49" t="s">
        <v>39</v>
      </c>
      <c r="E4" s="50" t="s">
        <v>40</v>
      </c>
      <c r="G4" s="282"/>
      <c r="H4" s="49" t="s">
        <v>38</v>
      </c>
      <c r="I4" s="49" t="s">
        <v>39</v>
      </c>
      <c r="J4" s="50" t="s">
        <v>40</v>
      </c>
      <c r="L4" s="282"/>
      <c r="M4" s="49" t="s">
        <v>38</v>
      </c>
      <c r="N4" s="49" t="s">
        <v>39</v>
      </c>
      <c r="O4" s="50" t="s">
        <v>40</v>
      </c>
    </row>
    <row r="5" spans="2:15" x14ac:dyDescent="0.25">
      <c r="B5" s="51" t="s">
        <v>41</v>
      </c>
      <c r="C5" s="145">
        <f>'2020 COS Eq Rates and Revenue'!K7*(1+'IRM Adjustment Factor'!$D$7)</f>
        <v>11310367.607327543</v>
      </c>
      <c r="D5" s="145">
        <f>SUM('2020 COS Eq Rates and Revenue'!L7:M7)*(1+'IRM Adjustment Factor'!$D$7)</f>
        <v>6333275.2664187551</v>
      </c>
      <c r="E5" s="152">
        <f>C5+D5</f>
        <v>17643642.873746298</v>
      </c>
      <c r="G5" s="51" t="s">
        <v>41</v>
      </c>
      <c r="H5" s="138">
        <f>C5*(1+'IRM Adjustment Factor'!$H$7)</f>
        <v>11615747.532725386</v>
      </c>
      <c r="I5" s="138">
        <f>D5*(1+'IRM Adjustment Factor'!$H$7)</f>
        <v>6504273.6986120613</v>
      </c>
      <c r="J5" s="139">
        <f>H5+I5</f>
        <v>18120021.231337447</v>
      </c>
      <c r="L5" s="51" t="s">
        <v>41</v>
      </c>
      <c r="M5" s="138">
        <f>H5*(1+'IRM Adjustment Factor'!$L$7)</f>
        <v>11929372.71610897</v>
      </c>
      <c r="N5" s="138">
        <f>I5*(1+'IRM Adjustment Factor'!$L$7)</f>
        <v>6679889.0884745866</v>
      </c>
      <c r="O5" s="139">
        <f>M5+N5</f>
        <v>18609261.804583557</v>
      </c>
    </row>
    <row r="6" spans="2:15" x14ac:dyDescent="0.25">
      <c r="B6" s="51" t="s">
        <v>13</v>
      </c>
      <c r="C6" s="145">
        <f>'2020 COS Eq Rates and Revenue'!K8*(1+'IRM Adjustment Factor'!$D$7)</f>
        <v>565531.04044304544</v>
      </c>
      <c r="D6" s="145">
        <f>SUM('2020 COS Eq Rates and Revenue'!L8:M8)*(1+'IRM Adjustment Factor'!$D$7)</f>
        <v>4143434.4243736118</v>
      </c>
      <c r="E6" s="152">
        <f t="shared" ref="E6:E8" si="0">C6+D6</f>
        <v>4708965.4648166569</v>
      </c>
      <c r="G6" s="51" t="s">
        <v>13</v>
      </c>
      <c r="H6" s="138">
        <f>C6*(1+'IRM Adjustment Factor'!$H$7)</f>
        <v>580800.37853500759</v>
      </c>
      <c r="I6" s="138">
        <f>D6*(1+'IRM Adjustment Factor'!$H$7)</f>
        <v>4255307.1538316989</v>
      </c>
      <c r="J6" s="139">
        <f t="shared" ref="J6:J8" si="1">H6+I6</f>
        <v>4836107.5323667061</v>
      </c>
      <c r="L6" s="51" t="s">
        <v>13</v>
      </c>
      <c r="M6" s="138">
        <f>H6*(1+'IRM Adjustment Factor'!$L$7)</f>
        <v>596481.9887554528</v>
      </c>
      <c r="N6" s="138">
        <f>I6*(1+'IRM Adjustment Factor'!$L$7)</f>
        <v>4370200.4469851544</v>
      </c>
      <c r="O6" s="139">
        <f t="shared" ref="O6:O8" si="2">M6+N6</f>
        <v>4966682.4357406069</v>
      </c>
    </row>
    <row r="7" spans="2:15" x14ac:dyDescent="0.25">
      <c r="B7" s="51" t="s">
        <v>15</v>
      </c>
      <c r="C7" s="145">
        <f>'2020 COS Eq Rates and Revenue'!K9*(1+'IRM Adjustment Factor'!$D$7)</f>
        <v>1977764.1076280116</v>
      </c>
      <c r="D7" s="145">
        <f>SUM('2020 COS Eq Rates and Revenue'!L9:M9)*(1+'IRM Adjustment Factor'!$D$7)</f>
        <v>892867.0034266857</v>
      </c>
      <c r="E7" s="152">
        <f t="shared" si="0"/>
        <v>2870631.1110546971</v>
      </c>
      <c r="G7" s="51" t="s">
        <v>15</v>
      </c>
      <c r="H7" s="138">
        <f>C7*(1+'IRM Adjustment Factor'!$H$7)</f>
        <v>2031163.7385339676</v>
      </c>
      <c r="I7" s="138">
        <f>D7*(1+'IRM Adjustment Factor'!$H$7)</f>
        <v>916974.41251920618</v>
      </c>
      <c r="J7" s="139">
        <f t="shared" si="1"/>
        <v>2948138.1510531739</v>
      </c>
      <c r="L7" s="51" t="s">
        <v>15</v>
      </c>
      <c r="M7" s="138">
        <f>H7*(1+'IRM Adjustment Factor'!$L$7)</f>
        <v>2086005.1594743845</v>
      </c>
      <c r="N7" s="138">
        <f>I7*(1+'IRM Adjustment Factor'!$L$7)</f>
        <v>941732.7216572247</v>
      </c>
      <c r="O7" s="139">
        <f t="shared" si="2"/>
        <v>3027737.881131609</v>
      </c>
    </row>
    <row r="8" spans="2:15" x14ac:dyDescent="0.25">
      <c r="B8" s="51" t="s">
        <v>16</v>
      </c>
      <c r="C8" s="145">
        <f>'2020 COS Eq Rates and Revenue'!K10*(1+'IRM Adjustment Factor'!$D$7)</f>
        <v>25570.79538424332</v>
      </c>
      <c r="D8" s="145">
        <f>SUM('2020 COS Eq Rates and Revenue'!L10:M10)*(1+'IRM Adjustment Factor'!$D$7)</f>
        <v>177061.59677787597</v>
      </c>
      <c r="E8" s="152">
        <f t="shared" si="0"/>
        <v>202632.39216211927</v>
      </c>
      <c r="G8" s="51" t="s">
        <v>16</v>
      </c>
      <c r="H8" s="138">
        <f>C8*(1+'IRM Adjustment Factor'!$H$7)</f>
        <v>26261.206859617887</v>
      </c>
      <c r="I8" s="138">
        <f>D8*(1+'IRM Adjustment Factor'!$H$7)</f>
        <v>181842.2598908786</v>
      </c>
      <c r="J8" s="139">
        <f t="shared" si="1"/>
        <v>208103.46675049647</v>
      </c>
      <c r="L8" s="51" t="s">
        <v>16</v>
      </c>
      <c r="M8" s="138">
        <f>H8*(1+'IRM Adjustment Factor'!$L$7)</f>
        <v>26970.259444827567</v>
      </c>
      <c r="N8" s="138">
        <f>I8*(1+'IRM Adjustment Factor'!$L$7)</f>
        <v>186752.00090793232</v>
      </c>
      <c r="O8" s="139">
        <f t="shared" si="2"/>
        <v>213722.26035275988</v>
      </c>
    </row>
    <row r="9" spans="2:15" ht="15.75" thickBot="1" x14ac:dyDescent="0.3">
      <c r="B9" s="36" t="s">
        <v>43</v>
      </c>
      <c r="C9" s="52">
        <f>SUM(C5:C8)</f>
        <v>13879233.550782844</v>
      </c>
      <c r="D9" s="52">
        <f>SUM(D5:D8)</f>
        <v>11546638.29099693</v>
      </c>
      <c r="E9" s="53">
        <f>SUM(E5:E8)</f>
        <v>25425871.841779768</v>
      </c>
      <c r="G9" s="36" t="s">
        <v>43</v>
      </c>
      <c r="H9" s="140">
        <f>SUM(H5:H8)</f>
        <v>14253972.856653981</v>
      </c>
      <c r="I9" s="140">
        <f>SUM(I5:I8)</f>
        <v>11858397.524853844</v>
      </c>
      <c r="J9" s="141">
        <f>SUM(J5:J8)</f>
        <v>26112370.381507821</v>
      </c>
      <c r="L9" s="36" t="s">
        <v>43</v>
      </c>
      <c r="M9" s="140">
        <f>SUM(M5:M8)</f>
        <v>14638830.123783635</v>
      </c>
      <c r="N9" s="140">
        <f>SUM(N5:N8)</f>
        <v>12178574.258024897</v>
      </c>
      <c r="O9" s="141">
        <f>SUM(O5:O8)</f>
        <v>26817404.381808531</v>
      </c>
    </row>
    <row r="10" spans="2:15" x14ac:dyDescent="0.25">
      <c r="B10" s="7"/>
      <c r="C10" s="58"/>
      <c r="D10" s="58"/>
      <c r="E10" s="58"/>
    </row>
    <row r="11" spans="2:15" x14ac:dyDescent="0.25">
      <c r="H11" s="318"/>
      <c r="I11" s="318"/>
      <c r="J11" s="142"/>
    </row>
    <row r="12" spans="2:15" ht="33.75" customHeight="1" x14ac:dyDescent="0.25">
      <c r="B12" s="317" t="s">
        <v>106</v>
      </c>
      <c r="C12" s="317"/>
      <c r="D12" s="317"/>
      <c r="E12" s="317"/>
      <c r="F12" s="317"/>
      <c r="G12" s="317"/>
      <c r="H12" s="317"/>
      <c r="I12" s="317"/>
      <c r="J12" s="317"/>
    </row>
    <row r="14" spans="2:15" x14ac:dyDescent="0.25">
      <c r="B14" s="59" t="s">
        <v>50</v>
      </c>
    </row>
    <row r="16" spans="2:15" x14ac:dyDescent="0.25">
      <c r="B16" s="5" t="s">
        <v>51</v>
      </c>
      <c r="G16" s="61">
        <f>'2020 COS Eq Rates and Revenue'!N11</f>
        <v>25025464.411200564</v>
      </c>
    </row>
    <row r="17" spans="2:8" x14ac:dyDescent="0.25">
      <c r="B17" s="5" t="s">
        <v>53</v>
      </c>
      <c r="G17" s="62">
        <f>'IRM Adjustment Factor'!D7</f>
        <v>1.6E-2</v>
      </c>
    </row>
    <row r="18" spans="2:8" x14ac:dyDescent="0.25">
      <c r="B18" s="5" t="s">
        <v>52</v>
      </c>
      <c r="G18" s="61">
        <f>G16*(1+G17)</f>
        <v>25425871.841779772</v>
      </c>
    </row>
    <row r="20" spans="2:8" x14ac:dyDescent="0.25">
      <c r="B20" s="60" t="str">
        <f>IF(E9=G18,"Total of Indexed Class Revenue Equals Indexed Total Revenue","Total of Indexed Class Revenue DOES NOT EQUAL Indexed Total Revenue")</f>
        <v>Total of Indexed Class Revenue Equals Indexed Total Revenue</v>
      </c>
    </row>
    <row r="21" spans="2:8" ht="18" customHeight="1" x14ac:dyDescent="0.25"/>
    <row r="22" spans="2:8" x14ac:dyDescent="0.25">
      <c r="B22" s="5" t="s">
        <v>97</v>
      </c>
      <c r="H22" s="61">
        <f>E9</f>
        <v>25425871.841779768</v>
      </c>
    </row>
    <row r="23" spans="2:8" x14ac:dyDescent="0.25">
      <c r="B23" s="5" t="s">
        <v>98</v>
      </c>
      <c r="H23" s="62">
        <f>'IRM Adjustment Factor'!H7</f>
        <v>2.7000000000000003E-2</v>
      </c>
    </row>
    <row r="24" spans="2:8" x14ac:dyDescent="0.25">
      <c r="B24" s="5" t="s">
        <v>99</v>
      </c>
      <c r="H24" s="61">
        <f>H22*(1+H23)</f>
        <v>26112370.381507821</v>
      </c>
    </row>
    <row r="26" spans="2:8" x14ac:dyDescent="0.25">
      <c r="B26" s="60" t="str">
        <f>IF(J9=H24,"Total of Indexed Class Revenue Equals Indexed Total Revenue","Total of Indexed Class Revenue DOES NOT EQUAL Indexed Total Revenue")</f>
        <v>Total of Indexed Class Revenue Equals Indexed Total Revenue</v>
      </c>
    </row>
    <row r="29" spans="2:8" x14ac:dyDescent="0.25">
      <c r="B29" s="5" t="s">
        <v>131</v>
      </c>
      <c r="H29" s="200">
        <f>J9</f>
        <v>26112370.381507821</v>
      </c>
    </row>
    <row r="30" spans="2:8" x14ac:dyDescent="0.25">
      <c r="B30" s="5" t="s">
        <v>132</v>
      </c>
      <c r="H30" s="201">
        <f>'IRM Adjustment Factor'!L7</f>
        <v>2.7000000000000003E-2</v>
      </c>
    </row>
    <row r="31" spans="2:8" x14ac:dyDescent="0.25">
      <c r="B31" s="5" t="s">
        <v>133</v>
      </c>
      <c r="H31" s="200">
        <f>H29*(1+H30)</f>
        <v>26817404.381808531</v>
      </c>
    </row>
    <row r="33" spans="2:2" x14ac:dyDescent="0.25">
      <c r="B33" s="60" t="str">
        <f>IF(O9=H31,"Total of Indexed Class Revenue Equals Indexed Total Revenue","Total of Indexed Class Revenue DOES NOT EQUAL Indexed Total Revenue")</f>
        <v>Total of Indexed Class Revenue Equals Indexed Total Revenue</v>
      </c>
    </row>
  </sheetData>
  <mergeCells count="11">
    <mergeCell ref="L2:O2"/>
    <mergeCell ref="L3:L4"/>
    <mergeCell ref="M3:O3"/>
    <mergeCell ref="B12:J12"/>
    <mergeCell ref="B2:E2"/>
    <mergeCell ref="B3:B4"/>
    <mergeCell ref="C3:E3"/>
    <mergeCell ref="G2:J2"/>
    <mergeCell ref="G3:G4"/>
    <mergeCell ref="H3:J3"/>
    <mergeCell ref="H11:I11"/>
  </mergeCells>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4E9-2019-4699-98F5-96F159A60E67}">
  <sheetPr>
    <tabColor theme="9" tint="0.79998168889431442"/>
    <pageSetUpPr fitToPage="1"/>
  </sheetPr>
  <dimension ref="B2:M9"/>
  <sheetViews>
    <sheetView showGridLines="0" workbookViewId="0">
      <selection activeCell="I21" sqref="I21"/>
    </sheetView>
  </sheetViews>
  <sheetFormatPr defaultColWidth="9.140625" defaultRowHeight="15" x14ac:dyDescent="0.25"/>
  <cols>
    <col min="1" max="1" width="2.85546875" style="5" customWidth="1"/>
    <col min="2" max="2" width="29.140625" style="5" bestFit="1" customWidth="1"/>
    <col min="3" max="3" width="7.140625" style="5" customWidth="1"/>
    <col min="4" max="4" width="10.140625" style="5" customWidth="1"/>
    <col min="5" max="5" width="12.140625" style="5" customWidth="1"/>
    <col min="6" max="6" width="10.7109375" style="5" customWidth="1"/>
    <col min="7" max="7" width="11" style="5" customWidth="1"/>
    <col min="8" max="9" width="12.85546875" style="5" customWidth="1"/>
    <col min="10" max="12" width="10.7109375" style="5" customWidth="1"/>
    <col min="13" max="13" width="10.7109375" style="5" bestFit="1" customWidth="1"/>
    <col min="14" max="16384" width="9.140625" style="5"/>
  </cols>
  <sheetData>
    <row r="2" spans="2:13" ht="15.75" x14ac:dyDescent="0.25">
      <c r="B2" s="253" t="s">
        <v>66</v>
      </c>
      <c r="C2" s="253"/>
      <c r="D2" s="253"/>
      <c r="E2" s="253"/>
      <c r="F2" s="253"/>
      <c r="G2" s="253"/>
      <c r="H2" s="253"/>
      <c r="I2" s="253"/>
      <c r="J2" s="253"/>
      <c r="K2" s="253"/>
      <c r="L2" s="253"/>
      <c r="M2" s="65"/>
    </row>
    <row r="3" spans="2:13" ht="15.75" thickBot="1" x14ac:dyDescent="0.3"/>
    <row r="4" spans="2:13" x14ac:dyDescent="0.25">
      <c r="B4" s="319" t="s">
        <v>119</v>
      </c>
      <c r="C4" s="320"/>
      <c r="D4" s="320"/>
      <c r="E4" s="320"/>
      <c r="F4" s="320"/>
      <c r="G4" s="320"/>
      <c r="H4" s="320"/>
      <c r="I4" s="320"/>
      <c r="J4" s="320"/>
      <c r="K4" s="320"/>
      <c r="L4" s="321"/>
      <c r="M4" s="71"/>
    </row>
    <row r="5" spans="2:13" x14ac:dyDescent="0.25">
      <c r="B5" s="322" t="s">
        <v>27</v>
      </c>
      <c r="C5" s="323" t="s">
        <v>6</v>
      </c>
      <c r="D5" s="324" t="s">
        <v>28</v>
      </c>
      <c r="E5" s="325" t="s">
        <v>33</v>
      </c>
      <c r="F5" s="287" t="s">
        <v>134</v>
      </c>
      <c r="G5" s="288"/>
      <c r="H5" s="327" t="s">
        <v>126</v>
      </c>
      <c r="I5" s="328"/>
      <c r="J5" s="287" t="s">
        <v>32</v>
      </c>
      <c r="K5" s="279"/>
      <c r="L5" s="280"/>
      <c r="M5" s="71"/>
    </row>
    <row r="6" spans="2:13" ht="45" x14ac:dyDescent="0.25">
      <c r="B6" s="322"/>
      <c r="C6" s="323"/>
      <c r="D6" s="324"/>
      <c r="E6" s="326"/>
      <c r="F6" s="49" t="s">
        <v>8</v>
      </c>
      <c r="G6" s="49" t="s">
        <v>37</v>
      </c>
      <c r="H6" s="208" t="s">
        <v>8</v>
      </c>
      <c r="I6" s="208" t="s">
        <v>37</v>
      </c>
      <c r="J6" s="49" t="s">
        <v>38</v>
      </c>
      <c r="K6" s="49" t="s">
        <v>39</v>
      </c>
      <c r="L6" s="50" t="s">
        <v>40</v>
      </c>
    </row>
    <row r="7" spans="2:13" x14ac:dyDescent="0.25">
      <c r="B7" s="72" t="s">
        <v>15</v>
      </c>
      <c r="C7" s="149" t="s">
        <v>33</v>
      </c>
      <c r="D7" s="73">
        <f>'2020 COS Eq Rates and Revenue'!D9</f>
        <v>2960.1858518389645</v>
      </c>
      <c r="E7" s="73">
        <f>'2020 COS Eq Rates and Revenue'!E9</f>
        <v>5874372.3645382812</v>
      </c>
      <c r="F7" s="180">
        <f>'Rate Summary'!F21</f>
        <v>69.459999999999994</v>
      </c>
      <c r="G7" s="181">
        <f>'Rate Summary'!F22</f>
        <v>8.1799999999999998E-2</v>
      </c>
      <c r="H7" s="209">
        <f>ROUND(F7*(1+'IRM Adjustment Factor'!L7),2)</f>
        <v>71.34</v>
      </c>
      <c r="I7" s="210">
        <f>ROUND(G7*(1+'IRM Adjustment Factor'!L7),4)</f>
        <v>8.4000000000000005E-2</v>
      </c>
      <c r="J7" s="178">
        <f>D7*H7*12</f>
        <v>2534155.9040423008</v>
      </c>
      <c r="K7" s="178">
        <f>E7*I7</f>
        <v>493447.27862121566</v>
      </c>
      <c r="L7" s="179">
        <f>SUM(J7:K7)</f>
        <v>3027603.1826635166</v>
      </c>
    </row>
    <row r="8" spans="2:13" ht="15.75" thickBot="1" x14ac:dyDescent="0.3">
      <c r="B8" s="218" t="s">
        <v>16</v>
      </c>
      <c r="C8" s="219" t="s">
        <v>33</v>
      </c>
      <c r="D8" s="220">
        <f>'2020 COS Eq Rates and Revenue'!D10</f>
        <v>1127.6033016645551</v>
      </c>
      <c r="E8" s="220">
        <f>'2020 COS Eq Rates and Revenue'!E10</f>
        <v>581104.4520676051</v>
      </c>
      <c r="F8" s="221">
        <f>'Rate Summary'!F25</f>
        <v>1.94</v>
      </c>
      <c r="G8" s="222">
        <f>'Rate Summary'!F26</f>
        <v>0.31290000000000001</v>
      </c>
      <c r="H8" s="223">
        <f>ROUND(F8*(1+'IRM Adjustment Factor'!L7),2)</f>
        <v>1.99</v>
      </c>
      <c r="I8" s="224">
        <f>ROUND(G8*(1+'IRM Adjustment Factor'!L7),4)</f>
        <v>0.32129999999999997</v>
      </c>
      <c r="J8" s="225">
        <f>D8*H8*12</f>
        <v>26927.166843749575</v>
      </c>
      <c r="K8" s="225">
        <f>E8*I8</f>
        <v>186708.86044932151</v>
      </c>
      <c r="L8" s="226">
        <f>SUM(J8:K8)</f>
        <v>213636.02729307109</v>
      </c>
    </row>
    <row r="9" spans="2:13" ht="15.75" hidden="1" thickBot="1" x14ac:dyDescent="0.3">
      <c r="B9" s="212" t="s">
        <v>43</v>
      </c>
      <c r="C9" s="213"/>
      <c r="D9" s="214">
        <f>SUM(D7:D8)</f>
        <v>4087.7891535035196</v>
      </c>
      <c r="E9" s="214">
        <f>SUM(E7:E8)</f>
        <v>6455476.8166058864</v>
      </c>
      <c r="F9" s="215"/>
      <c r="G9" s="215"/>
      <c r="H9" s="215"/>
      <c r="I9" s="215"/>
      <c r="J9" s="216">
        <f>J7+J8</f>
        <v>2561083.0708860504</v>
      </c>
      <c r="K9" s="216">
        <f>K7+K8</f>
        <v>680156.13907053717</v>
      </c>
      <c r="L9" s="217">
        <f>L7+L8</f>
        <v>3241239.2099565878</v>
      </c>
    </row>
  </sheetData>
  <mergeCells count="9">
    <mergeCell ref="B2:L2"/>
    <mergeCell ref="B4:L4"/>
    <mergeCell ref="B5:B6"/>
    <mergeCell ref="C5:C6"/>
    <mergeCell ref="D5:D6"/>
    <mergeCell ref="E5:E6"/>
    <mergeCell ref="F5:G5"/>
    <mergeCell ref="J5:L5"/>
    <mergeCell ref="H5:I5"/>
  </mergeCells>
  <pageMargins left="0.7" right="0.7" top="0.75" bottom="0.75" header="0.3" footer="0.3"/>
  <pageSetup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Rate Summary</vt:lpstr>
      <vt:lpstr>2020 COS Cost Allocation</vt:lpstr>
      <vt:lpstr>2020 COS Eq Rates and Revenue</vt:lpstr>
      <vt:lpstr>RRRP Rate Design</vt:lpstr>
      <vt:lpstr>Equiv Rates for ACM Model</vt:lpstr>
      <vt:lpstr>IRM Adjustment Factor</vt:lpstr>
      <vt:lpstr>Indexed Revenue</vt:lpstr>
      <vt:lpstr>Non-RRRP Rate Design</vt:lpstr>
      <vt:lpstr>R1(i) Decoupling</vt:lpstr>
      <vt:lpstr>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Vander Vloet, Brian</cp:lastModifiedBy>
  <dcterms:created xsi:type="dcterms:W3CDTF">2020-05-21T17:58:27Z</dcterms:created>
  <dcterms:modified xsi:type="dcterms:W3CDTF">2022-08-08T13:59:52Z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14.8</vt:lpwstr>
  </property>
</Properties>
</file>