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iltonhydro.sharepoint.com/sites/2023ratecase/Shared Documents/1. 2023_CoS_Main/3. CoS_Models/06. Settlement Models/Settlement 20220826/"/>
    </mc:Choice>
  </mc:AlternateContent>
  <xr:revisionPtr revIDLastSave="0" documentId="8_{3F79F032-200E-42F5-9256-1C9ECC20692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</externalReferences>
  <definedNames>
    <definedName name="_Parse_Out" localSheetId="1" hidden="1">#REF!</definedName>
    <definedName name="_Parse_Out" hidden="1">#REF!</definedName>
    <definedName name="ApprovedYr">'[1]Z1.ModelVariables'!$C$12</definedName>
    <definedName name="AS2DocOpenMode" hidden="1">"AS2DocumentEdit"</definedName>
    <definedName name="ccar">#REF!</definedName>
    <definedName name="CRLF">'[1]Z1.ModelVariables'!$C$10</definedName>
    <definedName name="CRLF2">'[1]Z1.ModelVariables'!$C$11</definedName>
    <definedName name="DeferralApprov">'[1]A1.Admin'!#REF!</definedName>
    <definedName name="EBNUMBER">'[2]LDC Info'!$E$16</definedName>
    <definedName name="FakeBlank">'[1]Z1.ModelVariables'!$C$14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ILsModel">'[1]E5.TaxResults'!$D$9</definedName>
    <definedName name="RMrelease">'[1]Z1.ModelVariables'!$C$13</definedName>
    <definedName name="TermsAccepted">#REF!</definedName>
    <definedName name="TestYr">'[1]A1.Admin'!$C$13</definedName>
    <definedName name="Years">'[1]C5.PassthruRates'!#REF!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3" i="1" l="1"/>
  <c r="H156" i="1"/>
  <c r="H220" i="1"/>
  <c r="H136" i="1" l="1"/>
  <c r="H137" i="1" s="1"/>
  <c r="H152" i="1" s="1"/>
  <c r="H206" i="1" s="1"/>
  <c r="J6" i="4"/>
  <c r="K13" i="4" l="1"/>
  <c r="L13" i="4" s="1"/>
  <c r="M13" i="4" s="1"/>
  <c r="K110" i="4"/>
  <c r="L110" i="4" s="1"/>
  <c r="M110" i="4" s="1"/>
  <c r="K93" i="4"/>
  <c r="L93" i="4" s="1"/>
  <c r="M93" i="4" s="1"/>
  <c r="K94" i="4"/>
  <c r="L94" i="4" s="1"/>
  <c r="M94" i="4" s="1"/>
  <c r="K95" i="4"/>
  <c r="L95" i="4"/>
  <c r="M95" i="4" s="1"/>
  <c r="K96" i="4"/>
  <c r="L96" i="4"/>
  <c r="M96" i="4" s="1"/>
  <c r="K97" i="4"/>
  <c r="L97" i="4" s="1"/>
  <c r="M97" i="4" s="1"/>
  <c r="K98" i="4"/>
  <c r="L98" i="4" s="1"/>
  <c r="M98" i="4" s="1"/>
  <c r="K99" i="4"/>
  <c r="L99" i="4" s="1"/>
  <c r="M99" i="4" s="1"/>
  <c r="K102" i="4"/>
  <c r="L102" i="4" s="1"/>
  <c r="M102" i="4" s="1"/>
  <c r="K103" i="4"/>
  <c r="L103" i="4"/>
  <c r="M103" i="4" s="1"/>
  <c r="K104" i="4"/>
  <c r="L104" i="4"/>
  <c r="M104" i="4"/>
  <c r="K105" i="4"/>
  <c r="L105" i="4" s="1"/>
  <c r="M105" i="4" s="1"/>
  <c r="K107" i="4"/>
  <c r="L107" i="4"/>
  <c r="M107" i="4" s="1"/>
  <c r="K89" i="4"/>
  <c r="L89" i="4" s="1"/>
  <c r="M89" i="4" s="1"/>
  <c r="K92" i="4"/>
  <c r="L92" i="4" s="1"/>
  <c r="M92" i="4" s="1"/>
  <c r="K88" i="4"/>
  <c r="L88" i="4" s="1"/>
  <c r="M88" i="4" s="1"/>
  <c r="K81" i="4"/>
  <c r="L81" i="4" s="1"/>
  <c r="M81" i="4" s="1"/>
  <c r="K82" i="4"/>
  <c r="L82" i="4" s="1"/>
  <c r="M82" i="4" s="1"/>
  <c r="K83" i="4"/>
  <c r="L83" i="4"/>
  <c r="M83" i="4" s="1"/>
  <c r="K80" i="4"/>
  <c r="L80" i="4" s="1"/>
  <c r="M80" i="4" s="1"/>
  <c r="K70" i="4"/>
  <c r="L70" i="4" s="1"/>
  <c r="M70" i="4" s="1"/>
  <c r="K71" i="4"/>
  <c r="L71" i="4" s="1"/>
  <c r="M71" i="4" s="1"/>
  <c r="K72" i="4"/>
  <c r="L72" i="4" s="1"/>
  <c r="M72" i="4" s="1"/>
  <c r="K73" i="4"/>
  <c r="L73" i="4" s="1"/>
  <c r="M73" i="4" s="1"/>
  <c r="K74" i="4"/>
  <c r="L74" i="4"/>
  <c r="M74" i="4" s="1"/>
  <c r="K75" i="4"/>
  <c r="L75" i="4" s="1"/>
  <c r="M75" i="4" s="1"/>
  <c r="K76" i="4"/>
  <c r="L76" i="4"/>
  <c r="M76" i="4" s="1"/>
  <c r="K77" i="4"/>
  <c r="L77" i="4" s="1"/>
  <c r="M77" i="4" s="1"/>
  <c r="K69" i="4"/>
  <c r="L69" i="4" s="1"/>
  <c r="M69" i="4" s="1"/>
  <c r="K54" i="4"/>
  <c r="L54" i="4" s="1"/>
  <c r="M54" i="4" s="1"/>
  <c r="K55" i="4"/>
  <c r="L55" i="4" s="1"/>
  <c r="M55" i="4" s="1"/>
  <c r="K56" i="4"/>
  <c r="L56" i="4" s="1"/>
  <c r="M56" i="4" s="1"/>
  <c r="K57" i="4"/>
  <c r="L57" i="4"/>
  <c r="M57" i="4"/>
  <c r="K58" i="4"/>
  <c r="L58" i="4" s="1"/>
  <c r="M58" i="4" s="1"/>
  <c r="K59" i="4"/>
  <c r="L59" i="4" s="1"/>
  <c r="M59" i="4" s="1"/>
  <c r="K60" i="4"/>
  <c r="L60" i="4"/>
  <c r="M60" i="4" s="1"/>
  <c r="K46" i="4"/>
  <c r="L46" i="4" s="1"/>
  <c r="M46" i="4" s="1"/>
  <c r="K47" i="4"/>
  <c r="L47" i="4" s="1"/>
  <c r="M47" i="4" s="1"/>
  <c r="K48" i="4"/>
  <c r="L48" i="4"/>
  <c r="M48" i="4" s="1"/>
  <c r="K49" i="4"/>
  <c r="L49" i="4"/>
  <c r="M49" i="4"/>
  <c r="K50" i="4"/>
  <c r="L50" i="4" s="1"/>
  <c r="M50" i="4" s="1"/>
  <c r="K51" i="4"/>
  <c r="L51" i="4" s="1"/>
  <c r="M51" i="4" s="1"/>
  <c r="K52" i="4"/>
  <c r="L52" i="4"/>
  <c r="M52" i="4" s="1"/>
  <c r="K53" i="4"/>
  <c r="L53" i="4" s="1"/>
  <c r="M53" i="4" s="1"/>
  <c r="K45" i="4"/>
  <c r="L45" i="4" s="1"/>
  <c r="M45" i="4" s="1"/>
  <c r="K22" i="4"/>
  <c r="L22" i="4" s="1"/>
  <c r="M22" i="4" s="1"/>
  <c r="K21" i="4"/>
  <c r="L21" i="4" s="1"/>
  <c r="M21" i="4" s="1"/>
  <c r="K20" i="4"/>
  <c r="L20" i="4" s="1"/>
  <c r="M20" i="4" s="1"/>
  <c r="L15" i="4"/>
  <c r="M15" i="4" s="1"/>
  <c r="L16" i="4"/>
  <c r="M16" i="4"/>
  <c r="L17" i="4"/>
  <c r="M17" i="4" s="1"/>
  <c r="K17" i="4"/>
  <c r="K16" i="4"/>
  <c r="K15" i="4"/>
  <c r="K14" i="4"/>
  <c r="L14" i="4" s="1"/>
  <c r="M14" i="4" s="1"/>
  <c r="G5" i="1" l="1"/>
  <c r="F136" i="1" l="1"/>
  <c r="F139" i="1"/>
  <c r="F135" i="1"/>
  <c r="F134" i="1"/>
  <c r="H6" i="4"/>
  <c r="I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M110" i="1" s="1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145" i="1" l="1"/>
  <c r="H109" i="4"/>
  <c r="M98" i="1"/>
  <c r="M130" i="1" s="1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247" i="1" l="1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H64" i="4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I120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39" i="1"/>
  <c r="H116" i="1"/>
  <c r="H29" i="4" l="1"/>
  <c r="H31" i="4" s="1"/>
  <c r="I29" i="4"/>
  <c r="K91" i="4"/>
  <c r="J121" i="4"/>
  <c r="J118" i="4"/>
  <c r="J120" i="4"/>
  <c r="J78" i="4"/>
  <c r="J119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J130" i="1"/>
  <c r="I153" i="1"/>
  <c r="I207" i="1" s="1"/>
  <c r="I128" i="1"/>
  <c r="I157" i="1" s="1"/>
  <c r="I221" i="1" s="1"/>
  <c r="J139" i="1"/>
  <c r="I143" i="1"/>
  <c r="I131" i="1"/>
  <c r="H154" i="1"/>
  <c r="H208" i="1" s="1"/>
  <c r="H215" i="1" s="1"/>
  <c r="H218" i="1"/>
  <c r="H211" i="1"/>
  <c r="I136" i="1"/>
  <c r="I137" i="1" s="1"/>
  <c r="K64" i="4" l="1"/>
  <c r="M114" i="4"/>
  <c r="L114" i="4"/>
  <c r="K120" i="4"/>
  <c r="K78" i="4"/>
  <c r="L109" i="4"/>
  <c r="M109" i="4"/>
  <c r="M86" i="4"/>
  <c r="L86" i="4"/>
  <c r="K121" i="4"/>
  <c r="K118" i="4"/>
  <c r="L112" i="4"/>
  <c r="M112" i="4"/>
  <c r="J115" i="4"/>
  <c r="J29" i="4" s="1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<sst xmlns="http://schemas.openxmlformats.org/spreadsheetml/2006/main" count="516" uniqueCount="271">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</sst>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7" fillId="0" borderId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4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/>
    <xf numFmtId="175" fontId="0" fillId="0" borderId="0" xfId="0" applyNumberFormat="1"/>
    <xf numFmtId="165" fontId="0" fillId="0" borderId="0" xfId="1" applyFont="1" applyBorder="1"/>
    <xf numFmtId="167" fontId="7" fillId="0" borderId="0" xfId="1" applyNumberFormat="1" applyFont="1"/>
    <xf numFmtId="167" fontId="7" fillId="0" borderId="0" xfId="0" applyNumberFormat="1" applyFont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7">
    <cellStyle name="Comma" xfId="1" builtinId="3"/>
    <cellStyle name="Comma 2" xfId="5" xr:uid="{02657A76-B528-4B33-99B6-5BF7E88E1B63}"/>
    <cellStyle name="Normal" xfId="0" builtinId="0"/>
    <cellStyle name="Normal 2" xfId="4" xr:uid="{05122353-A722-4921-BC41-5455292117F9}"/>
    <cellStyle name="Normal 30" xfId="3" xr:uid="{00000000-0005-0000-0000-000002000000}"/>
    <cellStyle name="Percent" xfId="2" builtinId="5"/>
    <cellStyle name="Percent 2" xfId="6" xr:uid="{C8297C11-7923-49DA-A8BA-98029E32C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lair\Documents\CIP\Swan%20Lake%20Pumped%20Storage%20Rate%20Model%20no%20level%20al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%20and%20Models\OEB%20Models\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Swan Lake cost Summary"/>
      <sheetName val="PacifiCorp Assumptions"/>
      <sheetName val="C2.LoadForecast"/>
      <sheetName val="C3.DistRevenue"/>
      <sheetName val="C4.CommodityPrice"/>
      <sheetName val="C6.LowVoltage"/>
      <sheetName val="C7.ServiceRevenues"/>
      <sheetName val="C8.RevenueOffsets"/>
      <sheetName val="D2.Debt"/>
      <sheetName val="E1.BridgeYrPL"/>
      <sheetName val="E2.TestYrPL"/>
      <sheetName val="E3.CapitalInfo"/>
      <sheetName val="C5.PassthruRates"/>
      <sheetName val="D1.RateBase"/>
      <sheetName val="D3.CapitalStructure"/>
      <sheetName val="E4.TaxEstimate"/>
      <sheetName val="E5.TaxResults"/>
      <sheetName val="F1.RevRequirement"/>
      <sheetName val="F2.DataforCostAllocation"/>
      <sheetName val="F2.CostAllocation"/>
      <sheetName val="F5.FixedVarRevenue"/>
      <sheetName val="I1 Intro"/>
      <sheetName val="F3.RevenueAllocation"/>
      <sheetName val="F5.RateDesign"/>
      <sheetName val="F6.TotalRates"/>
      <sheetName val="F7.Financing Requirements"/>
      <sheetName val="F7.Levelized Passthrough-unused"/>
      <sheetName val="I5.1 Misc Data"/>
      <sheetName val="I5.2 Weighting Factors"/>
      <sheetName val="I7.1 Meter Capital"/>
      <sheetName val="I7.2 Meter Reading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E3 PLCC"/>
      <sheetName val="H1.RatesCheck"/>
      <sheetName val="H2.FinalRate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trend"/>
      <sheetName val="X32.RevSuffDefvariances"/>
      <sheetName val="X33.RevenueReq"/>
      <sheetName val="X91.RatesSched"/>
      <sheetName val="Assumptions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</sheetNames>
    <sheetDataSet>
      <sheetData sheetId="0" refreshError="1"/>
      <sheetData sheetId="1">
        <row r="13">
          <cell r="C13">
            <v>2028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15">
          <cell r="B115" t="str">
            <v>No Levelization</v>
          </cell>
        </row>
      </sheetData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2">
          <cell r="B2" t="str">
            <v>Swan Lake Pumped Storage ()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1900 Approved</v>
          </cell>
        </row>
        <row r="13">
          <cell r="C13" t="str">
            <v>1.0</v>
          </cell>
        </row>
        <row r="14">
          <cell r="C14" t="str">
            <v> </v>
          </cell>
        </row>
      </sheetData>
      <sheetData sheetId="8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A123"/>
  <sheetViews>
    <sheetView zoomScale="90" zoomScaleNormal="90" workbookViewId="0">
      <selection activeCell="I24" sqref="I24"/>
    </sheetView>
  </sheetViews>
  <sheetFormatPr defaultColWidth="9" defaultRowHeight="12.6" x14ac:dyDescent="0.25"/>
  <cols>
    <col min="2" max="2" width="11.77734375" style="2" customWidth="1"/>
    <col min="3" max="3" width="3.21875" customWidth="1"/>
    <col min="4" max="4" width="7.21875" customWidth="1"/>
    <col min="6" max="6" width="48.21875" customWidth="1"/>
    <col min="7" max="13" width="14.21875" customWidth="1"/>
    <col min="14" max="14" width="46.5546875" style="9" customWidth="1"/>
    <col min="15" max="15" width="24.5546875" customWidth="1"/>
    <col min="16" max="16" width="16.21875" customWidth="1"/>
    <col min="20" max="20" width="29.21875" customWidth="1"/>
    <col min="21" max="21" width="15.77734375" customWidth="1"/>
    <col min="22" max="22" width="13.21875" customWidth="1"/>
    <col min="23" max="23" width="11" customWidth="1"/>
  </cols>
  <sheetData>
    <row r="2" spans="2:15" ht="22.8" x14ac:dyDescent="0.4">
      <c r="C2" s="232" t="s">
        <v>189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2:15" ht="19.5" customHeight="1" x14ac:dyDescent="0.3">
      <c r="C3" s="233" t="str">
        <f>IF(F5="Click to Choose an LDC","",F5)</f>
        <v>Milton Hydro Distribution Inc.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2:15" ht="19.5" customHeight="1" thickBot="1" x14ac:dyDescent="0.35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3">
      <c r="B5" s="88" t="s">
        <v>264</v>
      </c>
      <c r="E5" s="9"/>
      <c r="F5" s="89" t="s">
        <v>229</v>
      </c>
      <c r="G5" s="2" t="s">
        <v>175</v>
      </c>
      <c r="H5" s="2" t="s">
        <v>175</v>
      </c>
      <c r="I5" s="2" t="s">
        <v>176</v>
      </c>
      <c r="J5" s="2" t="s">
        <v>174</v>
      </c>
      <c r="K5" s="234" t="s">
        <v>177</v>
      </c>
      <c r="L5" s="234"/>
      <c r="M5" s="234"/>
      <c r="O5" s="4"/>
    </row>
    <row r="6" spans="2:15" ht="36" customHeight="1" x14ac:dyDescent="0.4">
      <c r="B6" s="4" t="s">
        <v>180</v>
      </c>
      <c r="C6" s="59"/>
      <c r="G6" s="2">
        <v>2020</v>
      </c>
      <c r="H6" s="2">
        <f>G6+1</f>
        <v>2021</v>
      </c>
      <c r="I6" s="2">
        <f t="shared" ref="I6:M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>
        <f t="shared" si="0"/>
        <v>2026</v>
      </c>
      <c r="N6" s="94" t="s">
        <v>266</v>
      </c>
      <c r="O6" s="2"/>
    </row>
    <row r="8" spans="2:15" x14ac:dyDescent="0.25">
      <c r="C8" s="8" t="s">
        <v>85</v>
      </c>
      <c r="D8" s="8"/>
      <c r="E8" s="2"/>
      <c r="H8" s="234"/>
      <c r="I8" s="234"/>
      <c r="J8" s="234"/>
      <c r="K8" s="234"/>
      <c r="L8" s="234"/>
      <c r="M8" s="234"/>
    </row>
    <row r="9" spans="2:15" x14ac:dyDescent="0.25">
      <c r="B9" s="2">
        <v>1</v>
      </c>
      <c r="D9" s="9" t="s">
        <v>86</v>
      </c>
      <c r="G9" s="54">
        <f>'Benchmarking Calculations'!G92</f>
        <v>9705878</v>
      </c>
      <c r="H9" s="81">
        <v>8790584</v>
      </c>
      <c r="I9" s="81">
        <v>13961074</v>
      </c>
      <c r="J9" s="81">
        <v>10699225</v>
      </c>
      <c r="K9" s="81">
        <v>11443000</v>
      </c>
      <c r="L9" s="81">
        <v>10295000</v>
      </c>
      <c r="M9" s="81">
        <v>12089000</v>
      </c>
      <c r="N9" s="9" t="s">
        <v>172</v>
      </c>
      <c r="O9" s="56"/>
    </row>
    <row r="10" spans="2:15" x14ac:dyDescent="0.25">
      <c r="B10" s="2">
        <v>2</v>
      </c>
      <c r="D10" s="9" t="s">
        <v>87</v>
      </c>
      <c r="G10" s="54">
        <f>'Benchmarking Calculations'!G93</f>
        <v>0</v>
      </c>
      <c r="H10" s="81">
        <f>G10</f>
        <v>0</v>
      </c>
      <c r="I10" s="81">
        <f t="shared" ref="I10:M10" si="1">H10</f>
        <v>0</v>
      </c>
      <c r="J10" s="81">
        <f t="shared" si="1"/>
        <v>0</v>
      </c>
      <c r="K10" s="81">
        <f t="shared" si="1"/>
        <v>0</v>
      </c>
      <c r="L10" s="81">
        <f t="shared" si="1"/>
        <v>0</v>
      </c>
      <c r="M10" s="81">
        <f t="shared" si="1"/>
        <v>0</v>
      </c>
      <c r="N10" s="9" t="s">
        <v>172</v>
      </c>
      <c r="O10" s="56"/>
    </row>
    <row r="11" spans="2:15" x14ac:dyDescent="0.25">
      <c r="E11" s="2"/>
      <c r="G11" s="54"/>
      <c r="O11" s="56"/>
    </row>
    <row r="12" spans="2:15" x14ac:dyDescent="0.25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5">
      <c r="B13" s="2">
        <v>3</v>
      </c>
      <c r="D13" t="s">
        <v>89</v>
      </c>
      <c r="G13" s="54">
        <f>'Benchmarking Calculations'!G96</f>
        <v>41221</v>
      </c>
      <c r="H13" s="81">
        <v>42082</v>
      </c>
      <c r="I13" s="81">
        <v>42939.720562770082</v>
      </c>
      <c r="J13" s="81">
        <v>43856.349756070565</v>
      </c>
      <c r="K13" s="81">
        <f>J13*1.01</f>
        <v>44294.913253631268</v>
      </c>
      <c r="L13" s="81">
        <f t="shared" ref="L13:M13" si="2">K13*1.01</f>
        <v>44737.862386167581</v>
      </c>
      <c r="M13" s="81">
        <f t="shared" si="2"/>
        <v>45185.241010029255</v>
      </c>
      <c r="N13" s="9" t="s">
        <v>172</v>
      </c>
      <c r="O13" s="56"/>
    </row>
    <row r="14" spans="2:15" x14ac:dyDescent="0.25">
      <c r="B14" s="2">
        <v>4</v>
      </c>
      <c r="D14" t="s">
        <v>90</v>
      </c>
      <c r="G14" s="54">
        <f>'Benchmarking Calculations'!G97</f>
        <v>907146501</v>
      </c>
      <c r="H14" s="81">
        <v>933034649</v>
      </c>
      <c r="I14" s="81">
        <v>915919500.94338608</v>
      </c>
      <c r="J14" s="81">
        <v>925987880.81936657</v>
      </c>
      <c r="K14" s="81">
        <f>J14</f>
        <v>925987880.81936657</v>
      </c>
      <c r="L14" s="81">
        <f t="shared" ref="L14:M14" si="3">K14</f>
        <v>925987880.81936657</v>
      </c>
      <c r="M14" s="81">
        <f t="shared" si="3"/>
        <v>925987880.81936657</v>
      </c>
      <c r="N14" s="9" t="s">
        <v>172</v>
      </c>
      <c r="O14" s="56"/>
    </row>
    <row r="15" spans="2:15" x14ac:dyDescent="0.25">
      <c r="B15" s="2">
        <v>5</v>
      </c>
      <c r="D15" t="s">
        <v>91</v>
      </c>
      <c r="G15" s="54">
        <f>'Benchmarking Calculations'!G98</f>
        <v>194762</v>
      </c>
      <c r="H15" s="81">
        <v>190210</v>
      </c>
      <c r="I15" s="81">
        <v>181326.90539383661</v>
      </c>
      <c r="J15" s="81">
        <v>183583.36230097598</v>
      </c>
      <c r="K15" s="81">
        <f>J15</f>
        <v>183583.36230097598</v>
      </c>
      <c r="L15" s="81">
        <f t="shared" ref="L15:M15" si="4">K15</f>
        <v>183583.36230097598</v>
      </c>
      <c r="M15" s="81">
        <f t="shared" si="4"/>
        <v>183583.36230097598</v>
      </c>
      <c r="N15" s="9" t="s">
        <v>172</v>
      </c>
      <c r="O15" s="56"/>
    </row>
    <row r="16" spans="2:15" x14ac:dyDescent="0.25">
      <c r="B16" s="2">
        <v>6</v>
      </c>
      <c r="D16" s="9" t="s">
        <v>190</v>
      </c>
      <c r="G16" s="54">
        <f>'Benchmarking Calculations'!G99</f>
        <v>2767</v>
      </c>
      <c r="H16" s="81">
        <v>2814</v>
      </c>
      <c r="I16" s="81">
        <v>2863</v>
      </c>
      <c r="J16" s="81">
        <v>2914</v>
      </c>
      <c r="K16" s="81">
        <f>J16</f>
        <v>2914</v>
      </c>
      <c r="L16" s="81">
        <f t="shared" ref="L16:M16" si="5">K16</f>
        <v>2914</v>
      </c>
      <c r="M16" s="81">
        <f t="shared" si="5"/>
        <v>2914</v>
      </c>
      <c r="N16" s="9" t="s">
        <v>172</v>
      </c>
      <c r="O16" s="56"/>
    </row>
    <row r="17" spans="2:15" x14ac:dyDescent="0.25">
      <c r="B17" s="2">
        <v>7</v>
      </c>
      <c r="C17" s="2"/>
      <c r="D17" t="s">
        <v>121</v>
      </c>
      <c r="F17" s="9"/>
      <c r="G17" s="58">
        <f>'Benchmarking Calculations'!G145</f>
        <v>0.41448768101022582</v>
      </c>
      <c r="H17" s="207">
        <v>0.38040000000000002</v>
      </c>
      <c r="I17" s="207">
        <v>0.34411320419660796</v>
      </c>
      <c r="J17" s="207">
        <v>0.29389888793705854</v>
      </c>
      <c r="K17" s="207">
        <f>J17</f>
        <v>0.29389888793705854</v>
      </c>
      <c r="L17" s="207">
        <f t="shared" ref="L17:M17" si="6">K17</f>
        <v>0.29389888793705854</v>
      </c>
      <c r="M17" s="207">
        <f t="shared" si="6"/>
        <v>0.29389888793705854</v>
      </c>
      <c r="N17" s="9" t="s">
        <v>172</v>
      </c>
      <c r="O17" s="56"/>
    </row>
    <row r="18" spans="2:15" x14ac:dyDescent="0.25">
      <c r="C18" s="2"/>
      <c r="F18" s="9"/>
      <c r="G18" s="34"/>
      <c r="H18" s="53"/>
      <c r="I18" s="38"/>
    </row>
    <row r="19" spans="2:15" x14ac:dyDescent="0.25">
      <c r="C19" s="8" t="s">
        <v>165</v>
      </c>
      <c r="F19" s="9"/>
      <c r="G19" s="34"/>
      <c r="H19" s="234"/>
      <c r="I19" s="234"/>
      <c r="J19" s="234"/>
      <c r="K19" s="234"/>
      <c r="L19" s="234"/>
      <c r="M19" s="234"/>
    </row>
    <row r="20" spans="2:15" ht="15" customHeight="1" x14ac:dyDescent="0.25">
      <c r="B20" s="2">
        <v>8</v>
      </c>
      <c r="C20" s="2"/>
      <c r="D20" t="s">
        <v>166</v>
      </c>
      <c r="F20" s="9"/>
      <c r="G20" s="58">
        <v>0.02</v>
      </c>
      <c r="H20" s="80">
        <v>3.0530000000000002E-2</v>
      </c>
      <c r="I20" s="80">
        <v>7.0000000000000007E-2</v>
      </c>
      <c r="J20" s="80">
        <v>3.3000000000000002E-2</v>
      </c>
      <c r="K20" s="80">
        <f>J20</f>
        <v>3.3000000000000002E-2</v>
      </c>
      <c r="L20" s="80">
        <f t="shared" ref="L20:M20" si="7">K20</f>
        <v>3.3000000000000002E-2</v>
      </c>
      <c r="M20" s="80">
        <f t="shared" si="7"/>
        <v>3.3000000000000002E-2</v>
      </c>
      <c r="N20" s="9" t="s">
        <v>268</v>
      </c>
      <c r="O20" s="235" t="s">
        <v>267</v>
      </c>
    </row>
    <row r="21" spans="2:15" ht="14.25" customHeight="1" x14ac:dyDescent="0.25">
      <c r="B21" s="2">
        <v>9</v>
      </c>
      <c r="C21" s="2"/>
      <c r="D21" t="s">
        <v>167</v>
      </c>
      <c r="F21" s="9"/>
      <c r="G21" s="58">
        <v>0.02</v>
      </c>
      <c r="H21" s="80">
        <v>4.0009999999999997E-2</v>
      </c>
      <c r="I21" s="80">
        <v>1.7000000000000001E-2</v>
      </c>
      <c r="J21" s="80">
        <v>3.3000000000000002E-2</v>
      </c>
      <c r="K21" s="80">
        <f>J21</f>
        <v>3.3000000000000002E-2</v>
      </c>
      <c r="L21" s="80">
        <f t="shared" ref="L21:M21" si="8">K21</f>
        <v>3.3000000000000002E-2</v>
      </c>
      <c r="M21" s="80">
        <f t="shared" si="8"/>
        <v>3.3000000000000002E-2</v>
      </c>
      <c r="N21" s="9" t="s">
        <v>268</v>
      </c>
      <c r="O21" s="235"/>
    </row>
    <row r="22" spans="2:15" x14ac:dyDescent="0.25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0.05</v>
      </c>
      <c r="I22" s="80">
        <v>5.4699999999999999E-2</v>
      </c>
      <c r="J22" s="80">
        <v>5.5942910924842007E-2</v>
      </c>
      <c r="K22" s="80">
        <f>J22</f>
        <v>5.5942910924842007E-2</v>
      </c>
      <c r="L22" s="80">
        <f t="shared" ref="L22:M22" si="9">K22</f>
        <v>5.5942910924842007E-2</v>
      </c>
      <c r="M22" s="80">
        <f t="shared" si="9"/>
        <v>5.5942910924842007E-2</v>
      </c>
      <c r="N22" s="9" t="s">
        <v>269</v>
      </c>
      <c r="O22" s="235"/>
    </row>
    <row r="23" spans="2:15" x14ac:dyDescent="0.25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5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5">
      <c r="C25" s="8" t="s">
        <v>191</v>
      </c>
      <c r="F25" s="9"/>
      <c r="G25" s="58"/>
      <c r="H25" s="60"/>
      <c r="I25" s="60"/>
      <c r="J25" s="60"/>
      <c r="K25" s="60"/>
      <c r="L25" s="60"/>
      <c r="M25" s="60"/>
    </row>
    <row r="26" spans="2:15" ht="13.2" thickBot="1" x14ac:dyDescent="0.3">
      <c r="C26" s="2"/>
      <c r="E26" s="2"/>
      <c r="F26" s="9"/>
      <c r="G26" s="34"/>
      <c r="H26" s="53"/>
      <c r="I26" s="38"/>
    </row>
    <row r="27" spans="2:15" ht="13.2" thickBot="1" x14ac:dyDescent="0.3">
      <c r="E27" s="87" t="s">
        <v>170</v>
      </c>
      <c r="F27" s="8" t="s">
        <v>196</v>
      </c>
      <c r="G27" s="34">
        <f>G35-G36+G37</f>
        <v>10485033</v>
      </c>
      <c r="H27" s="34">
        <f t="shared" ref="H27:M27" si="10">H35-H36+H37</f>
        <v>0</v>
      </c>
      <c r="I27" s="34">
        <f t="shared" si="10"/>
        <v>0</v>
      </c>
      <c r="J27" s="34">
        <f>J35-J36+J37</f>
        <v>0</v>
      </c>
      <c r="K27" s="34">
        <f t="shared" si="10"/>
        <v>0</v>
      </c>
      <c r="L27" s="34">
        <f t="shared" si="10"/>
        <v>0</v>
      </c>
      <c r="M27" s="34">
        <f t="shared" si="10"/>
        <v>0</v>
      </c>
      <c r="N27" s="9" t="s">
        <v>29</v>
      </c>
    </row>
    <row r="28" spans="2:15" ht="13.2" thickBot="1" x14ac:dyDescent="0.3">
      <c r="B28" s="9" t="s">
        <v>188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2" thickBot="1" x14ac:dyDescent="0.3">
      <c r="E29" s="87" t="s">
        <v>169</v>
      </c>
      <c r="F29" s="8" t="s">
        <v>200</v>
      </c>
      <c r="G29" s="34">
        <f>G115-G121+G122</f>
        <v>10485033</v>
      </c>
      <c r="H29" s="34">
        <f>H115-H121+H122</f>
        <v>12003297.300000001</v>
      </c>
      <c r="I29" s="34">
        <f t="shared" ref="I29:M29" si="11">I115-I121+I122</f>
        <v>12720684.290184658</v>
      </c>
      <c r="J29" s="34">
        <f t="shared" si="11"/>
        <v>13138192.342015719</v>
      </c>
      <c r="K29" s="34">
        <f t="shared" si="11"/>
        <v>13532338.112276191</v>
      </c>
      <c r="L29" s="34">
        <f t="shared" si="11"/>
        <v>13938308.255644474</v>
      </c>
      <c r="M29" s="34">
        <f t="shared" si="11"/>
        <v>14356457.503313811</v>
      </c>
      <c r="N29" s="9" t="s">
        <v>29</v>
      </c>
    </row>
    <row r="30" spans="2:15" x14ac:dyDescent="0.25">
      <c r="C30" s="48"/>
      <c r="F30" s="9"/>
      <c r="G30" s="34"/>
      <c r="H30" s="53"/>
      <c r="I30" s="38"/>
    </row>
    <row r="31" spans="2:15" x14ac:dyDescent="0.25">
      <c r="B31" s="2">
        <v>11</v>
      </c>
      <c r="E31" s="13" t="s">
        <v>171</v>
      </c>
      <c r="F31" s="9"/>
      <c r="G31" s="34">
        <f t="shared" ref="G31:M31" si="12">IF($E$27="Y",G27,IF($E$29="Y",G29,"Error: Please enter Y for one method"))</f>
        <v>10485033</v>
      </c>
      <c r="H31" s="34">
        <f>IF($E$27="Y",H27,IF($E$29="Y",H29,"Error: Please enter Y for one method"))</f>
        <v>12003297.300000001</v>
      </c>
      <c r="I31" s="34">
        <f t="shared" si="12"/>
        <v>12720684.290184658</v>
      </c>
      <c r="J31" s="34">
        <f t="shared" si="12"/>
        <v>13138192.342015719</v>
      </c>
      <c r="K31" s="34">
        <f t="shared" si="12"/>
        <v>13532338.112276191</v>
      </c>
      <c r="L31" s="34">
        <f t="shared" si="12"/>
        <v>13938308.255644474</v>
      </c>
      <c r="M31" s="34">
        <f t="shared" si="12"/>
        <v>14356457.503313811</v>
      </c>
      <c r="N31" s="9" t="s">
        <v>29</v>
      </c>
    </row>
    <row r="32" spans="2:15" ht="13.2" thickBot="1" x14ac:dyDescent="0.3">
      <c r="C32" s="8"/>
    </row>
    <row r="33" spans="3:27" x14ac:dyDescent="0.25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5">
      <c r="C34" s="97"/>
      <c r="D34" s="8" t="s">
        <v>179</v>
      </c>
      <c r="G34" s="54"/>
      <c r="H34" s="231" t="s">
        <v>183</v>
      </c>
      <c r="I34" s="231"/>
      <c r="J34" s="231"/>
      <c r="K34" s="231"/>
      <c r="L34" s="231"/>
      <c r="M34" s="231"/>
      <c r="N34" s="98"/>
    </row>
    <row r="35" spans="3:27" x14ac:dyDescent="0.25">
      <c r="C35" s="97"/>
      <c r="D35" s="111" t="s">
        <v>193</v>
      </c>
      <c r="E35" t="s">
        <v>201</v>
      </c>
      <c r="G35" s="17">
        <f>G115</f>
        <v>10485033</v>
      </c>
      <c r="H35" s="81"/>
      <c r="I35" s="81"/>
      <c r="J35" s="81"/>
      <c r="K35" s="81"/>
      <c r="L35" s="81"/>
      <c r="M35" s="81"/>
      <c r="N35" s="98" t="s">
        <v>172</v>
      </c>
    </row>
    <row r="36" spans="3:27" x14ac:dyDescent="0.25">
      <c r="C36" s="97"/>
      <c r="D36" s="111" t="s">
        <v>194</v>
      </c>
      <c r="E36" t="s">
        <v>192</v>
      </c>
      <c r="G36" s="34">
        <f>G121</f>
        <v>0</v>
      </c>
      <c r="H36" s="81"/>
      <c r="I36" s="81"/>
      <c r="J36" s="77"/>
      <c r="K36" s="77"/>
      <c r="L36" s="77"/>
      <c r="M36" s="77"/>
      <c r="N36" s="98" t="s">
        <v>172</v>
      </c>
    </row>
    <row r="37" spans="3:27" x14ac:dyDescent="0.25">
      <c r="C37" s="97"/>
      <c r="D37" s="111" t="s">
        <v>195</v>
      </c>
      <c r="E37" t="s">
        <v>83</v>
      </c>
      <c r="G37" s="34">
        <f>G122</f>
        <v>0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2" thickBot="1" x14ac:dyDescent="0.3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2" thickBot="1" x14ac:dyDescent="0.3">
      <c r="C39" s="8"/>
      <c r="G39" s="34"/>
      <c r="H39" s="17"/>
      <c r="I39" s="17"/>
      <c r="J39" s="17"/>
      <c r="K39" s="17"/>
      <c r="L39" s="17"/>
      <c r="M39" s="17"/>
    </row>
    <row r="40" spans="3:27" x14ac:dyDescent="0.25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30"/>
    </row>
    <row r="41" spans="3:27" x14ac:dyDescent="0.25">
      <c r="C41" s="97"/>
      <c r="D41" s="8" t="s">
        <v>178</v>
      </c>
      <c r="N41" s="98"/>
      <c r="O41" s="230"/>
    </row>
    <row r="42" spans="3:27" x14ac:dyDescent="0.25">
      <c r="C42" s="50"/>
      <c r="N42" s="98"/>
      <c r="O42" s="230"/>
    </row>
    <row r="43" spans="3:27" x14ac:dyDescent="0.25">
      <c r="C43" s="102"/>
      <c r="D43" s="8" t="s">
        <v>164</v>
      </c>
      <c r="E43" s="8"/>
      <c r="F43" s="2"/>
      <c r="N43" s="98"/>
      <c r="O43" s="230"/>
      <c r="P43" s="16"/>
    </row>
    <row r="44" spans="3:27" x14ac:dyDescent="0.25">
      <c r="C44" s="102"/>
      <c r="E44" s="9">
        <v>5005</v>
      </c>
      <c r="F44" s="94" t="s">
        <v>8</v>
      </c>
      <c r="G44" s="38">
        <f>'Benchmarking Calculations'!G10</f>
        <v>0</v>
      </c>
      <c r="H44" s="86">
        <v>0</v>
      </c>
      <c r="I44" s="86">
        <v>0</v>
      </c>
      <c r="J44" s="86">
        <v>0</v>
      </c>
      <c r="K44" s="86"/>
      <c r="L44" s="86"/>
      <c r="M44" s="86"/>
      <c r="N44" s="98" t="s">
        <v>172</v>
      </c>
      <c r="O44" s="15"/>
      <c r="P44" s="22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5">
      <c r="C45" s="102"/>
      <c r="E45" s="9">
        <v>5010</v>
      </c>
      <c r="F45" s="94" t="s">
        <v>9</v>
      </c>
      <c r="G45" s="38">
        <f>'Benchmarking Calculations'!G11</f>
        <v>184650</v>
      </c>
      <c r="H45" s="86">
        <v>213159.46</v>
      </c>
      <c r="I45" s="86">
        <v>247100</v>
      </c>
      <c r="J45" s="86">
        <v>1155897.26354124</v>
      </c>
      <c r="K45" s="86">
        <f>J45*1.03</f>
        <v>1190574.1814474773</v>
      </c>
      <c r="L45" s="86">
        <f t="shared" ref="L45:M45" si="13">K45*1.03</f>
        <v>1226291.4068909017</v>
      </c>
      <c r="M45" s="86">
        <f t="shared" si="13"/>
        <v>1263080.1490976289</v>
      </c>
      <c r="N45" s="98" t="s">
        <v>172</v>
      </c>
      <c r="O45" s="15"/>
      <c r="P45" s="228"/>
    </row>
    <row r="46" spans="3:27" x14ac:dyDescent="0.25">
      <c r="C46" s="102"/>
      <c r="E46" s="9">
        <v>5012</v>
      </c>
      <c r="F46" s="94" t="s">
        <v>10</v>
      </c>
      <c r="G46" s="38">
        <f>'Benchmarking Calculations'!G12</f>
        <v>0</v>
      </c>
      <c r="H46" s="86">
        <v>0</v>
      </c>
      <c r="I46" s="86">
        <v>0</v>
      </c>
      <c r="J46" s="86">
        <v>0</v>
      </c>
      <c r="K46" s="86">
        <f t="shared" ref="K46:M46" si="14">J46*1.03</f>
        <v>0</v>
      </c>
      <c r="L46" s="86">
        <f t="shared" si="14"/>
        <v>0</v>
      </c>
      <c r="M46" s="86">
        <f t="shared" si="14"/>
        <v>0</v>
      </c>
      <c r="N46" s="98" t="s">
        <v>172</v>
      </c>
      <c r="O46" s="15"/>
      <c r="P46" s="228"/>
    </row>
    <row r="47" spans="3:27" x14ac:dyDescent="0.25">
      <c r="C47" s="102"/>
      <c r="E47" s="9">
        <v>5014</v>
      </c>
      <c r="F47" s="94" t="s">
        <v>11</v>
      </c>
      <c r="G47" s="38">
        <f>'Benchmarking Calculations'!G13</f>
        <v>0</v>
      </c>
      <c r="H47" s="86">
        <v>0</v>
      </c>
      <c r="I47" s="86">
        <v>0</v>
      </c>
      <c r="J47" s="86">
        <v>0</v>
      </c>
      <c r="K47" s="86">
        <f t="shared" ref="K47:M47" si="15">J47*1.03</f>
        <v>0</v>
      </c>
      <c r="L47" s="86">
        <f t="shared" si="15"/>
        <v>0</v>
      </c>
      <c r="M47" s="86">
        <f t="shared" si="15"/>
        <v>0</v>
      </c>
      <c r="N47" s="98" t="s">
        <v>172</v>
      </c>
      <c r="O47" s="15"/>
      <c r="P47" s="228"/>
    </row>
    <row r="48" spans="3:27" ht="25.2" x14ac:dyDescent="0.25">
      <c r="C48" s="102"/>
      <c r="E48" s="9">
        <v>5015</v>
      </c>
      <c r="F48" s="94" t="s">
        <v>12</v>
      </c>
      <c r="G48" s="38">
        <f>'Benchmarking Calculations'!G14</f>
        <v>0</v>
      </c>
      <c r="H48" s="86">
        <v>0</v>
      </c>
      <c r="I48" s="86">
        <v>0</v>
      </c>
      <c r="J48" s="86">
        <v>0</v>
      </c>
      <c r="K48" s="86">
        <f t="shared" ref="K48:M48" si="16">J48*1.03</f>
        <v>0</v>
      </c>
      <c r="L48" s="86">
        <f t="shared" si="16"/>
        <v>0</v>
      </c>
      <c r="M48" s="86">
        <f t="shared" si="16"/>
        <v>0</v>
      </c>
      <c r="N48" s="98" t="s">
        <v>172</v>
      </c>
      <c r="O48" s="15"/>
      <c r="P48" s="228"/>
    </row>
    <row r="49" spans="3:16" x14ac:dyDescent="0.25">
      <c r="C49" s="102"/>
      <c r="E49" s="9">
        <v>5016</v>
      </c>
      <c r="F49" s="94" t="s">
        <v>13</v>
      </c>
      <c r="G49" s="38">
        <f>'Benchmarking Calculations'!G15</f>
        <v>17011</v>
      </c>
      <c r="H49" s="86">
        <v>81313.279999999999</v>
      </c>
      <c r="I49" s="86">
        <v>9107.8124183149466</v>
      </c>
      <c r="J49" s="86">
        <v>6921.5820722562039</v>
      </c>
      <c r="K49" s="86">
        <f t="shared" ref="K49:M49" si="17">J49*1.03</f>
        <v>7129.2295344238901</v>
      </c>
      <c r="L49" s="86">
        <f t="shared" si="17"/>
        <v>7343.1064204566073</v>
      </c>
      <c r="M49" s="86">
        <f t="shared" si="17"/>
        <v>7563.3996130703053</v>
      </c>
      <c r="N49" s="98" t="s">
        <v>172</v>
      </c>
      <c r="O49" s="15"/>
      <c r="P49" s="228"/>
    </row>
    <row r="50" spans="3:16" ht="25.2" x14ac:dyDescent="0.25">
      <c r="C50" s="102"/>
      <c r="E50" s="9">
        <v>5017</v>
      </c>
      <c r="F50" s="94" t="s">
        <v>14</v>
      </c>
      <c r="G50" s="38">
        <f>'Benchmarking Calculations'!G16</f>
        <v>76835</v>
      </c>
      <c r="H50" s="86">
        <v>221069.77000000002</v>
      </c>
      <c r="I50" s="86">
        <v>65573.443906500019</v>
      </c>
      <c r="J50" s="86">
        <v>68614.045565097505</v>
      </c>
      <c r="K50" s="86">
        <f t="shared" ref="K50:M50" si="18">J50*1.03</f>
        <v>70672.466932050433</v>
      </c>
      <c r="L50" s="86">
        <f t="shared" si="18"/>
        <v>72792.640940011945</v>
      </c>
      <c r="M50" s="86">
        <f t="shared" si="18"/>
        <v>74976.420168212309</v>
      </c>
      <c r="N50" s="98" t="s">
        <v>172</v>
      </c>
      <c r="O50" s="15"/>
      <c r="P50" s="228"/>
    </row>
    <row r="51" spans="3:16" ht="25.2" x14ac:dyDescent="0.25">
      <c r="C51" s="102"/>
      <c r="E51" s="9">
        <v>5020</v>
      </c>
      <c r="F51" s="94" t="s">
        <v>15</v>
      </c>
      <c r="G51" s="38">
        <f>'Benchmarking Calculations'!G17</f>
        <v>13000</v>
      </c>
      <c r="H51" s="86">
        <v>14457.61</v>
      </c>
      <c r="I51" s="86">
        <v>7156.1383286760292</v>
      </c>
      <c r="J51" s="86">
        <v>5438.3859139155902</v>
      </c>
      <c r="K51" s="86">
        <f t="shared" ref="K51:M51" si="19">J51*1.03</f>
        <v>5601.5374913330579</v>
      </c>
      <c r="L51" s="86">
        <f t="shared" si="19"/>
        <v>5769.5836160730496</v>
      </c>
      <c r="M51" s="86">
        <f t="shared" si="19"/>
        <v>5942.6711245552415</v>
      </c>
      <c r="N51" s="98" t="s">
        <v>172</v>
      </c>
      <c r="O51" s="15"/>
      <c r="P51" s="228"/>
    </row>
    <row r="52" spans="3:16" ht="25.2" x14ac:dyDescent="0.25">
      <c r="C52" s="102"/>
      <c r="E52" s="9">
        <v>5025</v>
      </c>
      <c r="F52" s="94" t="s">
        <v>16</v>
      </c>
      <c r="G52" s="38">
        <f>'Benchmarking Calculations'!G18</f>
        <v>0</v>
      </c>
      <c r="H52" s="86">
        <v>0</v>
      </c>
      <c r="I52" s="86">
        <v>0</v>
      </c>
      <c r="J52" s="86">
        <v>0</v>
      </c>
      <c r="K52" s="86">
        <f t="shared" ref="K52:M52" si="20">J52*1.03</f>
        <v>0</v>
      </c>
      <c r="L52" s="86">
        <f t="shared" si="20"/>
        <v>0</v>
      </c>
      <c r="M52" s="86">
        <f t="shared" si="20"/>
        <v>0</v>
      </c>
      <c r="N52" s="98" t="s">
        <v>172</v>
      </c>
      <c r="O52" s="15"/>
      <c r="P52" s="228"/>
    </row>
    <row r="53" spans="3:16" x14ac:dyDescent="0.25">
      <c r="C53" s="102"/>
      <c r="E53" s="9">
        <v>5035</v>
      </c>
      <c r="F53" s="94" t="s">
        <v>17</v>
      </c>
      <c r="G53" s="38">
        <f>'Benchmarking Calculations'!G19</f>
        <v>0</v>
      </c>
      <c r="H53" s="86">
        <v>0</v>
      </c>
      <c r="I53" s="86">
        <v>0</v>
      </c>
      <c r="J53" s="86">
        <v>0</v>
      </c>
      <c r="K53" s="86">
        <f t="shared" ref="K53:M53" si="21">J53*1.03</f>
        <v>0</v>
      </c>
      <c r="L53" s="86">
        <f t="shared" si="21"/>
        <v>0</v>
      </c>
      <c r="M53" s="86">
        <f t="shared" si="21"/>
        <v>0</v>
      </c>
      <c r="N53" s="98" t="s">
        <v>172</v>
      </c>
      <c r="O53" s="15"/>
      <c r="P53" s="228"/>
    </row>
    <row r="54" spans="3:16" ht="25.2" x14ac:dyDescent="0.25">
      <c r="C54" s="102"/>
      <c r="E54" s="9">
        <v>5040</v>
      </c>
      <c r="F54" s="94" t="s">
        <v>18</v>
      </c>
      <c r="G54" s="38">
        <f>'Benchmarking Calculations'!G20</f>
        <v>40</v>
      </c>
      <c r="H54" s="86">
        <v>0</v>
      </c>
      <c r="I54" s="86">
        <v>0</v>
      </c>
      <c r="J54" s="86">
        <v>0</v>
      </c>
      <c r="K54" s="86">
        <f>J54*1.03</f>
        <v>0</v>
      </c>
      <c r="L54" s="86">
        <f t="shared" ref="L54:M54" si="22">K54*1.03</f>
        <v>0</v>
      </c>
      <c r="M54" s="86">
        <f t="shared" si="22"/>
        <v>0</v>
      </c>
      <c r="N54" s="98" t="s">
        <v>172</v>
      </c>
      <c r="O54" s="15"/>
      <c r="P54" s="228"/>
    </row>
    <row r="55" spans="3:16" ht="25.2" x14ac:dyDescent="0.25">
      <c r="C55" s="102"/>
      <c r="E55" s="9">
        <v>5045</v>
      </c>
      <c r="F55" s="94" t="s">
        <v>19</v>
      </c>
      <c r="G55" s="38">
        <f>'Benchmarking Calculations'!G21</f>
        <v>338941</v>
      </c>
      <c r="H55" s="86">
        <v>379450.6</v>
      </c>
      <c r="I55" s="86">
        <v>437230</v>
      </c>
      <c r="J55" s="86">
        <v>443788.45</v>
      </c>
      <c r="K55" s="86">
        <f t="shared" ref="K55:M55" si="23">J55*1.03</f>
        <v>457102.10350000003</v>
      </c>
      <c r="L55" s="86">
        <f t="shared" si="23"/>
        <v>470815.16660500003</v>
      </c>
      <c r="M55" s="86">
        <f t="shared" si="23"/>
        <v>484939.62160315004</v>
      </c>
      <c r="N55" s="98" t="s">
        <v>172</v>
      </c>
      <c r="O55" s="15"/>
      <c r="P55" s="228"/>
    </row>
    <row r="56" spans="3:16" x14ac:dyDescent="0.25">
      <c r="C56" s="102"/>
      <c r="E56" s="9">
        <v>5055</v>
      </c>
      <c r="F56" s="94" t="s">
        <v>20</v>
      </c>
      <c r="G56" s="38">
        <f>'Benchmarking Calculations'!G22</f>
        <v>0</v>
      </c>
      <c r="H56" s="86">
        <v>0</v>
      </c>
      <c r="I56" s="86">
        <v>0</v>
      </c>
      <c r="J56" s="86">
        <v>0</v>
      </c>
      <c r="K56" s="86">
        <f t="shared" ref="K56:M56" si="24">J56*1.03</f>
        <v>0</v>
      </c>
      <c r="L56" s="86">
        <f t="shared" si="24"/>
        <v>0</v>
      </c>
      <c r="M56" s="86">
        <f t="shared" si="24"/>
        <v>0</v>
      </c>
      <c r="N56" s="98" t="s">
        <v>172</v>
      </c>
      <c r="O56" s="15"/>
      <c r="P56" s="228"/>
    </row>
    <row r="57" spans="3:16" x14ac:dyDescent="0.25">
      <c r="C57" s="102"/>
      <c r="E57" s="9">
        <v>5065</v>
      </c>
      <c r="F57" s="94" t="s">
        <v>21</v>
      </c>
      <c r="G57" s="38">
        <f>'Benchmarking Calculations'!G23</f>
        <v>380499</v>
      </c>
      <c r="H57" s="86">
        <v>393272.87000000005</v>
      </c>
      <c r="I57" s="86">
        <v>365339.54684346955</v>
      </c>
      <c r="J57" s="86">
        <v>372694.18374114326</v>
      </c>
      <c r="K57" s="86">
        <f t="shared" ref="K57:M57" si="25">J57*1.03</f>
        <v>383875.00925337756</v>
      </c>
      <c r="L57" s="86">
        <f t="shared" si="25"/>
        <v>395391.25953097892</v>
      </c>
      <c r="M57" s="86">
        <f t="shared" si="25"/>
        <v>407252.99731690832</v>
      </c>
      <c r="N57" s="98" t="s">
        <v>172</v>
      </c>
      <c r="O57" s="15"/>
      <c r="P57" s="228"/>
    </row>
    <row r="58" spans="3:16" x14ac:dyDescent="0.25">
      <c r="C58" s="102"/>
      <c r="E58" s="9">
        <v>5070</v>
      </c>
      <c r="F58" s="94" t="s">
        <v>22</v>
      </c>
      <c r="G58" s="38">
        <f>'Benchmarking Calculations'!G24</f>
        <v>340138</v>
      </c>
      <c r="H58" s="86">
        <v>481296.36</v>
      </c>
      <c r="I58" s="86">
        <v>400418.46739091841</v>
      </c>
      <c r="J58" s="86">
        <v>576600.40821954911</v>
      </c>
      <c r="K58" s="86">
        <f t="shared" ref="K58:M58" si="26">J58*1.03</f>
        <v>593898.42046613561</v>
      </c>
      <c r="L58" s="86">
        <f t="shared" si="26"/>
        <v>611715.37308011972</v>
      </c>
      <c r="M58" s="86">
        <f t="shared" si="26"/>
        <v>630066.83427252329</v>
      </c>
      <c r="N58" s="98" t="s">
        <v>172</v>
      </c>
      <c r="O58" s="15"/>
      <c r="P58" s="228"/>
    </row>
    <row r="59" spans="3:16" x14ac:dyDescent="0.25">
      <c r="C59" s="102"/>
      <c r="E59" s="9">
        <v>5075</v>
      </c>
      <c r="F59" s="94" t="s">
        <v>23</v>
      </c>
      <c r="G59" s="38">
        <f>'Benchmarking Calculations'!G25</f>
        <v>78821</v>
      </c>
      <c r="H59" s="86">
        <v>32123.05</v>
      </c>
      <c r="I59" s="86">
        <v>0</v>
      </c>
      <c r="J59" s="86">
        <v>0</v>
      </c>
      <c r="K59" s="86">
        <f t="shared" ref="K59:M59" si="27">J59*1.03</f>
        <v>0</v>
      </c>
      <c r="L59" s="86">
        <f t="shared" si="27"/>
        <v>0</v>
      </c>
      <c r="M59" s="86">
        <f t="shared" si="27"/>
        <v>0</v>
      </c>
      <c r="N59" s="98" t="s">
        <v>172</v>
      </c>
      <c r="O59" s="15"/>
      <c r="P59" s="228"/>
    </row>
    <row r="60" spans="3:16" x14ac:dyDescent="0.25">
      <c r="C60" s="102"/>
      <c r="E60" s="9">
        <v>5085</v>
      </c>
      <c r="F60" s="94" t="s">
        <v>24</v>
      </c>
      <c r="G60" s="38">
        <f>'Benchmarking Calculations'!G26</f>
        <v>1118797</v>
      </c>
      <c r="H60" s="86">
        <v>1379107.28</v>
      </c>
      <c r="I60" s="86">
        <v>1444213.432738533</v>
      </c>
      <c r="J60" s="86">
        <v>1151957.50084745</v>
      </c>
      <c r="K60" s="86">
        <f t="shared" ref="K60:M60" si="28">J60*1.03</f>
        <v>1186516.2258728736</v>
      </c>
      <c r="L60" s="86">
        <f t="shared" si="28"/>
        <v>1222111.7126490597</v>
      </c>
      <c r="M60" s="86">
        <f t="shared" si="28"/>
        <v>1258775.0640285315</v>
      </c>
      <c r="N60" s="98" t="s">
        <v>172</v>
      </c>
      <c r="O60" s="15"/>
      <c r="P60" s="228"/>
    </row>
    <row r="61" spans="3:16" x14ac:dyDescent="0.25">
      <c r="C61" s="102"/>
      <c r="E61" s="9">
        <v>5090</v>
      </c>
      <c r="F61" s="94" t="s">
        <v>25</v>
      </c>
      <c r="G61" s="38">
        <f>'Benchmarking Calculations'!G27</f>
        <v>0</v>
      </c>
      <c r="H61" s="86">
        <v>0</v>
      </c>
      <c r="I61" s="86">
        <v>0</v>
      </c>
      <c r="J61" s="86">
        <v>0</v>
      </c>
      <c r="K61" s="86"/>
      <c r="L61" s="86"/>
      <c r="M61" s="86"/>
      <c r="N61" s="98" t="s">
        <v>172</v>
      </c>
      <c r="O61" s="15"/>
      <c r="P61" s="228"/>
    </row>
    <row r="62" spans="3:16" x14ac:dyDescent="0.25">
      <c r="C62" s="102"/>
      <c r="E62" s="9">
        <v>5095</v>
      </c>
      <c r="F62" s="94" t="s">
        <v>26</v>
      </c>
      <c r="G62" s="38">
        <f>'Benchmarking Calculations'!G28</f>
        <v>0</v>
      </c>
      <c r="H62" s="86">
        <v>0</v>
      </c>
      <c r="I62" s="86">
        <v>0</v>
      </c>
      <c r="J62" s="86">
        <v>0</v>
      </c>
      <c r="K62" s="86"/>
      <c r="L62" s="86"/>
      <c r="M62" s="86"/>
      <c r="N62" s="98" t="s">
        <v>172</v>
      </c>
      <c r="O62" s="15"/>
      <c r="P62" s="228"/>
    </row>
    <row r="63" spans="3:16" x14ac:dyDescent="0.25">
      <c r="C63" s="102"/>
      <c r="E63" s="70">
        <v>5096</v>
      </c>
      <c r="F63" s="110" t="s">
        <v>27</v>
      </c>
      <c r="G63" s="71">
        <f>'Benchmarking Calculations'!G29</f>
        <v>0</v>
      </c>
      <c r="H63" s="86">
        <v>0</v>
      </c>
      <c r="I63" s="86">
        <v>0</v>
      </c>
      <c r="J63" s="86">
        <v>0</v>
      </c>
      <c r="K63" s="86"/>
      <c r="L63" s="86"/>
      <c r="M63" s="86"/>
      <c r="N63" s="98" t="s">
        <v>172</v>
      </c>
      <c r="O63" s="15"/>
      <c r="P63" s="228"/>
    </row>
    <row r="64" spans="3:16" x14ac:dyDescent="0.25">
      <c r="C64" s="102"/>
      <c r="E64" s="12"/>
      <c r="F64" s="13" t="s">
        <v>28</v>
      </c>
      <c r="G64" s="69">
        <f>'Benchmarking Calculations'!G30</f>
        <v>2548732</v>
      </c>
      <c r="H64" s="52">
        <f>SUM(H44:H63)</f>
        <v>3195250.2800000003</v>
      </c>
      <c r="I64" s="52">
        <f t="shared" ref="I64:M64" si="29">SUM(I44:I63)</f>
        <v>2976138.8416264122</v>
      </c>
      <c r="J64" s="52">
        <f t="shared" si="29"/>
        <v>3781911.8199006519</v>
      </c>
      <c r="K64" s="52">
        <f t="shared" si="29"/>
        <v>3895369.1744976714</v>
      </c>
      <c r="L64" s="52">
        <f t="shared" si="29"/>
        <v>4012230.2497326015</v>
      </c>
      <c r="M64" s="52">
        <f t="shared" si="29"/>
        <v>4132597.1572245797</v>
      </c>
      <c r="N64" s="98" t="s">
        <v>29</v>
      </c>
      <c r="O64" s="15"/>
      <c r="P64" s="228"/>
    </row>
    <row r="65" spans="3:16" x14ac:dyDescent="0.25">
      <c r="C65" s="102"/>
      <c r="E65" s="9">
        <v>5105</v>
      </c>
      <c r="F65" s="94" t="s">
        <v>30</v>
      </c>
      <c r="G65" s="38">
        <f>'Benchmarking Calculations'!G31</f>
        <v>0</v>
      </c>
      <c r="H65" s="86">
        <v>0</v>
      </c>
      <c r="I65" s="86">
        <v>0</v>
      </c>
      <c r="J65" s="86">
        <v>0</v>
      </c>
      <c r="K65" s="86"/>
      <c r="L65" s="86"/>
      <c r="M65" s="86"/>
      <c r="N65" s="98" t="s">
        <v>172</v>
      </c>
      <c r="O65" s="15"/>
      <c r="P65" s="228"/>
    </row>
    <row r="66" spans="3:16" x14ac:dyDescent="0.25">
      <c r="C66" s="102"/>
      <c r="E66" s="9">
        <v>5110</v>
      </c>
      <c r="F66" s="94" t="s">
        <v>31</v>
      </c>
      <c r="G66" s="38">
        <f>'Benchmarking Calculations'!G32</f>
        <v>0</v>
      </c>
      <c r="H66" s="86">
        <v>0</v>
      </c>
      <c r="I66" s="86">
        <v>0</v>
      </c>
      <c r="J66" s="86">
        <v>0</v>
      </c>
      <c r="K66" s="86"/>
      <c r="L66" s="86"/>
      <c r="M66" s="86"/>
      <c r="N66" s="98" t="s">
        <v>172</v>
      </c>
      <c r="O66" s="15"/>
      <c r="P66" s="228"/>
    </row>
    <row r="67" spans="3:16" x14ac:dyDescent="0.25">
      <c r="C67" s="102"/>
      <c r="E67" s="9">
        <v>5112</v>
      </c>
      <c r="F67" s="94" t="s">
        <v>32</v>
      </c>
      <c r="G67" s="38">
        <f>'Benchmarking Calculations'!G33</f>
        <v>0</v>
      </c>
      <c r="H67" s="86">
        <v>0</v>
      </c>
      <c r="I67" s="86">
        <v>0</v>
      </c>
      <c r="J67" s="86">
        <v>0</v>
      </c>
      <c r="K67" s="86"/>
      <c r="L67" s="86"/>
      <c r="M67" s="86"/>
      <c r="N67" s="98" t="s">
        <v>172</v>
      </c>
      <c r="O67" s="15"/>
      <c r="P67" s="228"/>
    </row>
    <row r="68" spans="3:16" x14ac:dyDescent="0.25">
      <c r="C68" s="102"/>
      <c r="E68" s="9">
        <v>5114</v>
      </c>
      <c r="F68" s="94" t="s">
        <v>33</v>
      </c>
      <c r="G68" s="38">
        <f>'Benchmarking Calculations'!G34</f>
        <v>0</v>
      </c>
      <c r="H68" s="86">
        <v>0</v>
      </c>
      <c r="I68" s="86">
        <v>0</v>
      </c>
      <c r="J68" s="86">
        <v>0</v>
      </c>
      <c r="K68" s="86"/>
      <c r="L68" s="86"/>
      <c r="M68" s="86"/>
      <c r="N68" s="98" t="s">
        <v>172</v>
      </c>
      <c r="O68" s="15"/>
      <c r="P68" s="228"/>
    </row>
    <row r="69" spans="3:16" x14ac:dyDescent="0.25">
      <c r="C69" s="102"/>
      <c r="E69" s="9">
        <v>5120</v>
      </c>
      <c r="F69" s="94" t="s">
        <v>34</v>
      </c>
      <c r="G69" s="38">
        <f>'Benchmarking Calculations'!G35</f>
        <v>144965</v>
      </c>
      <c r="H69" s="86">
        <v>259264.52</v>
      </c>
      <c r="I69" s="86">
        <v>150339.25727133651</v>
      </c>
      <c r="J69" s="86">
        <v>137205.48122869738</v>
      </c>
      <c r="K69" s="86">
        <f t="shared" ref="K69:M69" si="30">J69*1.03</f>
        <v>141321.64566555829</v>
      </c>
      <c r="L69" s="86">
        <f t="shared" si="30"/>
        <v>145561.29503552505</v>
      </c>
      <c r="M69" s="86">
        <f t="shared" si="30"/>
        <v>149928.1338865908</v>
      </c>
      <c r="N69" s="98" t="s">
        <v>172</v>
      </c>
      <c r="O69" s="15"/>
      <c r="P69" s="228"/>
    </row>
    <row r="70" spans="3:16" x14ac:dyDescent="0.25">
      <c r="C70" s="102"/>
      <c r="E70" s="9">
        <v>5125</v>
      </c>
      <c r="F70" s="94" t="s">
        <v>35</v>
      </c>
      <c r="G70" s="38">
        <f>'Benchmarking Calculations'!G36</f>
        <v>415073</v>
      </c>
      <c r="H70" s="86">
        <v>648773.77</v>
      </c>
      <c r="I70" s="86">
        <v>390822.28768035362</v>
      </c>
      <c r="J70" s="86">
        <v>327023.59965388221</v>
      </c>
      <c r="K70" s="86">
        <f t="shared" ref="K70:M70" si="31">J70*1.03</f>
        <v>336834.3076434987</v>
      </c>
      <c r="L70" s="86">
        <f t="shared" si="31"/>
        <v>346939.33687280369</v>
      </c>
      <c r="M70" s="86">
        <f t="shared" si="31"/>
        <v>357347.51697898778</v>
      </c>
      <c r="N70" s="98" t="s">
        <v>172</v>
      </c>
      <c r="O70" s="15"/>
      <c r="P70" s="228"/>
    </row>
    <row r="71" spans="3:16" x14ac:dyDescent="0.25">
      <c r="C71" s="102"/>
      <c r="E71" s="9">
        <v>5130</v>
      </c>
      <c r="F71" s="94" t="s">
        <v>36</v>
      </c>
      <c r="G71" s="38">
        <f>'Benchmarking Calculations'!G37</f>
        <v>0</v>
      </c>
      <c r="H71" s="86">
        <v>0</v>
      </c>
      <c r="I71" s="86">
        <v>0</v>
      </c>
      <c r="J71" s="86">
        <v>0</v>
      </c>
      <c r="K71" s="86">
        <f t="shared" ref="K71:M71" si="32">J71*1.03</f>
        <v>0</v>
      </c>
      <c r="L71" s="86">
        <f t="shared" si="32"/>
        <v>0</v>
      </c>
      <c r="M71" s="86">
        <f t="shared" si="32"/>
        <v>0</v>
      </c>
      <c r="N71" s="98" t="s">
        <v>172</v>
      </c>
      <c r="O71" s="15"/>
      <c r="P71" s="228"/>
    </row>
    <row r="72" spans="3:16" x14ac:dyDescent="0.25">
      <c r="C72" s="102"/>
      <c r="E72" s="9">
        <v>5135</v>
      </c>
      <c r="F72" s="94" t="s">
        <v>37</v>
      </c>
      <c r="G72" s="38">
        <f>'Benchmarking Calculations'!G38</f>
        <v>473379</v>
      </c>
      <c r="H72" s="86">
        <v>213393.94</v>
      </c>
      <c r="I72" s="86">
        <v>381226.78543422266</v>
      </c>
      <c r="J72" s="86">
        <v>378981.13853344985</v>
      </c>
      <c r="K72" s="86">
        <f t="shared" ref="K72:M72" si="33">J72*1.03</f>
        <v>390350.57268945337</v>
      </c>
      <c r="L72" s="86">
        <f t="shared" si="33"/>
        <v>402061.08987013699</v>
      </c>
      <c r="M72" s="86">
        <f t="shared" si="33"/>
        <v>414122.92256624112</v>
      </c>
      <c r="N72" s="98" t="s">
        <v>172</v>
      </c>
      <c r="O72" s="15"/>
      <c r="P72" s="228"/>
    </row>
    <row r="73" spans="3:16" x14ac:dyDescent="0.25">
      <c r="C73" s="102"/>
      <c r="E73" s="9">
        <v>5145</v>
      </c>
      <c r="F73" s="94" t="s">
        <v>38</v>
      </c>
      <c r="G73" s="38">
        <f>'Benchmarking Calculations'!G39</f>
        <v>0</v>
      </c>
      <c r="H73" s="86">
        <v>0</v>
      </c>
      <c r="I73" s="86">
        <v>0</v>
      </c>
      <c r="J73" s="86">
        <v>0</v>
      </c>
      <c r="K73" s="86">
        <f t="shared" ref="K73:M73" si="34">J73*1.03</f>
        <v>0</v>
      </c>
      <c r="L73" s="86">
        <f t="shared" si="34"/>
        <v>0</v>
      </c>
      <c r="M73" s="86">
        <f t="shared" si="34"/>
        <v>0</v>
      </c>
      <c r="N73" s="98" t="s">
        <v>172</v>
      </c>
      <c r="O73" s="15"/>
      <c r="P73" s="228"/>
    </row>
    <row r="74" spans="3:16" x14ac:dyDescent="0.25">
      <c r="C74" s="102"/>
      <c r="E74" s="9">
        <v>5150</v>
      </c>
      <c r="F74" s="94" t="s">
        <v>39</v>
      </c>
      <c r="G74" s="38">
        <f>'Benchmarking Calculations'!G40</f>
        <v>121306</v>
      </c>
      <c r="H74" s="86">
        <v>170263.58000000002</v>
      </c>
      <c r="I74" s="86">
        <v>143081.14139832498</v>
      </c>
      <c r="J74" s="86">
        <v>129133.34347384656</v>
      </c>
      <c r="K74" s="86">
        <f t="shared" ref="K74:M74" si="35">J74*1.03</f>
        <v>133007.34377806197</v>
      </c>
      <c r="L74" s="86">
        <f t="shared" si="35"/>
        <v>136997.56409140382</v>
      </c>
      <c r="M74" s="86">
        <f t="shared" si="35"/>
        <v>141107.49101414595</v>
      </c>
      <c r="N74" s="98" t="s">
        <v>172</v>
      </c>
      <c r="O74" s="15"/>
      <c r="P74" s="228"/>
    </row>
    <row r="75" spans="3:16" x14ac:dyDescent="0.25">
      <c r="C75" s="102"/>
      <c r="E75" s="9">
        <v>5155</v>
      </c>
      <c r="F75" s="94" t="s">
        <v>40</v>
      </c>
      <c r="G75" s="38">
        <f>'Benchmarking Calculations'!G41</f>
        <v>0</v>
      </c>
      <c r="H75" s="86">
        <v>0</v>
      </c>
      <c r="I75" s="86">
        <v>0</v>
      </c>
      <c r="J75" s="86">
        <v>0</v>
      </c>
      <c r="K75" s="86">
        <f t="shared" ref="K75:M75" si="36">J75*1.03</f>
        <v>0</v>
      </c>
      <c r="L75" s="86">
        <f t="shared" si="36"/>
        <v>0</v>
      </c>
      <c r="M75" s="86">
        <f t="shared" si="36"/>
        <v>0</v>
      </c>
      <c r="N75" s="98" t="s">
        <v>172</v>
      </c>
      <c r="O75" s="15"/>
      <c r="P75" s="228"/>
    </row>
    <row r="76" spans="3:16" x14ac:dyDescent="0.25">
      <c r="C76" s="102"/>
      <c r="E76" s="9">
        <v>5160</v>
      </c>
      <c r="F76" s="94" t="s">
        <v>41</v>
      </c>
      <c r="G76" s="38">
        <f>'Benchmarking Calculations'!G42</f>
        <v>161041</v>
      </c>
      <c r="H76" s="86">
        <v>209202.57000000004</v>
      </c>
      <c r="I76" s="86">
        <v>215682.34337507738</v>
      </c>
      <c r="J76" s="86">
        <v>183344.63468182003</v>
      </c>
      <c r="K76" s="86">
        <f t="shared" ref="K76:M76" si="37">J76*1.03</f>
        <v>188844.97372227462</v>
      </c>
      <c r="L76" s="86">
        <f t="shared" si="37"/>
        <v>194510.32293394287</v>
      </c>
      <c r="M76" s="86">
        <f t="shared" si="37"/>
        <v>200345.63262196115</v>
      </c>
      <c r="N76" s="98" t="s">
        <v>172</v>
      </c>
      <c r="O76" s="15"/>
      <c r="P76" s="228"/>
    </row>
    <row r="77" spans="3:16" x14ac:dyDescent="0.25">
      <c r="C77" s="102"/>
      <c r="E77" s="70">
        <v>5175</v>
      </c>
      <c r="F77" s="110" t="s">
        <v>42</v>
      </c>
      <c r="G77" s="71">
        <f>'Benchmarking Calculations'!G43</f>
        <v>16315</v>
      </c>
      <c r="H77" s="86">
        <v>51875.119999999995</v>
      </c>
      <c r="I77" s="86">
        <v>34594.819000000003</v>
      </c>
      <c r="J77" s="86">
        <v>35113.741285000004</v>
      </c>
      <c r="K77" s="86">
        <f t="shared" ref="K77:M77" si="38">J77*1.03</f>
        <v>36167.153523550005</v>
      </c>
      <c r="L77" s="86">
        <f t="shared" si="38"/>
        <v>37252.168129256504</v>
      </c>
      <c r="M77" s="86">
        <f t="shared" si="38"/>
        <v>38369.733173134198</v>
      </c>
      <c r="N77" s="98" t="s">
        <v>172</v>
      </c>
      <c r="O77" s="15"/>
      <c r="P77" s="228"/>
    </row>
    <row r="78" spans="3:16" x14ac:dyDescent="0.25">
      <c r="C78" s="102"/>
      <c r="E78" s="12"/>
      <c r="F78" s="13" t="s">
        <v>43</v>
      </c>
      <c r="G78" s="69">
        <f>'Benchmarking Calculations'!G44</f>
        <v>1332079</v>
      </c>
      <c r="H78" s="52">
        <f>SUM(H65:H77)</f>
        <v>1552773.5</v>
      </c>
      <c r="I78" s="52">
        <f t="shared" ref="I78:M78" si="39">SUM(I65:I77)</f>
        <v>1315746.6341593151</v>
      </c>
      <c r="J78" s="52">
        <f t="shared" si="39"/>
        <v>1190801.938856696</v>
      </c>
      <c r="K78" s="52">
        <f t="shared" si="39"/>
        <v>1226525.9970223969</v>
      </c>
      <c r="L78" s="52">
        <f t="shared" si="39"/>
        <v>1263321.7769330689</v>
      </c>
      <c r="M78" s="52">
        <f t="shared" si="39"/>
        <v>1301221.4302410611</v>
      </c>
      <c r="N78" s="98" t="s">
        <v>29</v>
      </c>
      <c r="O78" s="15"/>
      <c r="P78" s="228"/>
    </row>
    <row r="79" spans="3:16" x14ac:dyDescent="0.25">
      <c r="C79" s="102"/>
      <c r="E79" s="9">
        <v>5305</v>
      </c>
      <c r="F79" s="9" t="s">
        <v>44</v>
      </c>
      <c r="G79" s="38">
        <f>'Benchmarking Calculations'!G45</f>
        <v>0</v>
      </c>
      <c r="H79" s="86">
        <v>0</v>
      </c>
      <c r="I79" s="86">
        <v>0</v>
      </c>
      <c r="J79" s="86">
        <v>0</v>
      </c>
      <c r="K79" s="86"/>
      <c r="L79" s="86"/>
      <c r="M79" s="86"/>
      <c r="N79" s="98" t="s">
        <v>172</v>
      </c>
      <c r="O79" s="15"/>
      <c r="P79" s="228"/>
    </row>
    <row r="80" spans="3:16" x14ac:dyDescent="0.25">
      <c r="C80" s="102"/>
      <c r="E80" s="9">
        <v>5310</v>
      </c>
      <c r="F80" s="9" t="s">
        <v>45</v>
      </c>
      <c r="G80" s="38">
        <f>'Benchmarking Calculations'!G46</f>
        <v>308825</v>
      </c>
      <c r="H80" s="86">
        <v>278979.23</v>
      </c>
      <c r="I80" s="86">
        <v>349097.50202479138</v>
      </c>
      <c r="J80" s="86">
        <v>304963.48405413673</v>
      </c>
      <c r="K80" s="86">
        <f t="shared" ref="K80:M80" si="40">J80*1.03</f>
        <v>314112.38857576082</v>
      </c>
      <c r="L80" s="86">
        <f t="shared" si="40"/>
        <v>323535.76023303368</v>
      </c>
      <c r="M80" s="86">
        <f t="shared" si="40"/>
        <v>333241.83304002468</v>
      </c>
      <c r="N80" s="98" t="s">
        <v>172</v>
      </c>
      <c r="O80" s="15"/>
      <c r="P80" s="228"/>
    </row>
    <row r="81" spans="3:23" x14ac:dyDescent="0.25">
      <c r="C81" s="102"/>
      <c r="E81" s="9">
        <v>5315</v>
      </c>
      <c r="F81" s="9" t="s">
        <v>46</v>
      </c>
      <c r="G81" s="38">
        <f>'Benchmarking Calculations'!G47</f>
        <v>1578718</v>
      </c>
      <c r="H81" s="86">
        <v>1554014.8799999997</v>
      </c>
      <c r="I81" s="86">
        <v>1658583.5862598668</v>
      </c>
      <c r="J81" s="86">
        <v>1432267.7482227881</v>
      </c>
      <c r="K81" s="86">
        <f t="shared" ref="K81:M81" si="41">J81*1.03</f>
        <v>1475235.7806694717</v>
      </c>
      <c r="L81" s="86">
        <f t="shared" si="41"/>
        <v>1519492.8540895558</v>
      </c>
      <c r="M81" s="86">
        <f t="shared" si="41"/>
        <v>1565077.6397122424</v>
      </c>
      <c r="N81" s="98" t="s">
        <v>172</v>
      </c>
      <c r="O81" s="15"/>
      <c r="P81" s="228"/>
    </row>
    <row r="82" spans="3:23" x14ac:dyDescent="0.25">
      <c r="C82" s="102"/>
      <c r="E82" s="9">
        <v>5320</v>
      </c>
      <c r="F82" s="9" t="s">
        <v>47</v>
      </c>
      <c r="G82" s="38">
        <f>'Benchmarking Calculations'!G48</f>
        <v>272600</v>
      </c>
      <c r="H82" s="86">
        <v>276120.17</v>
      </c>
      <c r="I82" s="86">
        <v>380871.75580521574</v>
      </c>
      <c r="J82" s="86">
        <v>333786.55353555817</v>
      </c>
      <c r="K82" s="86">
        <f t="shared" ref="K82:M82" si="42">J82*1.03</f>
        <v>343800.15014162491</v>
      </c>
      <c r="L82" s="86">
        <f t="shared" si="42"/>
        <v>354114.15464587364</v>
      </c>
      <c r="M82" s="86">
        <f t="shared" si="42"/>
        <v>364737.57928524987</v>
      </c>
      <c r="N82" s="98" t="s">
        <v>172</v>
      </c>
      <c r="O82" s="15"/>
      <c r="P82" s="228"/>
    </row>
    <row r="83" spans="3:23" x14ac:dyDescent="0.25">
      <c r="C83" s="102"/>
      <c r="E83" s="9">
        <v>5325</v>
      </c>
      <c r="F83" s="9" t="s">
        <v>48</v>
      </c>
      <c r="G83" s="38">
        <f>'Benchmarking Calculations'!G49</f>
        <v>931</v>
      </c>
      <c r="H83" s="86">
        <v>1454.43</v>
      </c>
      <c r="I83" s="86">
        <v>0</v>
      </c>
      <c r="J83" s="86">
        <v>0</v>
      </c>
      <c r="K83" s="86">
        <f t="shared" ref="K83:M83" si="43">J83*1.03</f>
        <v>0</v>
      </c>
      <c r="L83" s="86">
        <f t="shared" si="43"/>
        <v>0</v>
      </c>
      <c r="M83" s="86">
        <f t="shared" si="43"/>
        <v>0</v>
      </c>
      <c r="N83" s="98" t="s">
        <v>172</v>
      </c>
      <c r="O83" s="15"/>
      <c r="P83" s="228"/>
    </row>
    <row r="84" spans="3:23" x14ac:dyDescent="0.25">
      <c r="C84" s="102"/>
      <c r="E84" s="9">
        <v>5330</v>
      </c>
      <c r="F84" s="9" t="s">
        <v>49</v>
      </c>
      <c r="G84" s="38">
        <f>'Benchmarking Calculations'!G50</f>
        <v>0</v>
      </c>
      <c r="H84" s="86">
        <v>0</v>
      </c>
      <c r="I84" s="86">
        <v>0</v>
      </c>
      <c r="J84" s="86">
        <v>0</v>
      </c>
      <c r="K84" s="86"/>
      <c r="L84" s="86"/>
      <c r="M84" s="86"/>
      <c r="N84" s="98" t="s">
        <v>172</v>
      </c>
      <c r="O84" s="15"/>
      <c r="P84" s="228"/>
    </row>
    <row r="85" spans="3:23" x14ac:dyDescent="0.25">
      <c r="C85" s="102"/>
      <c r="E85" s="70">
        <v>5340</v>
      </c>
      <c r="F85" s="70" t="s">
        <v>50</v>
      </c>
      <c r="G85" s="71">
        <f>'Benchmarking Calculations'!G51</f>
        <v>0</v>
      </c>
      <c r="H85" s="86">
        <v>0</v>
      </c>
      <c r="I85" s="86">
        <v>0</v>
      </c>
      <c r="J85" s="86">
        <v>0</v>
      </c>
      <c r="K85" s="86"/>
      <c r="L85" s="86"/>
      <c r="M85" s="86"/>
      <c r="N85" s="98" t="s">
        <v>172</v>
      </c>
      <c r="O85" s="15"/>
      <c r="P85" s="228"/>
    </row>
    <row r="86" spans="3:23" x14ac:dyDescent="0.25">
      <c r="C86" s="102"/>
      <c r="E86" s="12"/>
      <c r="F86" s="13" t="s">
        <v>51</v>
      </c>
      <c r="G86" s="69">
        <f>'Benchmarking Calculations'!G52</f>
        <v>2161074</v>
      </c>
      <c r="H86" s="52">
        <f>SUM(H79:H85)</f>
        <v>2110568.71</v>
      </c>
      <c r="I86" s="52">
        <f t="shared" ref="I86:M86" si="44">SUM(I79:I85)</f>
        <v>2388552.8440898741</v>
      </c>
      <c r="J86" s="52">
        <f t="shared" si="44"/>
        <v>2071017.7858124832</v>
      </c>
      <c r="K86" s="52">
        <f t="shared" si="44"/>
        <v>2133148.3193868576</v>
      </c>
      <c r="L86" s="52">
        <f t="shared" si="44"/>
        <v>2197142.7689684629</v>
      </c>
      <c r="M86" s="52">
        <f t="shared" si="44"/>
        <v>2263057.0520375171</v>
      </c>
      <c r="N86" s="98" t="s">
        <v>29</v>
      </c>
      <c r="O86" s="15"/>
      <c r="P86" s="228"/>
    </row>
    <row r="87" spans="3:23" x14ac:dyDescent="0.25">
      <c r="C87" s="102"/>
      <c r="E87" s="9">
        <v>5405</v>
      </c>
      <c r="F87" s="9" t="s">
        <v>52</v>
      </c>
      <c r="G87" s="38">
        <f>'Benchmarking Calculations'!G53</f>
        <v>0</v>
      </c>
      <c r="H87" s="86">
        <v>0</v>
      </c>
      <c r="I87" s="86">
        <v>0</v>
      </c>
      <c r="J87" s="86">
        <v>0</v>
      </c>
      <c r="K87" s="86"/>
      <c r="L87" s="86"/>
      <c r="M87" s="86"/>
      <c r="N87" s="98" t="s">
        <v>172</v>
      </c>
      <c r="O87" s="15"/>
      <c r="P87" s="228"/>
    </row>
    <row r="88" spans="3:23" x14ac:dyDescent="0.25">
      <c r="C88" s="102"/>
      <c r="E88" s="9">
        <v>5410</v>
      </c>
      <c r="F88" s="9" t="s">
        <v>53</v>
      </c>
      <c r="G88" s="38">
        <f>'Benchmarking Calculations'!G54</f>
        <v>17500</v>
      </c>
      <c r="H88" s="86">
        <v>8094</v>
      </c>
      <c r="I88" s="86">
        <v>79100</v>
      </c>
      <c r="J88" s="86">
        <v>34368.458494892438</v>
      </c>
      <c r="K88" s="86">
        <f t="shared" ref="K88:M89" si="45">J88*1.03</f>
        <v>35399.512249739215</v>
      </c>
      <c r="L88" s="86">
        <f t="shared" si="45"/>
        <v>36461.497617231391</v>
      </c>
      <c r="M88" s="86">
        <f t="shared" si="45"/>
        <v>37555.342545748332</v>
      </c>
      <c r="N88" s="98" t="s">
        <v>172</v>
      </c>
      <c r="O88" s="15"/>
      <c r="P88" s="228"/>
    </row>
    <row r="89" spans="3:23" x14ac:dyDescent="0.25">
      <c r="C89" s="102"/>
      <c r="E89" s="9">
        <v>5420</v>
      </c>
      <c r="F89" s="9" t="s">
        <v>54</v>
      </c>
      <c r="G89" s="38">
        <f>'Benchmarking Calculations'!G55</f>
        <v>0</v>
      </c>
      <c r="H89" s="86">
        <v>0</v>
      </c>
      <c r="I89" s="86">
        <v>15000</v>
      </c>
      <c r="J89" s="86">
        <v>12884.522378753243</v>
      </c>
      <c r="K89" s="86">
        <f t="shared" si="45"/>
        <v>13271.05805011584</v>
      </c>
      <c r="L89" s="86">
        <f t="shared" si="45"/>
        <v>13669.189791619316</v>
      </c>
      <c r="M89" s="86">
        <f t="shared" si="45"/>
        <v>14079.265485367896</v>
      </c>
      <c r="N89" s="98" t="s">
        <v>172</v>
      </c>
      <c r="O89" s="15"/>
      <c r="P89" s="228"/>
    </row>
    <row r="90" spans="3:23" x14ac:dyDescent="0.25">
      <c r="C90" s="102"/>
      <c r="E90" s="70">
        <v>5425</v>
      </c>
      <c r="F90" s="70" t="s">
        <v>55</v>
      </c>
      <c r="G90" s="71">
        <f>'Benchmarking Calculations'!G56</f>
        <v>0</v>
      </c>
      <c r="H90" s="86">
        <v>0</v>
      </c>
      <c r="I90" s="86">
        <v>0</v>
      </c>
      <c r="J90" s="86">
        <v>0</v>
      </c>
      <c r="K90" s="86"/>
      <c r="L90" s="86"/>
      <c r="M90" s="86"/>
      <c r="N90" s="98" t="s">
        <v>172</v>
      </c>
      <c r="O90" s="15"/>
      <c r="P90" s="228"/>
    </row>
    <row r="91" spans="3:23" x14ac:dyDescent="0.25">
      <c r="C91" s="102"/>
      <c r="E91" s="12"/>
      <c r="F91" s="13" t="s">
        <v>56</v>
      </c>
      <c r="G91" s="69">
        <f>'Benchmarking Calculations'!G57</f>
        <v>17500</v>
      </c>
      <c r="H91" s="52">
        <f>SUM(H87:H90)</f>
        <v>8094</v>
      </c>
      <c r="I91" s="52">
        <f t="shared" ref="I91:M91" si="46">SUM(I87:I90)</f>
        <v>94100</v>
      </c>
      <c r="J91" s="52">
        <f t="shared" si="46"/>
        <v>47252.980873645683</v>
      </c>
      <c r="K91" s="52">
        <f t="shared" si="46"/>
        <v>48670.570299855055</v>
      </c>
      <c r="L91" s="52">
        <f t="shared" si="46"/>
        <v>50130.687408850703</v>
      </c>
      <c r="M91" s="52">
        <f t="shared" si="46"/>
        <v>51634.60803111623</v>
      </c>
      <c r="N91" s="98" t="s">
        <v>29</v>
      </c>
      <c r="O91" s="15"/>
      <c r="P91" s="228"/>
    </row>
    <row r="92" spans="3:23" x14ac:dyDescent="0.25">
      <c r="C92" s="102"/>
      <c r="E92" s="9">
        <v>5605</v>
      </c>
      <c r="F92" s="9" t="s">
        <v>57</v>
      </c>
      <c r="G92" s="38">
        <f>'Benchmarking Calculations'!G58</f>
        <v>96666</v>
      </c>
      <c r="H92" s="86">
        <v>101427.12</v>
      </c>
      <c r="I92" s="86">
        <v>108782</v>
      </c>
      <c r="J92" s="86">
        <v>93540.134564683831</v>
      </c>
      <c r="K92" s="86">
        <f t="shared" ref="K92:M92" si="47">J92*1.03</f>
        <v>96346.338601624346</v>
      </c>
      <c r="L92" s="86">
        <f t="shared" si="47"/>
        <v>99236.728759673075</v>
      </c>
      <c r="M92" s="86">
        <f t="shared" si="47"/>
        <v>102213.83062246327</v>
      </c>
      <c r="N92" s="98" t="s">
        <v>172</v>
      </c>
      <c r="O92" s="15"/>
      <c r="P92" s="228"/>
    </row>
    <row r="93" spans="3:23" x14ac:dyDescent="0.25">
      <c r="C93" s="102"/>
      <c r="E93" s="9">
        <v>5610</v>
      </c>
      <c r="F93" s="9" t="s">
        <v>58</v>
      </c>
      <c r="G93" s="38">
        <f>'Benchmarking Calculations'!G59</f>
        <v>1282096</v>
      </c>
      <c r="H93" s="86">
        <v>1095807.75</v>
      </c>
      <c r="I93" s="86">
        <v>1573345.9534230472</v>
      </c>
      <c r="J93" s="86">
        <v>1169649.8113686307</v>
      </c>
      <c r="K93" s="86">
        <f t="shared" ref="K93:M93" si="48">J93*1.03</f>
        <v>1204739.3057096896</v>
      </c>
      <c r="L93" s="86">
        <f t="shared" si="48"/>
        <v>1240881.4848809803</v>
      </c>
      <c r="M93" s="86">
        <f t="shared" si="48"/>
        <v>1278107.9294274098</v>
      </c>
      <c r="N93" s="98" t="s">
        <v>172</v>
      </c>
      <c r="O93" s="15"/>
      <c r="P93" s="228"/>
      <c r="U93" s="16"/>
      <c r="V93" s="16"/>
      <c r="W93" s="17"/>
    </row>
    <row r="94" spans="3:23" x14ac:dyDescent="0.25">
      <c r="C94" s="102"/>
      <c r="E94" s="9">
        <v>5615</v>
      </c>
      <c r="F94" s="9" t="s">
        <v>59</v>
      </c>
      <c r="G94" s="38">
        <f>'Benchmarking Calculations'!G60</f>
        <v>936690</v>
      </c>
      <c r="H94" s="86">
        <v>1185291.1100000001</v>
      </c>
      <c r="I94" s="86">
        <v>2032673.2910030771</v>
      </c>
      <c r="J94" s="86">
        <v>2431143.4399814266</v>
      </c>
      <c r="K94" s="86">
        <f t="shared" ref="K94:M94" si="49">J94*1.03</f>
        <v>2504077.7431808696</v>
      </c>
      <c r="L94" s="86">
        <f t="shared" si="49"/>
        <v>2579200.0754762958</v>
      </c>
      <c r="M94" s="86">
        <f t="shared" si="49"/>
        <v>2656576.0777405845</v>
      </c>
      <c r="N94" s="98" t="s">
        <v>172</v>
      </c>
      <c r="O94" s="15"/>
      <c r="P94" s="228"/>
      <c r="U94" s="16"/>
      <c r="V94" s="16"/>
      <c r="W94" s="17"/>
    </row>
    <row r="95" spans="3:23" x14ac:dyDescent="0.25">
      <c r="C95" s="102"/>
      <c r="E95" s="9">
        <v>5620</v>
      </c>
      <c r="F95" s="9" t="s">
        <v>60</v>
      </c>
      <c r="G95" s="38">
        <f>'Benchmarking Calculations'!G61</f>
        <v>300029</v>
      </c>
      <c r="H95" s="86">
        <v>326223.65999999992</v>
      </c>
      <c r="I95" s="86">
        <v>409765.84237472469</v>
      </c>
      <c r="J95" s="86">
        <v>333223.01406996208</v>
      </c>
      <c r="K95" s="86">
        <f t="shared" ref="K95:M95" si="50">J95*1.03</f>
        <v>343219.70449206093</v>
      </c>
      <c r="L95" s="86">
        <f t="shared" si="50"/>
        <v>353516.29562682274</v>
      </c>
      <c r="M95" s="86">
        <f t="shared" si="50"/>
        <v>364121.78449562745</v>
      </c>
      <c r="N95" s="98" t="s">
        <v>172</v>
      </c>
      <c r="O95" s="15"/>
      <c r="P95" s="228"/>
      <c r="U95" s="16"/>
      <c r="V95" s="16"/>
      <c r="W95" s="17"/>
    </row>
    <row r="96" spans="3:23" x14ac:dyDescent="0.25">
      <c r="C96" s="102"/>
      <c r="E96" s="9">
        <v>5625</v>
      </c>
      <c r="F96" s="9" t="s">
        <v>61</v>
      </c>
      <c r="G96" s="38">
        <f>'Benchmarking Calculations'!G62</f>
        <v>-156931</v>
      </c>
      <c r="H96" s="86">
        <v>-133884.59</v>
      </c>
      <c r="I96" s="86">
        <v>-136260.24000000005</v>
      </c>
      <c r="J96" s="86">
        <v>-117945.96283430149</v>
      </c>
      <c r="K96" s="86">
        <f t="shared" ref="K96:M96" si="51">J96*1.03</f>
        <v>-121484.34171933054</v>
      </c>
      <c r="L96" s="86">
        <f t="shared" si="51"/>
        <v>-125128.87197091045</v>
      </c>
      <c r="M96" s="86">
        <f t="shared" si="51"/>
        <v>-128882.73813003776</v>
      </c>
      <c r="N96" s="98" t="s">
        <v>172</v>
      </c>
      <c r="O96" s="15"/>
      <c r="P96" s="228"/>
      <c r="U96" s="16"/>
      <c r="V96" s="16"/>
      <c r="W96" s="17"/>
    </row>
    <row r="97" spans="3:23" x14ac:dyDescent="0.25">
      <c r="C97" s="102"/>
      <c r="E97" s="9">
        <v>5630</v>
      </c>
      <c r="F97" s="9" t="s">
        <v>62</v>
      </c>
      <c r="G97" s="38">
        <f>'Benchmarking Calculations'!G63</f>
        <v>638303</v>
      </c>
      <c r="H97" s="86">
        <v>1078111.67</v>
      </c>
      <c r="I97" s="86">
        <v>671863.91575000004</v>
      </c>
      <c r="J97" s="86">
        <v>784121.6010880525</v>
      </c>
      <c r="K97" s="86">
        <f t="shared" ref="K97:M97" si="52">J97*1.03</f>
        <v>807645.24912069412</v>
      </c>
      <c r="L97" s="86">
        <f t="shared" si="52"/>
        <v>831874.60659431492</v>
      </c>
      <c r="M97" s="86">
        <f t="shared" si="52"/>
        <v>856830.84479214437</v>
      </c>
      <c r="N97" s="98" t="s">
        <v>172</v>
      </c>
      <c r="O97" s="15"/>
      <c r="P97" s="228"/>
      <c r="T97" s="8"/>
      <c r="U97" s="229"/>
      <c r="V97" s="229"/>
      <c r="W97" s="229"/>
    </row>
    <row r="98" spans="3:23" x14ac:dyDescent="0.25">
      <c r="C98" s="102"/>
      <c r="E98" s="9">
        <v>5640</v>
      </c>
      <c r="F98" s="9" t="s">
        <v>63</v>
      </c>
      <c r="G98" s="38">
        <f>'Benchmarking Calculations'!G64</f>
        <v>0</v>
      </c>
      <c r="H98" s="86">
        <v>0</v>
      </c>
      <c r="I98" s="86">
        <v>0</v>
      </c>
      <c r="J98" s="86">
        <v>0</v>
      </c>
      <c r="K98" s="86">
        <f t="shared" ref="K98:M98" si="53">J98*1.03</f>
        <v>0</v>
      </c>
      <c r="L98" s="86">
        <f t="shared" si="53"/>
        <v>0</v>
      </c>
      <c r="M98" s="86">
        <f t="shared" si="53"/>
        <v>0</v>
      </c>
      <c r="N98" s="98" t="s">
        <v>172</v>
      </c>
      <c r="O98" s="15"/>
      <c r="P98" s="228"/>
    </row>
    <row r="99" spans="3:23" x14ac:dyDescent="0.25">
      <c r="C99" s="102"/>
      <c r="E99" s="9">
        <v>5645</v>
      </c>
      <c r="F99" s="9" t="s">
        <v>64</v>
      </c>
      <c r="G99" s="38">
        <f>'Benchmarking Calculations'!G65</f>
        <v>32010</v>
      </c>
      <c r="H99" s="86">
        <v>44457.710000000006</v>
      </c>
      <c r="I99" s="86">
        <v>20000</v>
      </c>
      <c r="J99" s="86">
        <v>17263.990576457549</v>
      </c>
      <c r="K99" s="86">
        <f t="shared" ref="K99:M99" si="54">J99*1.03</f>
        <v>17781.910293751276</v>
      </c>
      <c r="L99" s="86">
        <f t="shared" si="54"/>
        <v>18315.367602563816</v>
      </c>
      <c r="M99" s="86">
        <f t="shared" si="54"/>
        <v>18864.828630640732</v>
      </c>
      <c r="N99" s="98" t="s">
        <v>172</v>
      </c>
      <c r="O99" s="15"/>
      <c r="P99" s="228"/>
      <c r="T99" s="8"/>
      <c r="U99" s="229"/>
      <c r="V99" s="229"/>
      <c r="W99" s="229"/>
    </row>
    <row r="100" spans="3:23" x14ac:dyDescent="0.25">
      <c r="C100" s="102"/>
      <c r="E100" s="9">
        <v>5646</v>
      </c>
      <c r="F100" s="9" t="s">
        <v>65</v>
      </c>
      <c r="G100" s="38">
        <f>'Benchmarking Calculations'!G66</f>
        <v>0</v>
      </c>
      <c r="H100" s="86">
        <v>0</v>
      </c>
      <c r="I100" s="86">
        <v>0</v>
      </c>
      <c r="J100" s="86" t="s">
        <v>270</v>
      </c>
      <c r="K100" s="86"/>
      <c r="L100" s="86"/>
      <c r="M100" s="86"/>
      <c r="N100" s="98" t="s">
        <v>172</v>
      </c>
      <c r="O100" s="15"/>
      <c r="P100" s="228"/>
    </row>
    <row r="101" spans="3:23" x14ac:dyDescent="0.25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v>0</v>
      </c>
      <c r="I101" s="86">
        <v>0</v>
      </c>
      <c r="J101" s="86" t="s">
        <v>270</v>
      </c>
      <c r="K101" s="86"/>
      <c r="L101" s="86"/>
      <c r="M101" s="86"/>
      <c r="N101" s="98" t="s">
        <v>172</v>
      </c>
      <c r="O101" s="15"/>
      <c r="P101" s="228"/>
    </row>
    <row r="102" spans="3:23" x14ac:dyDescent="0.25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v>0</v>
      </c>
      <c r="I102" s="86">
        <v>0</v>
      </c>
      <c r="J102" s="86">
        <v>0</v>
      </c>
      <c r="K102" s="86">
        <f t="shared" ref="K102:M102" si="55">J102*1.03</f>
        <v>0</v>
      </c>
      <c r="L102" s="86">
        <f t="shared" si="55"/>
        <v>0</v>
      </c>
      <c r="M102" s="86">
        <f t="shared" si="55"/>
        <v>0</v>
      </c>
      <c r="N102" s="98" t="s">
        <v>172</v>
      </c>
      <c r="O102" s="15"/>
      <c r="P102" s="228"/>
    </row>
    <row r="103" spans="3:23" x14ac:dyDescent="0.25">
      <c r="C103" s="102"/>
      <c r="E103" s="9">
        <v>5655</v>
      </c>
      <c r="F103" s="9" t="s">
        <v>68</v>
      </c>
      <c r="G103" s="38">
        <f>'Benchmarking Calculations'!G69</f>
        <v>113393</v>
      </c>
      <c r="H103" s="86">
        <v>153211.03</v>
      </c>
      <c r="I103" s="86">
        <v>121427.37466445653</v>
      </c>
      <c r="J103" s="86">
        <v>327155.16024601413</v>
      </c>
      <c r="K103" s="86">
        <f t="shared" ref="K103:M103" si="56">J103*1.03</f>
        <v>336969.81505339459</v>
      </c>
      <c r="L103" s="86">
        <f t="shared" si="56"/>
        <v>347078.90950499644</v>
      </c>
      <c r="M103" s="86">
        <f t="shared" si="56"/>
        <v>357491.27679014637</v>
      </c>
      <c r="N103" s="98" t="s">
        <v>172</v>
      </c>
      <c r="O103" s="15"/>
      <c r="P103" s="228"/>
    </row>
    <row r="104" spans="3:23" x14ac:dyDescent="0.25">
      <c r="C104" s="102"/>
      <c r="E104" s="9">
        <v>5665</v>
      </c>
      <c r="F104" s="9" t="s">
        <v>69</v>
      </c>
      <c r="G104" s="38">
        <f>'Benchmarking Calculations'!G70</f>
        <v>413660</v>
      </c>
      <c r="H104" s="86">
        <v>537372.07999999996</v>
      </c>
      <c r="I104" s="86">
        <v>151996.2383871557</v>
      </c>
      <c r="J104" s="86">
        <v>130611.84003202923</v>
      </c>
      <c r="K104" s="86">
        <f t="shared" ref="K104:M104" si="57">J104*1.03</f>
        <v>134530.19523299011</v>
      </c>
      <c r="L104" s="86">
        <f t="shared" si="57"/>
        <v>138566.10108997981</v>
      </c>
      <c r="M104" s="86">
        <f t="shared" si="57"/>
        <v>142723.08412267923</v>
      </c>
      <c r="N104" s="98" t="s">
        <v>172</v>
      </c>
      <c r="O104" s="15"/>
      <c r="P104" s="228"/>
    </row>
    <row r="105" spans="3:23" x14ac:dyDescent="0.25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v>0</v>
      </c>
      <c r="I105" s="86">
        <v>0</v>
      </c>
      <c r="J105" s="86">
        <v>0</v>
      </c>
      <c r="K105" s="86">
        <f t="shared" ref="K105:M105" si="58">J105*1.03</f>
        <v>0</v>
      </c>
      <c r="L105" s="86">
        <f t="shared" si="58"/>
        <v>0</v>
      </c>
      <c r="M105" s="86">
        <f t="shared" si="58"/>
        <v>0</v>
      </c>
      <c r="N105" s="98" t="s">
        <v>172</v>
      </c>
      <c r="O105" s="15"/>
      <c r="P105" s="228"/>
    </row>
    <row r="106" spans="3:23" x14ac:dyDescent="0.25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v>0</v>
      </c>
      <c r="I106" s="86">
        <v>0</v>
      </c>
      <c r="J106" s="86" t="s">
        <v>270</v>
      </c>
      <c r="K106" s="86"/>
      <c r="L106" s="86"/>
      <c r="M106" s="86"/>
      <c r="N106" s="98" t="s">
        <v>172</v>
      </c>
      <c r="O106" s="15"/>
      <c r="P106" s="228"/>
    </row>
    <row r="107" spans="3:23" x14ac:dyDescent="0.25">
      <c r="C107" s="102"/>
      <c r="E107" s="9">
        <v>5675</v>
      </c>
      <c r="F107" s="9" t="s">
        <v>72</v>
      </c>
      <c r="G107" s="38">
        <f>'Benchmarking Calculations'!G73</f>
        <v>625649</v>
      </c>
      <c r="H107" s="86">
        <v>611659.72</v>
      </c>
      <c r="I107" s="86">
        <v>853051.59470659471</v>
      </c>
      <c r="J107" s="86">
        <v>758618.72935688088</v>
      </c>
      <c r="K107" s="86">
        <f t="shared" ref="K107:M107" si="59">J107*1.03</f>
        <v>781377.29123758734</v>
      </c>
      <c r="L107" s="86">
        <f t="shared" si="59"/>
        <v>804818.60997471493</v>
      </c>
      <c r="M107" s="86">
        <f t="shared" si="59"/>
        <v>828963.1682739564</v>
      </c>
      <c r="N107" s="98" t="s">
        <v>172</v>
      </c>
      <c r="O107" s="15"/>
      <c r="P107" s="228"/>
    </row>
    <row r="108" spans="3:23" x14ac:dyDescent="0.25">
      <c r="C108" s="102"/>
      <c r="E108" s="70">
        <v>5680</v>
      </c>
      <c r="F108" s="70" t="s">
        <v>73</v>
      </c>
      <c r="G108" s="71">
        <f>'Benchmarking Calculations'!G74</f>
        <v>0</v>
      </c>
      <c r="H108" s="86">
        <v>0</v>
      </c>
      <c r="I108" s="86">
        <v>0</v>
      </c>
      <c r="J108" s="86">
        <v>0</v>
      </c>
      <c r="K108" s="86"/>
      <c r="L108" s="86"/>
      <c r="M108" s="86"/>
      <c r="N108" s="98" t="s">
        <v>172</v>
      </c>
      <c r="O108" s="15"/>
      <c r="P108" s="228"/>
    </row>
    <row r="109" spans="3:23" x14ac:dyDescent="0.25">
      <c r="C109" s="102"/>
      <c r="E109" s="10"/>
      <c r="F109" s="13" t="s">
        <v>74</v>
      </c>
      <c r="G109" s="69">
        <f>'Benchmarking Calculations'!G75</f>
        <v>4281565</v>
      </c>
      <c r="H109" s="52">
        <f>SUM(H92:H108)</f>
        <v>4999677.26</v>
      </c>
      <c r="I109" s="52">
        <f t="shared" ref="I109:M109" si="60">SUM(I92:I108)</f>
        <v>5806645.9703090554</v>
      </c>
      <c r="J109" s="52">
        <f t="shared" si="60"/>
        <v>5927381.7584498366</v>
      </c>
      <c r="K109" s="52">
        <f t="shared" si="60"/>
        <v>6105203.2112033321</v>
      </c>
      <c r="L109" s="52">
        <f t="shared" si="60"/>
        <v>6288359.3075394304</v>
      </c>
      <c r="M109" s="52">
        <f t="shared" si="60"/>
        <v>6477010.0867656153</v>
      </c>
      <c r="N109" s="98" t="s">
        <v>29</v>
      </c>
      <c r="O109" s="15"/>
      <c r="P109" s="228"/>
    </row>
    <row r="110" spans="3:23" x14ac:dyDescent="0.25">
      <c r="C110" s="102"/>
      <c r="E110" s="9">
        <v>5635</v>
      </c>
      <c r="F110" s="9" t="s">
        <v>75</v>
      </c>
      <c r="G110" s="38">
        <f>'Benchmarking Calculations'!G76</f>
        <v>144083</v>
      </c>
      <c r="H110" s="86">
        <v>136933.54999999999</v>
      </c>
      <c r="I110" s="86">
        <v>139500</v>
      </c>
      <c r="J110" s="86">
        <v>119826.05812240516</v>
      </c>
      <c r="K110" s="86">
        <f t="shared" ref="K110:M110" si="61">J110*1.03</f>
        <v>123420.83986607731</v>
      </c>
      <c r="L110" s="86">
        <f t="shared" si="61"/>
        <v>127123.46506205964</v>
      </c>
      <c r="M110" s="86">
        <f t="shared" si="61"/>
        <v>130937.16901392143</v>
      </c>
      <c r="N110" s="98" t="s">
        <v>172</v>
      </c>
      <c r="O110" s="15"/>
      <c r="P110" s="228"/>
    </row>
    <row r="111" spans="3:23" x14ac:dyDescent="0.25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v>0</v>
      </c>
      <c r="I111" s="86">
        <v>0</v>
      </c>
      <c r="J111" s="86">
        <v>0</v>
      </c>
      <c r="K111" s="86"/>
      <c r="L111" s="86"/>
      <c r="M111" s="86"/>
      <c r="N111" s="98" t="s">
        <v>172</v>
      </c>
      <c r="O111" s="15"/>
      <c r="P111" s="228"/>
    </row>
    <row r="112" spans="3:23" x14ac:dyDescent="0.25">
      <c r="C112" s="102"/>
      <c r="F112" s="13" t="s">
        <v>77</v>
      </c>
      <c r="G112" s="69">
        <f>'Benchmarking Calculations'!G78</f>
        <v>144083</v>
      </c>
      <c r="H112" s="52">
        <f>H110+H111</f>
        <v>136933.54999999999</v>
      </c>
      <c r="I112" s="52">
        <f t="shared" ref="I112:M112" si="62">I110+I111</f>
        <v>139500</v>
      </c>
      <c r="J112" s="52">
        <f t="shared" si="62"/>
        <v>119826.05812240516</v>
      </c>
      <c r="K112" s="52">
        <f t="shared" si="62"/>
        <v>123420.83986607731</v>
      </c>
      <c r="L112" s="52">
        <f t="shared" si="62"/>
        <v>127123.46506205964</v>
      </c>
      <c r="M112" s="52">
        <f t="shared" si="62"/>
        <v>130937.16901392143</v>
      </c>
      <c r="N112" s="98" t="s">
        <v>29</v>
      </c>
      <c r="O112" s="15"/>
      <c r="P112" s="228"/>
    </row>
    <row r="113" spans="3:16" x14ac:dyDescent="0.25">
      <c r="C113" s="102"/>
      <c r="E113" s="70">
        <v>5515</v>
      </c>
      <c r="F113" s="70" t="s">
        <v>78</v>
      </c>
      <c r="G113" s="71">
        <f>'Benchmarking Calculations'!G79</f>
        <v>0</v>
      </c>
      <c r="H113" s="86">
        <v>0</v>
      </c>
      <c r="I113" s="86">
        <v>0</v>
      </c>
      <c r="J113" s="86">
        <v>0</v>
      </c>
      <c r="K113" s="86"/>
      <c r="L113" s="86"/>
      <c r="M113" s="86"/>
      <c r="N113" s="98" t="s">
        <v>172</v>
      </c>
      <c r="O113" s="15"/>
      <c r="P113" s="228"/>
    </row>
    <row r="114" spans="3:16" x14ac:dyDescent="0.25">
      <c r="C114" s="102"/>
      <c r="E114" s="12"/>
      <c r="F114" s="13" t="s">
        <v>79</v>
      </c>
      <c r="G114" s="69">
        <f>'Benchmarking Calculations'!G80</f>
        <v>0</v>
      </c>
      <c r="H114" s="52">
        <f>H113</f>
        <v>0</v>
      </c>
      <c r="I114" s="52">
        <f t="shared" ref="I114:M114" si="63">I113</f>
        <v>0</v>
      </c>
      <c r="J114" s="52">
        <f t="shared" si="63"/>
        <v>0</v>
      </c>
      <c r="K114" s="52">
        <f t="shared" si="63"/>
        <v>0</v>
      </c>
      <c r="L114" s="52">
        <f t="shared" si="63"/>
        <v>0</v>
      </c>
      <c r="M114" s="52">
        <f t="shared" si="63"/>
        <v>0</v>
      </c>
      <c r="N114" s="98" t="s">
        <v>29</v>
      </c>
      <c r="O114" s="15"/>
      <c r="P114" s="228"/>
    </row>
    <row r="115" spans="3:16" x14ac:dyDescent="0.25">
      <c r="C115" s="102"/>
      <c r="E115" s="112" t="s">
        <v>197</v>
      </c>
      <c r="F115" s="13" t="s">
        <v>80</v>
      </c>
      <c r="G115" s="38">
        <f>'Benchmarking Calculations'!G81</f>
        <v>10485033</v>
      </c>
      <c r="H115" s="52">
        <f>H64+H78+H86+H91+H109+H112</f>
        <v>12003297.300000001</v>
      </c>
      <c r="I115" s="52">
        <f t="shared" ref="I115:M115" si="64">I64+I78+I86+I91+I109+I112</f>
        <v>12720684.290184658</v>
      </c>
      <c r="J115" s="52">
        <f t="shared" si="64"/>
        <v>13138192.342015719</v>
      </c>
      <c r="K115" s="52">
        <f t="shared" si="64"/>
        <v>13532338.112276191</v>
      </c>
      <c r="L115" s="52">
        <f t="shared" si="64"/>
        <v>13938308.255644474</v>
      </c>
      <c r="M115" s="52">
        <f t="shared" si="64"/>
        <v>14356457.503313811</v>
      </c>
      <c r="N115" s="98" t="s">
        <v>29</v>
      </c>
      <c r="O115" s="15"/>
      <c r="P115" s="228"/>
    </row>
    <row r="116" spans="3:16" x14ac:dyDescent="0.25">
      <c r="C116" s="102"/>
      <c r="F116" s="13"/>
      <c r="G116" s="38"/>
      <c r="H116" s="53"/>
      <c r="I116" s="15"/>
      <c r="N116" s="98"/>
    </row>
    <row r="117" spans="3:16" x14ac:dyDescent="0.25">
      <c r="C117" s="102"/>
      <c r="D117" s="8" t="s">
        <v>81</v>
      </c>
      <c r="F117" s="2"/>
      <c r="G117" s="38"/>
      <c r="H117" s="53"/>
      <c r="N117" s="98"/>
    </row>
    <row r="118" spans="3:16" x14ac:dyDescent="0.25">
      <c r="C118" s="102"/>
      <c r="F118" s="9">
        <v>5014</v>
      </c>
      <c r="G118" s="38">
        <f>G47</f>
        <v>0</v>
      </c>
      <c r="H118" s="38">
        <f t="shared" ref="H118:L118" si="65">H47</f>
        <v>0</v>
      </c>
      <c r="I118" s="38">
        <f t="shared" si="65"/>
        <v>0</v>
      </c>
      <c r="J118" s="38">
        <f t="shared" si="65"/>
        <v>0</v>
      </c>
      <c r="K118" s="38">
        <f t="shared" si="65"/>
        <v>0</v>
      </c>
      <c r="L118" s="38">
        <f t="shared" si="65"/>
        <v>0</v>
      </c>
      <c r="M118" s="38">
        <f t="shared" ref="M118" si="66">M47</f>
        <v>0</v>
      </c>
      <c r="N118" s="98" t="s">
        <v>29</v>
      </c>
    </row>
    <row r="119" spans="3:16" x14ac:dyDescent="0.25">
      <c r="C119" s="102"/>
      <c r="F119" s="9">
        <v>5015</v>
      </c>
      <c r="G119" s="38">
        <f>G48</f>
        <v>0</v>
      </c>
      <c r="H119" s="38">
        <f t="shared" ref="H119:L119" si="67">H48</f>
        <v>0</v>
      </c>
      <c r="I119" s="38">
        <f t="shared" si="67"/>
        <v>0</v>
      </c>
      <c r="J119" s="38">
        <f t="shared" si="67"/>
        <v>0</v>
      </c>
      <c r="K119" s="38">
        <f t="shared" si="67"/>
        <v>0</v>
      </c>
      <c r="L119" s="38">
        <f t="shared" si="67"/>
        <v>0</v>
      </c>
      <c r="M119" s="38">
        <f t="shared" ref="M119" si="68">M48</f>
        <v>0</v>
      </c>
      <c r="N119" s="98" t="s">
        <v>29</v>
      </c>
    </row>
    <row r="120" spans="3:16" x14ac:dyDescent="0.25">
      <c r="C120" s="102"/>
      <c r="F120" s="9">
        <v>5112</v>
      </c>
      <c r="G120" s="38">
        <f>G67</f>
        <v>0</v>
      </c>
      <c r="H120" s="38">
        <f t="shared" ref="H120:L120" si="69">H67</f>
        <v>0</v>
      </c>
      <c r="I120" s="38">
        <f t="shared" si="69"/>
        <v>0</v>
      </c>
      <c r="J120" s="38">
        <f t="shared" si="69"/>
        <v>0</v>
      </c>
      <c r="K120" s="38">
        <f t="shared" si="69"/>
        <v>0</v>
      </c>
      <c r="L120" s="38">
        <f t="shared" si="69"/>
        <v>0</v>
      </c>
      <c r="M120" s="38">
        <f t="shared" ref="M120" si="70">M67</f>
        <v>0</v>
      </c>
      <c r="N120" s="98" t="s">
        <v>29</v>
      </c>
    </row>
    <row r="121" spans="3:16" x14ac:dyDescent="0.25">
      <c r="C121" s="102"/>
      <c r="E121" s="112" t="s">
        <v>198</v>
      </c>
      <c r="F121" s="13" t="s">
        <v>82</v>
      </c>
      <c r="G121" s="69">
        <f>'Benchmarking Calculations'!G87</f>
        <v>0</v>
      </c>
      <c r="H121" s="69">
        <f>H47+H48+H67</f>
        <v>0</v>
      </c>
      <c r="I121" s="69">
        <f t="shared" ref="I121:L121" si="71">I47+I48+I67</f>
        <v>0</v>
      </c>
      <c r="J121" s="69">
        <f t="shared" si="71"/>
        <v>0</v>
      </c>
      <c r="K121" s="69">
        <f t="shared" si="71"/>
        <v>0</v>
      </c>
      <c r="L121" s="69">
        <f t="shared" si="71"/>
        <v>0</v>
      </c>
      <c r="M121" s="69">
        <f t="shared" ref="M121" si="72">M47+M48+M67</f>
        <v>0</v>
      </c>
      <c r="N121" s="113" t="s">
        <v>29</v>
      </c>
    </row>
    <row r="122" spans="3:16" x14ac:dyDescent="0.25">
      <c r="C122" s="102"/>
      <c r="E122" s="112" t="s">
        <v>199</v>
      </c>
      <c r="F122" s="13" t="s">
        <v>83</v>
      </c>
      <c r="G122" s="69">
        <f>'Benchmarking Calculations'!G88</f>
        <v>0</v>
      </c>
      <c r="H122" s="114">
        <f>G122</f>
        <v>0</v>
      </c>
      <c r="I122" s="114">
        <f t="shared" ref="I122:M122" si="73">H122</f>
        <v>0</v>
      </c>
      <c r="J122" s="114">
        <f t="shared" si="73"/>
        <v>0</v>
      </c>
      <c r="K122" s="114">
        <f t="shared" si="73"/>
        <v>0</v>
      </c>
      <c r="L122" s="114">
        <f t="shared" si="73"/>
        <v>0</v>
      </c>
      <c r="M122" s="114">
        <f t="shared" si="73"/>
        <v>0</v>
      </c>
      <c r="N122" s="113" t="s">
        <v>172</v>
      </c>
    </row>
    <row r="123" spans="3:16" ht="13.2" thickBot="1" x14ac:dyDescent="0.3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8">
    <mergeCell ref="O40:O43"/>
    <mergeCell ref="H34:M34"/>
    <mergeCell ref="C2:N2"/>
    <mergeCell ref="C3:N3"/>
    <mergeCell ref="H8:M8"/>
    <mergeCell ref="H19:M19"/>
    <mergeCell ref="O20:O22"/>
    <mergeCell ref="K5:M5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T277"/>
  <sheetViews>
    <sheetView zoomScale="90" zoomScaleNormal="90" workbookViewId="0">
      <pane ySplit="5" topLeftCell="A250" activePane="bottomLeft" state="frozen"/>
      <selection activeCell="G33" sqref="G33"/>
      <selection pane="bottomLeft" sqref="A1:K1"/>
    </sheetView>
  </sheetViews>
  <sheetFormatPr defaultColWidth="9.21875" defaultRowHeight="12.6" outlineLevelRow="1" x14ac:dyDescent="0.25"/>
  <cols>
    <col min="1" max="1" width="6.5546875" customWidth="1"/>
    <col min="2" max="2" width="11.77734375" customWidth="1"/>
    <col min="3" max="3" width="17.21875" customWidth="1"/>
    <col min="4" max="4" width="7" customWidth="1"/>
    <col min="5" max="5" width="55.44140625" style="2" customWidth="1"/>
    <col min="6" max="6" width="16" style="181" hidden="1" customWidth="1"/>
    <col min="7" max="11" width="16" customWidth="1"/>
    <col min="12" max="12" width="16.21875" customWidth="1"/>
    <col min="13" max="13" width="16.77734375" customWidth="1"/>
    <col min="14" max="14" width="9.77734375" style="153" hidden="1" customWidth="1"/>
    <col min="15" max="15" width="9.21875" style="72" hidden="1" customWidth="1"/>
    <col min="16" max="16" width="16.21875" style="72" hidden="1" customWidth="1"/>
    <col min="17" max="17" width="15.77734375" hidden="1" customWidth="1"/>
    <col min="18" max="18" width="18.21875" style="72" hidden="1" customWidth="1"/>
    <col min="19" max="19" width="14.21875" style="72" hidden="1" customWidth="1"/>
    <col min="20" max="20" width="17.21875" style="72" hidden="1" customWidth="1"/>
    <col min="21" max="23" width="14.21875" style="72" hidden="1" customWidth="1"/>
    <col min="24" max="24" width="17.21875" style="72" hidden="1" customWidth="1"/>
    <col min="25" max="25" width="21.44140625" style="72" hidden="1" customWidth="1"/>
    <col min="26" max="26" width="21" style="72" hidden="1" customWidth="1"/>
    <col min="27" max="27" width="19.44140625" style="72" hidden="1" customWidth="1"/>
    <col min="28" max="29" width="14.21875" style="72" hidden="1" customWidth="1"/>
    <col min="30" max="30" width="16.44140625" style="72" hidden="1" customWidth="1"/>
    <col min="31" max="31" width="15.44140625" style="72" hidden="1" customWidth="1"/>
    <col min="32" max="32" width="19.21875" style="72" hidden="1" customWidth="1"/>
    <col min="33" max="33" width="18.77734375" style="72" hidden="1" customWidth="1"/>
    <col min="34" max="34" width="18.21875" style="72" hidden="1" customWidth="1"/>
    <col min="35" max="35" width="14.21875" style="72" hidden="1" customWidth="1"/>
    <col min="36" max="36" width="18.21875" style="72" hidden="1" customWidth="1"/>
    <col min="37" max="37" width="14.21875" style="72" hidden="1" customWidth="1"/>
    <col min="38" max="38" width="17.44140625" style="72" hidden="1" customWidth="1"/>
    <col min="39" max="39" width="16.5546875" style="72" hidden="1" customWidth="1"/>
    <col min="40" max="40" width="18.77734375" style="72" hidden="1" customWidth="1"/>
    <col min="41" max="41" width="16.77734375" style="72" hidden="1" customWidth="1"/>
    <col min="42" max="43" width="13.44140625" style="72" hidden="1" customWidth="1"/>
    <col min="44" max="44" width="19.21875" style="72" hidden="1" customWidth="1"/>
    <col min="45" max="45" width="15.77734375" style="72" hidden="1" customWidth="1"/>
    <col min="46" max="46" width="17.21875" style="72" hidden="1" customWidth="1"/>
    <col min="47" max="47" width="18" style="72" hidden="1" customWidth="1"/>
    <col min="48" max="48" width="13.44140625" style="72" hidden="1" customWidth="1"/>
    <col min="49" max="49" width="17.21875" style="72" hidden="1" customWidth="1"/>
    <col min="50" max="50" width="13.44140625" style="72" hidden="1" customWidth="1"/>
    <col min="51" max="51" width="17.21875" style="72" hidden="1" customWidth="1"/>
    <col min="52" max="52" width="18.21875" style="72" hidden="1" customWidth="1"/>
    <col min="53" max="53" width="21.21875" style="72" hidden="1" customWidth="1"/>
    <col min="54" max="54" width="18.44140625" style="72" hidden="1" customWidth="1"/>
    <col min="55" max="55" width="18" style="72" hidden="1" customWidth="1"/>
    <col min="56" max="60" width="13.44140625" style="72" hidden="1" customWidth="1"/>
    <col min="61" max="61" width="14.77734375" style="72" hidden="1" customWidth="1"/>
    <col min="62" max="62" width="15.77734375" style="72" hidden="1" customWidth="1"/>
    <col min="63" max="63" width="13.44140625" style="72" hidden="1" customWidth="1"/>
    <col min="64" max="64" width="16.44140625" style="72" hidden="1" customWidth="1"/>
    <col min="65" max="65" width="16.21875" style="72" hidden="1" customWidth="1"/>
    <col min="66" max="69" width="13.44140625" style="72" hidden="1" customWidth="1"/>
    <col min="70" max="70" width="15.21875" style="72" hidden="1" customWidth="1"/>
    <col min="71" max="71" width="13.44140625" style="72" hidden="1" customWidth="1"/>
    <col min="72" max="72" width="15.77734375" style="72" hidden="1" customWidth="1"/>
    <col min="73" max="73" width="13.44140625" style="72" hidden="1" customWidth="1"/>
    <col min="74" max="74" width="16.21875" style="72" hidden="1" customWidth="1"/>
    <col min="75" max="78" width="13.44140625" style="72" hidden="1" customWidth="1"/>
    <col min="79" max="79" width="17.21875" style="72" hidden="1" customWidth="1"/>
    <col min="80" max="83" width="13.44140625" style="72" hidden="1" customWidth="1"/>
    <col min="84" max="149" width="9.21875" customWidth="1"/>
    <col min="150" max="150" width="9.21875" style="47" customWidth="1"/>
  </cols>
  <sheetData>
    <row r="1" spans="1:150" ht="23.4" thickBot="1" x14ac:dyDescent="0.45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O1" s="82"/>
      <c r="P1" s="209" t="s">
        <v>265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19.2" thickTop="1" thickBot="1" x14ac:dyDescent="0.4">
      <c r="A2" s="1"/>
      <c r="B2" s="1"/>
      <c r="R2" s="118"/>
    </row>
    <row r="3" spans="1:150" s="120" customFormat="1" ht="75.75" customHeight="1" thickBot="1" x14ac:dyDescent="0.35">
      <c r="B3" s="238" t="s">
        <v>1</v>
      </c>
      <c r="C3" s="238"/>
      <c r="D3" s="141"/>
      <c r="E3" s="65" t="str">
        <f>'Model Inputs'!F5</f>
        <v>Milton Hydro Distribution Inc.</v>
      </c>
      <c r="F3" s="182"/>
      <c r="G3" s="143"/>
      <c r="N3" s="154"/>
      <c r="O3" s="120">
        <v>1</v>
      </c>
      <c r="P3" s="120" t="s">
        <v>263</v>
      </c>
      <c r="Q3" t="s">
        <v>254</v>
      </c>
      <c r="R3" s="142" t="s">
        <v>202</v>
      </c>
      <c r="S3" s="142" t="s">
        <v>203</v>
      </c>
      <c r="T3" s="142" t="s">
        <v>204</v>
      </c>
      <c r="U3" s="142" t="s">
        <v>205</v>
      </c>
      <c r="V3" s="142" t="s">
        <v>206</v>
      </c>
      <c r="W3" s="142" t="s">
        <v>207</v>
      </c>
      <c r="X3" s="142" t="s">
        <v>208</v>
      </c>
      <c r="Y3" s="142" t="s">
        <v>209</v>
      </c>
      <c r="Z3" s="142" t="s">
        <v>210</v>
      </c>
      <c r="AA3" s="142" t="s">
        <v>211</v>
      </c>
      <c r="AB3" s="142" t="s">
        <v>258</v>
      </c>
      <c r="AC3" s="142" t="s">
        <v>259</v>
      </c>
      <c r="AD3" s="142" t="s">
        <v>212</v>
      </c>
      <c r="AE3" s="142" t="s">
        <v>260</v>
      </c>
      <c r="AF3" s="142" t="s">
        <v>256</v>
      </c>
      <c r="AG3" s="142" t="s">
        <v>257</v>
      </c>
      <c r="AH3" s="142" t="s">
        <v>213</v>
      </c>
      <c r="AI3" s="142" t="s">
        <v>214</v>
      </c>
      <c r="AJ3" s="142" t="s">
        <v>215</v>
      </c>
      <c r="AK3" s="142" t="s">
        <v>216</v>
      </c>
      <c r="AL3" s="142" t="s">
        <v>217</v>
      </c>
      <c r="AM3" s="142" t="s">
        <v>261</v>
      </c>
      <c r="AN3" s="142" t="s">
        <v>218</v>
      </c>
      <c r="AO3" s="142" t="s">
        <v>219</v>
      </c>
      <c r="AP3" s="142" t="s">
        <v>220</v>
      </c>
      <c r="AQ3" s="142" t="s">
        <v>221</v>
      </c>
      <c r="AR3" s="142" t="s">
        <v>222</v>
      </c>
      <c r="AS3" s="142" t="s">
        <v>223</v>
      </c>
      <c r="AT3" s="142" t="s">
        <v>255</v>
      </c>
      <c r="AU3" s="142" t="s">
        <v>224</v>
      </c>
      <c r="AV3" s="142" t="s">
        <v>225</v>
      </c>
      <c r="AW3" s="142" t="s">
        <v>226</v>
      </c>
      <c r="AX3" s="142" t="s">
        <v>227</v>
      </c>
      <c r="AY3" s="142" t="s">
        <v>228</v>
      </c>
      <c r="AZ3" s="142" t="s">
        <v>229</v>
      </c>
      <c r="BA3" s="142" t="s">
        <v>230</v>
      </c>
      <c r="BB3" s="142" t="s">
        <v>231</v>
      </c>
      <c r="BC3" s="142" t="s">
        <v>232</v>
      </c>
      <c r="BD3" s="142" t="s">
        <v>233</v>
      </c>
      <c r="BE3" s="142" t="s">
        <v>234</v>
      </c>
      <c r="BF3" s="142" t="s">
        <v>235</v>
      </c>
      <c r="BG3" s="142" t="s">
        <v>236</v>
      </c>
      <c r="BH3" s="142" t="s">
        <v>237</v>
      </c>
      <c r="BI3" s="142" t="s">
        <v>238</v>
      </c>
      <c r="BJ3" s="142" t="s">
        <v>239</v>
      </c>
      <c r="BK3" s="142" t="s">
        <v>240</v>
      </c>
      <c r="BL3" s="142" t="s">
        <v>241</v>
      </c>
      <c r="BM3" s="142" t="s">
        <v>242</v>
      </c>
      <c r="BN3" s="142" t="s">
        <v>243</v>
      </c>
      <c r="BO3" s="142" t="s">
        <v>244</v>
      </c>
      <c r="BP3" s="142" t="s">
        <v>262</v>
      </c>
      <c r="BQ3" s="142" t="s">
        <v>245</v>
      </c>
      <c r="BR3" s="142" t="s">
        <v>246</v>
      </c>
      <c r="BS3" s="142" t="s">
        <v>247</v>
      </c>
      <c r="BT3" s="142" t="s">
        <v>248</v>
      </c>
      <c r="BU3" s="142" t="s">
        <v>249</v>
      </c>
      <c r="BV3" s="142" t="s">
        <v>250</v>
      </c>
      <c r="BW3" s="142" t="s">
        <v>251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3">
      <c r="E4" s="172"/>
      <c r="F4" s="239"/>
      <c r="G4" s="240"/>
      <c r="H4" s="241" t="s">
        <v>2</v>
      </c>
      <c r="I4" s="239"/>
      <c r="J4" s="239"/>
      <c r="K4" s="239"/>
      <c r="L4" s="239"/>
      <c r="M4" s="239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7.799999999999997" x14ac:dyDescent="0.25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252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5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2" thickBot="1" x14ac:dyDescent="0.3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5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5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5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0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5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184650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5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0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5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5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8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17011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5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76835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5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13000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5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0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5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0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5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40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6" outlineLevel="1" x14ac:dyDescent="0.3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338941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5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0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5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380499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5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340138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5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78821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5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1118797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5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5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0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5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5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2548732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5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0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5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5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5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0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5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144965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5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415073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5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0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5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473379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5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0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5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121306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5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0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5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161041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5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16315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5">
      <c r="B44" s="2">
        <v>36</v>
      </c>
      <c r="C44" s="12"/>
      <c r="D44" s="140"/>
      <c r="E44" s="13" t="s">
        <v>43</v>
      </c>
      <c r="F44" s="185"/>
      <c r="G44" s="66">
        <f t="shared" si="2"/>
        <v>1332079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5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0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5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308825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5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1578718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5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272600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5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931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5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5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0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5">
      <c r="B52" s="2">
        <v>44</v>
      </c>
      <c r="C52" s="12"/>
      <c r="D52" s="140"/>
      <c r="E52" s="13" t="s">
        <v>51</v>
      </c>
      <c r="F52" s="185"/>
      <c r="G52" s="66">
        <f t="shared" si="2"/>
        <v>2161074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5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5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17500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5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5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5">
      <c r="B57" s="2">
        <v>49</v>
      </c>
      <c r="C57" s="12"/>
      <c r="D57" s="140"/>
      <c r="E57" s="13" t="s">
        <v>56</v>
      </c>
      <c r="F57" s="185"/>
      <c r="G57" s="66">
        <f t="shared" si="2"/>
        <v>17500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5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96666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5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1282096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5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936690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5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300029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5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-156931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5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638303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5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0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5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32010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5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5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5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5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113393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5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413660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5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5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5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625649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5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0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5">
      <c r="B75" s="2">
        <v>67</v>
      </c>
      <c r="C75" s="10"/>
      <c r="D75" s="140"/>
      <c r="E75" s="13" t="s">
        <v>74</v>
      </c>
      <c r="F75" s="185"/>
      <c r="G75" s="66">
        <f t="shared" si="3"/>
        <v>4281565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5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144083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5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5">
      <c r="B78" s="2">
        <v>70</v>
      </c>
      <c r="D78" s="2"/>
      <c r="E78" s="13" t="s">
        <v>77</v>
      </c>
      <c r="F78" s="185"/>
      <c r="G78" s="66">
        <f t="shared" si="3"/>
        <v>144083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5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5">
      <c r="B80" s="2">
        <v>72</v>
      </c>
      <c r="D80" s="12"/>
      <c r="E80" s="13" t="s">
        <v>79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5">
      <c r="B81" s="2">
        <v>73</v>
      </c>
      <c r="E81" s="13" t="s">
        <v>80</v>
      </c>
      <c r="F81" s="185"/>
      <c r="G81" s="66">
        <f t="shared" si="3"/>
        <v>10485033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5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5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5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5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5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5">
      <c r="B87" s="2">
        <v>79</v>
      </c>
      <c r="E87" s="9" t="s">
        <v>82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2" thickBot="1" x14ac:dyDescent="0.3">
      <c r="B88" s="2">
        <v>80</v>
      </c>
      <c r="E88" s="9" t="s">
        <v>83</v>
      </c>
      <c r="F88" s="184"/>
      <c r="G88" s="66">
        <f t="shared" si="4"/>
        <v>0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2" thickBot="1" x14ac:dyDescent="0.3">
      <c r="B89" s="2">
        <v>81</v>
      </c>
      <c r="E89" s="9" t="s">
        <v>84</v>
      </c>
      <c r="F89" s="184"/>
      <c r="G89" s="66">
        <f t="shared" si="4"/>
        <v>10485033</v>
      </c>
      <c r="H89" s="121">
        <f>'Model Inputs'!H31</f>
        <v>12003297.300000001</v>
      </c>
      <c r="I89" s="122">
        <f>'Model Inputs'!I31</f>
        <v>12720684.290184658</v>
      </c>
      <c r="J89" s="122">
        <f>'Model Inputs'!J31</f>
        <v>13138192.342015719</v>
      </c>
      <c r="K89" s="122">
        <f>'Model Inputs'!K31</f>
        <v>13532338.112276191</v>
      </c>
      <c r="L89" s="122">
        <f>'Model Inputs'!L31</f>
        <v>13938308.255644474</v>
      </c>
      <c r="M89" s="123">
        <f>'Model Inputs'!M31</f>
        <v>14356457.503313811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5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2" thickBot="1" x14ac:dyDescent="0.3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2" thickBot="1" x14ac:dyDescent="0.3">
      <c r="B92" s="2">
        <v>84</v>
      </c>
      <c r="E92" s="9" t="s">
        <v>86</v>
      </c>
      <c r="F92" s="184"/>
      <c r="G92" s="66">
        <f>HLOOKUP($E$3,$P$3:$CE$269,O92,FALSE)</f>
        <v>9705878</v>
      </c>
      <c r="H92" s="121">
        <f>'Model Inputs'!H9</f>
        <v>8790584</v>
      </c>
      <c r="I92" s="122">
        <f>'Model Inputs'!I9</f>
        <v>13961074</v>
      </c>
      <c r="J92" s="122">
        <f>'Model Inputs'!J9</f>
        <v>10699225</v>
      </c>
      <c r="K92" s="122">
        <f>'Model Inputs'!K9</f>
        <v>11443000</v>
      </c>
      <c r="L92" s="122">
        <f>'Model Inputs'!L9</f>
        <v>10295000</v>
      </c>
      <c r="M92" s="123">
        <f>'Model Inputs'!M9</f>
        <v>12089000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2" thickBot="1" x14ac:dyDescent="0.3">
      <c r="B93" s="2">
        <v>85</v>
      </c>
      <c r="E93" s="9" t="s">
        <v>87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5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2" thickBot="1" x14ac:dyDescent="0.3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2" thickBot="1" x14ac:dyDescent="0.3">
      <c r="B96" s="2">
        <v>88</v>
      </c>
      <c r="E96" t="s">
        <v>89</v>
      </c>
      <c r="F96" s="184"/>
      <c r="G96" s="66">
        <f>HLOOKUP($E$3,$P$3:$CE$269,O96,FALSE)</f>
        <v>41221</v>
      </c>
      <c r="H96" s="121">
        <f>'Model Inputs'!H13</f>
        <v>42082</v>
      </c>
      <c r="I96" s="122">
        <f>'Model Inputs'!I13</f>
        <v>42939.720562770082</v>
      </c>
      <c r="J96" s="122">
        <f>'Model Inputs'!J13</f>
        <v>43856.349756070565</v>
      </c>
      <c r="K96" s="122">
        <f>'Model Inputs'!K13</f>
        <v>44294.913253631268</v>
      </c>
      <c r="L96" s="122">
        <f>'Model Inputs'!L13</f>
        <v>44737.862386167581</v>
      </c>
      <c r="M96" s="123">
        <f>'Model Inputs'!M13</f>
        <v>45185.241010029255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2" thickBot="1" x14ac:dyDescent="0.3">
      <c r="B97" s="2">
        <v>89</v>
      </c>
      <c r="E97" t="s">
        <v>90</v>
      </c>
      <c r="F97" s="184"/>
      <c r="G97" s="66">
        <f>HLOOKUP($E$3,$P$3:$CE$269,O97,FALSE)</f>
        <v>907146501</v>
      </c>
      <c r="H97" s="121">
        <f>'Model Inputs'!H14</f>
        <v>933034649</v>
      </c>
      <c r="I97" s="122">
        <f>'Model Inputs'!I14</f>
        <v>915919500.94338608</v>
      </c>
      <c r="J97" s="122">
        <f>'Model Inputs'!J14</f>
        <v>925987880.81936657</v>
      </c>
      <c r="K97" s="122">
        <f>'Model Inputs'!K14</f>
        <v>925987880.81936657</v>
      </c>
      <c r="L97" s="122">
        <f>'Model Inputs'!L14</f>
        <v>925987880.81936657</v>
      </c>
      <c r="M97" s="123">
        <f>'Model Inputs'!M14</f>
        <v>925987880.81936657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2" thickBot="1" x14ac:dyDescent="0.3">
      <c r="B98" s="2">
        <v>90</v>
      </c>
      <c r="E98" t="s">
        <v>91</v>
      </c>
      <c r="F98" s="184"/>
      <c r="G98" s="66">
        <f>HLOOKUP($E$3,$P$3:$CE$269,O98,FALSE)</f>
        <v>194762</v>
      </c>
      <c r="H98" s="121">
        <f>'Model Inputs'!H15</f>
        <v>190210</v>
      </c>
      <c r="I98" s="122">
        <f>'Model Inputs'!I15</f>
        <v>181326.90539383661</v>
      </c>
      <c r="J98" s="122">
        <f>'Model Inputs'!J15</f>
        <v>183583.36230097598</v>
      </c>
      <c r="K98" s="122">
        <f>'Model Inputs'!K15</f>
        <v>183583.36230097598</v>
      </c>
      <c r="L98" s="122">
        <f>'Model Inputs'!L15</f>
        <v>183583.36230097598</v>
      </c>
      <c r="M98" s="123">
        <f>'Model Inputs'!M15</f>
        <v>183583.36230097598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2" thickBot="1" x14ac:dyDescent="0.3">
      <c r="B99" s="2">
        <v>91</v>
      </c>
      <c r="E99" s="9" t="s">
        <v>92</v>
      </c>
      <c r="F99" s="184"/>
      <c r="G99" s="66">
        <f>HLOOKUP($E$3,$P$3:$CE$269,O99,FALSE)</f>
        <v>2767</v>
      </c>
      <c r="H99" s="121">
        <f>'Model Inputs'!H16</f>
        <v>2814</v>
      </c>
      <c r="I99" s="122">
        <f>'Model Inputs'!I16</f>
        <v>2863</v>
      </c>
      <c r="J99" s="122">
        <f>'Model Inputs'!J16</f>
        <v>2914</v>
      </c>
      <c r="K99" s="122">
        <f>'Model Inputs'!K16</f>
        <v>2914</v>
      </c>
      <c r="L99" s="122">
        <f>'Model Inputs'!L16</f>
        <v>2914</v>
      </c>
      <c r="M99" s="123">
        <f>'Model Inputs'!M16</f>
        <v>2914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5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5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2" thickBot="1" x14ac:dyDescent="0.3">
      <c r="A102" s="236" t="s">
        <v>93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2" thickTop="1" x14ac:dyDescent="0.25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5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5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5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5">
      <c r="B107" s="2">
        <v>96</v>
      </c>
      <c r="C107" t="s">
        <v>95</v>
      </c>
      <c r="E107"/>
      <c r="F107" s="184"/>
      <c r="G107" s="15">
        <f>HLOOKUP($E$3,$P$3:$CE$269,O107,FALSE)</f>
        <v>10485033</v>
      </c>
      <c r="H107" s="15">
        <f t="shared" ref="H107:K107" si="5">H89</f>
        <v>12003297.300000001</v>
      </c>
      <c r="I107" s="15">
        <f t="shared" si="5"/>
        <v>12720684.290184658</v>
      </c>
      <c r="J107" s="15">
        <f t="shared" si="5"/>
        <v>13138192.342015719</v>
      </c>
      <c r="K107" s="15">
        <f t="shared" si="5"/>
        <v>13532338.112276191</v>
      </c>
      <c r="L107" s="15">
        <f t="shared" ref="L107" si="6">L89</f>
        <v>13938308.255644474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5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2" thickBot="1" x14ac:dyDescent="0.3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2" thickBot="1" x14ac:dyDescent="0.3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0.05</v>
      </c>
      <c r="I110" s="125">
        <f>'Model Inputs'!I22</f>
        <v>5.4699999999999999E-2</v>
      </c>
      <c r="J110" s="125">
        <f>'Model Inputs'!J22</f>
        <v>5.5942910924842007E-2</v>
      </c>
      <c r="K110" s="125">
        <f>'Model Inputs'!K22</f>
        <v>5.5942910924842007E-2</v>
      </c>
      <c r="L110" s="125">
        <f>'Model Inputs'!L22</f>
        <v>5.5942910924842007E-2</v>
      </c>
      <c r="M110" s="126">
        <f>'Model Inputs'!M22</f>
        <v>5.5942910924842007E-2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2" thickBot="1" x14ac:dyDescent="0.3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2" thickBot="1" x14ac:dyDescent="0.3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183.59751120281535</v>
      </c>
      <c r="I112" s="128">
        <f>H112*EXP('Model Inputs'!I21)</f>
        <v>186.74534971049962</v>
      </c>
      <c r="J112" s="128">
        <f>I112*EXP('Model Inputs'!J21)</f>
        <v>193.01075689409308</v>
      </c>
      <c r="K112" s="128">
        <f>J112*EXP('Model Inputs'!K21)</f>
        <v>199.48637186726245</v>
      </c>
      <c r="L112" s="128">
        <f>K112*EXP('Model Inputs'!L21)</f>
        <v>206.17924721470072</v>
      </c>
      <c r="M112" s="129">
        <f>L112*EXP('Model Inputs'!M21)</f>
        <v>213.09667213912039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2" thickBot="1" x14ac:dyDescent="0.3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17.246965056291078</v>
      </c>
      <c r="I113" s="15">
        <f t="shared" si="8"/>
        <v>18.614395414505935</v>
      </c>
      <c r="J113" s="15">
        <f t="shared" si="8"/>
        <v>19.306272205921822</v>
      </c>
      <c r="K113" s="15">
        <f t="shared" si="8"/>
        <v>19.954008049169929</v>
      </c>
      <c r="L113" s="15">
        <f t="shared" si="8"/>
        <v>20.623475779244934</v>
      </c>
      <c r="M113" s="15">
        <f t="shared" si="8"/>
        <v>21.315404512668607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5">
      <c r="B114" s="2">
        <v>103</v>
      </c>
      <c r="E114" t="s">
        <v>101</v>
      </c>
      <c r="F114" s="186"/>
      <c r="G114" s="6">
        <f t="shared" si="7"/>
        <v>9705878</v>
      </c>
      <c r="H114" s="130">
        <f>H92</f>
        <v>8790584</v>
      </c>
      <c r="I114" s="131">
        <f t="shared" ref="I114:L114" si="9">I92</f>
        <v>13961074</v>
      </c>
      <c r="J114" s="131">
        <f t="shared" si="9"/>
        <v>10699225</v>
      </c>
      <c r="K114" s="131">
        <f t="shared" si="9"/>
        <v>11443000</v>
      </c>
      <c r="L114" s="131">
        <f t="shared" si="9"/>
        <v>10295000</v>
      </c>
      <c r="M114" s="132">
        <f t="shared" ref="M114" si="10">M92</f>
        <v>12089000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2" thickBot="1" x14ac:dyDescent="0.3">
      <c r="B115" s="2">
        <v>104</v>
      </c>
      <c r="E115" t="s">
        <v>102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5">
      <c r="B116" s="2">
        <v>105</v>
      </c>
      <c r="E116" t="s">
        <v>103</v>
      </c>
      <c r="F116" s="186"/>
      <c r="G116" s="6">
        <f t="shared" si="7"/>
        <v>55022.98669270314</v>
      </c>
      <c r="H116" s="6">
        <f t="shared" ref="H116:K116" si="13">(H114-H115)/H112</f>
        <v>47879.646855829502</v>
      </c>
      <c r="I116" s="6">
        <f t="shared" si="13"/>
        <v>74759.955316922409</v>
      </c>
      <c r="J116" s="6">
        <f t="shared" si="13"/>
        <v>55433.30937700416</v>
      </c>
      <c r="K116" s="6">
        <f t="shared" si="13"/>
        <v>57362.314492411206</v>
      </c>
      <c r="L116" s="6">
        <f t="shared" ref="L116:M116" si="14">(L114-L115)/L112</f>
        <v>49932.28047476332</v>
      </c>
      <c r="M116" s="6">
        <f t="shared" si="14"/>
        <v>56730.12102276137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5">
      <c r="B117" s="2">
        <v>106</v>
      </c>
      <c r="E117" t="s">
        <v>104</v>
      </c>
      <c r="F117" s="191"/>
      <c r="G117" s="17">
        <f t="shared" si="7"/>
        <v>46307.093091339164</v>
      </c>
      <c r="H117" s="17">
        <f t="shared" ref="H117:M117" si="15">H111*G118</f>
        <v>46707.152607641772</v>
      </c>
      <c r="I117" s="17">
        <f t="shared" si="15"/>
        <v>46760.970093633587</v>
      </c>
      <c r="J117" s="17">
        <f t="shared" si="15"/>
        <v>48046.123515382547</v>
      </c>
      <c r="K117" s="17">
        <f t="shared" si="15"/>
        <v>48385.195346430985</v>
      </c>
      <c r="L117" s="17">
        <f t="shared" si="15"/>
        <v>48797.245115231475</v>
      </c>
      <c r="M117" s="17">
        <f t="shared" si="15"/>
        <v>48849.343238233989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5">
      <c r="B118" s="2">
        <v>107</v>
      </c>
      <c r="E118" t="s">
        <v>105</v>
      </c>
      <c r="F118" s="191"/>
      <c r="G118" s="17">
        <f t="shared" si="7"/>
        <v>1017585.0241316289</v>
      </c>
      <c r="H118" s="17">
        <f t="shared" ref="H118:M118" si="16">G118+H116-H117</f>
        <v>1018757.5183798167</v>
      </c>
      <c r="I118" s="17">
        <f t="shared" si="16"/>
        <v>1046756.5036031055</v>
      </c>
      <c r="J118" s="17">
        <f t="shared" si="16"/>
        <v>1054143.6894647272</v>
      </c>
      <c r="K118" s="17">
        <f t="shared" si="16"/>
        <v>1063120.8086107075</v>
      </c>
      <c r="L118" s="17">
        <f t="shared" si="16"/>
        <v>1064255.8439702394</v>
      </c>
      <c r="M118" s="17">
        <f t="shared" si="16"/>
        <v>1072136.6217547667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5">
      <c r="B119" s="2">
        <v>108</v>
      </c>
      <c r="E119" t="s">
        <v>106</v>
      </c>
      <c r="F119" s="191"/>
      <c r="G119" s="17">
        <f t="shared" si="7"/>
        <v>17619203.565675151</v>
      </c>
      <c r="H119" s="17">
        <f t="shared" ref="H119:K119" si="17">H113*H118</f>
        <v>17570475.320330512</v>
      </c>
      <c r="I119" s="17">
        <f t="shared" si="17"/>
        <v>19484739.460773915</v>
      </c>
      <c r="J119" s="17">
        <f t="shared" si="17"/>
        <v>20351585.012960747</v>
      </c>
      <c r="K119" s="17">
        <f t="shared" si="17"/>
        <v>21213521.172258101</v>
      </c>
      <c r="L119" s="17">
        <f t="shared" ref="L119:M119" si="18">L113*L118</f>
        <v>21948654.62104011</v>
      </c>
      <c r="M119" s="17">
        <f t="shared" si="18"/>
        <v>22853025.785548829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5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5">
      <c r="B121" s="2">
        <v>110</v>
      </c>
      <c r="C121" t="s">
        <v>107</v>
      </c>
      <c r="E121"/>
      <c r="F121" s="191"/>
      <c r="G121" s="17">
        <f>HLOOKUP($E$3,$P$3:$CE$269,O121,FALSE)</f>
        <v>28104236.565675151</v>
      </c>
      <c r="H121" s="17">
        <f t="shared" ref="H121:K121" si="19">H107+H119</f>
        <v>29573772.620330513</v>
      </c>
      <c r="I121" s="17">
        <f t="shared" si="19"/>
        <v>32205423.750958573</v>
      </c>
      <c r="J121" s="17">
        <f t="shared" si="19"/>
        <v>33489777.354976468</v>
      </c>
      <c r="K121" s="17">
        <f t="shared" si="19"/>
        <v>34745859.28453429</v>
      </c>
      <c r="L121" s="17">
        <f t="shared" ref="L121:M121" si="20">L107+L119</f>
        <v>35886962.876684584</v>
      </c>
      <c r="M121" s="17">
        <f t="shared" si="20"/>
        <v>22853025.785548829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5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2" thickBot="1" x14ac:dyDescent="0.3">
      <c r="A123" s="236" t="s">
        <v>108</v>
      </c>
      <c r="B123" s="236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2" thickTop="1" x14ac:dyDescent="0.25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5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5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5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5">
      <c r="B128" s="2">
        <v>114</v>
      </c>
      <c r="E128" t="s">
        <v>89</v>
      </c>
      <c r="F128" s="186"/>
      <c r="G128" s="6">
        <f>HLOOKUP($E$3,$P$3:$CE$269,O128,FALSE)</f>
        <v>41221</v>
      </c>
      <c r="H128" s="6">
        <f t="shared" ref="H128:K130" si="21">H96</f>
        <v>42082</v>
      </c>
      <c r="I128" s="6">
        <f t="shared" si="21"/>
        <v>42939.720562770082</v>
      </c>
      <c r="J128" s="6">
        <f t="shared" si="21"/>
        <v>43856.349756070565</v>
      </c>
      <c r="K128" s="6">
        <f t="shared" si="21"/>
        <v>44294.913253631268</v>
      </c>
      <c r="L128" s="6">
        <f t="shared" ref="L128:M128" si="22">L96</f>
        <v>44737.862386167581</v>
      </c>
      <c r="M128" s="6">
        <f t="shared" si="22"/>
        <v>45185.241010029255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5">
      <c r="B129" s="2">
        <v>115</v>
      </c>
      <c r="E129" t="s">
        <v>90</v>
      </c>
      <c r="F129" s="193"/>
      <c r="G129" s="24">
        <f>HLOOKUP($E$3,$P$3:$CE$269,O129,FALSE)</f>
        <v>907146501</v>
      </c>
      <c r="H129" s="24">
        <f t="shared" si="21"/>
        <v>933034649</v>
      </c>
      <c r="I129" s="24">
        <f t="shared" si="21"/>
        <v>915919500.94338608</v>
      </c>
      <c r="J129" s="24">
        <f t="shared" si="21"/>
        <v>925987880.81936657</v>
      </c>
      <c r="K129" s="24">
        <f t="shared" si="21"/>
        <v>925987880.81936657</v>
      </c>
      <c r="L129" s="24">
        <f t="shared" ref="L129:M129" si="23">L97</f>
        <v>925987880.81936657</v>
      </c>
      <c r="M129" s="24">
        <f t="shared" si="23"/>
        <v>925987880.81936657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5">
      <c r="B130" s="2">
        <v>116</v>
      </c>
      <c r="E130" t="s">
        <v>91</v>
      </c>
      <c r="F130" s="186"/>
      <c r="G130" s="6">
        <f>HLOOKUP($E$3,$P$3:$CE$269,O130,FALSE)</f>
        <v>194762</v>
      </c>
      <c r="H130" s="6">
        <f t="shared" si="21"/>
        <v>190210</v>
      </c>
      <c r="I130" s="6">
        <f t="shared" si="21"/>
        <v>181326.90539383661</v>
      </c>
      <c r="J130" s="6">
        <f t="shared" si="21"/>
        <v>183583.36230097598</v>
      </c>
      <c r="K130" s="6">
        <f t="shared" si="21"/>
        <v>183583.36230097598</v>
      </c>
      <c r="L130" s="6">
        <f t="shared" ref="L130:M130" si="24">L98</f>
        <v>183583.36230097598</v>
      </c>
      <c r="M130" s="6">
        <f t="shared" si="24"/>
        <v>183583.36230097598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5">
      <c r="B131" s="2">
        <v>117</v>
      </c>
      <c r="E131" t="s">
        <v>111</v>
      </c>
      <c r="F131" s="186"/>
      <c r="G131" s="6">
        <f>HLOOKUP($E$3,$P$3:$CE$269,O131,FALSE)</f>
        <v>194762</v>
      </c>
      <c r="H131" s="6">
        <f t="shared" ref="H131:M131" si="25">MAX(G131,H130)</f>
        <v>194762</v>
      </c>
      <c r="I131" s="6">
        <f t="shared" si="25"/>
        <v>194762</v>
      </c>
      <c r="J131" s="6">
        <f t="shared" si="25"/>
        <v>194762</v>
      </c>
      <c r="K131" s="6">
        <f t="shared" si="25"/>
        <v>194762</v>
      </c>
      <c r="L131" s="6">
        <f t="shared" si="25"/>
        <v>194762</v>
      </c>
      <c r="M131" s="6">
        <f t="shared" si="25"/>
        <v>194762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5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2" thickBot="1" x14ac:dyDescent="0.3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2" thickBot="1" x14ac:dyDescent="0.3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118.57555319947107</v>
      </c>
      <c r="I134" s="137">
        <f>H134*EXP('Model Inputs'!I21)</f>
        <v>120.60856927896972</v>
      </c>
      <c r="J134" s="137">
        <f>I134*EXP('Model Inputs'!J21)</f>
        <v>124.65505181540152</v>
      </c>
      <c r="K134" s="137">
        <f>J134*EXP('Model Inputs'!K21)</f>
        <v>128.83729602296114</v>
      </c>
      <c r="L134" s="137">
        <f>K134*EXP('Model Inputs'!L21)</f>
        <v>133.1598567789232</v>
      </c>
      <c r="M134" s="138">
        <f>L134*EXP('Model Inputs'!M21)</f>
        <v>137.6274417791511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2" thickBot="1" x14ac:dyDescent="0.3">
      <c r="B135" s="2">
        <v>121</v>
      </c>
      <c r="E135" t="s">
        <v>253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1161.2162231260934</v>
      </c>
      <c r="I135" s="128">
        <f>H135*EXP('Model Inputs'!I20)</f>
        <v>1245.413899507857</v>
      </c>
      <c r="J135" s="128">
        <f>I135*EXP('Model Inputs'!J20)</f>
        <v>1287.1982074149628</v>
      </c>
      <c r="K135" s="128">
        <f>J135*EXP('Model Inputs'!K20)</f>
        <v>1330.3844013841767</v>
      </c>
      <c r="L135" s="128">
        <f>K135*EXP('Model Inputs'!L20)</f>
        <v>1375.0195154488374</v>
      </c>
      <c r="M135" s="129">
        <f>L135*EXP('Model Inputs'!M20)</f>
        <v>1421.1521616594646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5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3.3373999999999987E-2</v>
      </c>
      <c r="I136" s="25">
        <f t="shared" ref="I136:M136" si="27">LN(I134/H134)*0.3+LN(I135/H135)*0.7</f>
        <v>5.4100000000000023E-2</v>
      </c>
      <c r="J136" s="25">
        <f t="shared" si="27"/>
        <v>3.3000000000000099E-2</v>
      </c>
      <c r="K136" s="25">
        <f t="shared" si="27"/>
        <v>3.3000000000000099E-2</v>
      </c>
      <c r="L136" s="25">
        <f t="shared" si="27"/>
        <v>3.3000000000000099E-2</v>
      </c>
      <c r="M136" s="25">
        <f t="shared" si="27"/>
        <v>3.3000000000000099E-2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5">
      <c r="B137" s="2">
        <v>123</v>
      </c>
      <c r="E137" t="s">
        <v>115</v>
      </c>
      <c r="F137" s="194"/>
      <c r="G137" s="15">
        <f>HLOOKUP($E$3,$P$3:$CE$269,O137,FALSE)</f>
        <v>154.5107754563422</v>
      </c>
      <c r="H137" s="15">
        <f>G137*EXP(H136)</f>
        <v>159.75443227765388</v>
      </c>
      <c r="I137" s="15">
        <f t="shared" ref="I137:M137" si="28">H137*EXP(I136)</f>
        <v>168.63520607254949</v>
      </c>
      <c r="J137" s="15">
        <f t="shared" si="28"/>
        <v>174.29300817135223</v>
      </c>
      <c r="K137" s="15">
        <f t="shared" si="28"/>
        <v>180.14063258149037</v>
      </c>
      <c r="L137" s="15">
        <f t="shared" si="28"/>
        <v>186.18444794386926</v>
      </c>
      <c r="M137" s="15">
        <f t="shared" si="28"/>
        <v>192.43103657073087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5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5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17.246965056291078</v>
      </c>
      <c r="I139" s="15">
        <f t="shared" si="29"/>
        <v>18.614395414505935</v>
      </c>
      <c r="J139" s="15">
        <f t="shared" si="29"/>
        <v>19.306272205921822</v>
      </c>
      <c r="K139" s="15">
        <f t="shared" si="29"/>
        <v>19.954008049169929</v>
      </c>
      <c r="L139" s="15">
        <f t="shared" ref="L139:M139" si="30">L113</f>
        <v>20.623475779244934</v>
      </c>
      <c r="M139" s="15">
        <f t="shared" si="30"/>
        <v>21.315404512668607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5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5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5">
      <c r="B142" s="2">
        <v>128</v>
      </c>
      <c r="E142" t="s">
        <v>118</v>
      </c>
      <c r="F142" s="190"/>
      <c r="G142" s="15">
        <f>HLOOKUP($E$3,$P$3:$CE$269,O142,FALSE)</f>
        <v>2767</v>
      </c>
      <c r="H142" s="26">
        <f>'Model Inputs'!H16</f>
        <v>2814</v>
      </c>
      <c r="I142" s="26">
        <f>'Model Inputs'!I16</f>
        <v>2863</v>
      </c>
      <c r="J142" s="26">
        <f>'Model Inputs'!J16</f>
        <v>2914</v>
      </c>
      <c r="K142" s="26">
        <f>'Model Inputs'!K16</f>
        <v>2914</v>
      </c>
      <c r="L142" s="26">
        <f>'Model Inputs'!L16</f>
        <v>2914</v>
      </c>
      <c r="M142" s="26">
        <f>'Model Inputs'!M16</f>
        <v>2914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5">
      <c r="B143" s="2">
        <v>129</v>
      </c>
      <c r="E143" t="s">
        <v>119</v>
      </c>
      <c r="F143" s="189"/>
      <c r="G143" s="22">
        <f>HLOOKUP($E$3,$P$3:$CE$269,O143,FALSE)</f>
        <v>1417.3947368421052</v>
      </c>
      <c r="H143" s="22">
        <f>(G143*14+H142)/15</f>
        <v>1510.5017543859649</v>
      </c>
      <c r="I143" s="22">
        <f>(H143*15+I142)/16</f>
        <v>1595.0328947368421</v>
      </c>
      <c r="J143" s="22">
        <f>(I143*16+J142)/17</f>
        <v>1672.6191950464397</v>
      </c>
      <c r="K143" s="22">
        <f>(J143*17+K142)/18</f>
        <v>1741.5847953216373</v>
      </c>
      <c r="L143" s="22">
        <f>(K143*17+L142)/18</f>
        <v>1806.7189733593241</v>
      </c>
      <c r="M143" s="22">
        <f>(L143*17+M142)/18</f>
        <v>1868.2345859504728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5">
      <c r="B144" s="2">
        <v>130</v>
      </c>
      <c r="E144" t="s">
        <v>120</v>
      </c>
      <c r="F144" s="186"/>
      <c r="G144" s="6">
        <f>HLOOKUP($E$3,$P$3:$CE$269,O144,FALSE)</f>
        <v>29142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5">
      <c r="B145" s="2">
        <v>131</v>
      </c>
      <c r="E145" t="s">
        <v>121</v>
      </c>
      <c r="F145" s="188"/>
      <c r="G145" s="19">
        <f>HLOOKUP($E$3,$P$3:$CE$269,O145,FALSE)</f>
        <v>0.41448768101022582</v>
      </c>
      <c r="H145" s="19">
        <f>'Model Inputs'!H17</f>
        <v>0.38040000000000002</v>
      </c>
      <c r="I145" s="19">
        <f>'Model Inputs'!I17</f>
        <v>0.34411320419660796</v>
      </c>
      <c r="J145" s="19">
        <f>'Model Inputs'!J17</f>
        <v>0.29389888793705854</v>
      </c>
      <c r="K145" s="19">
        <f>'Model Inputs'!K17</f>
        <v>0.29389888793705854</v>
      </c>
      <c r="L145" s="19">
        <f>'Model Inputs'!L17</f>
        <v>0.29389888793705854</v>
      </c>
      <c r="M145" s="19">
        <f>'Model Inputs'!M17</f>
        <v>0.29389888793705854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5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5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5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5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5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5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5">
      <c r="B152" s="2">
        <v>138</v>
      </c>
      <c r="E152" t="s">
        <v>126</v>
      </c>
      <c r="F152" s="196"/>
      <c r="G152" s="27">
        <f t="shared" si="31"/>
        <v>0.11206159363250896</v>
      </c>
      <c r="H152" s="27">
        <f>H113/H137</f>
        <v>0.10795922723643611</v>
      </c>
      <c r="I152" s="27">
        <f t="shared" ref="I152:K152" si="33">I113/I137</f>
        <v>0.11038261729580792</v>
      </c>
      <c r="J152" s="27">
        <f t="shared" si="33"/>
        <v>0.11076905728163976</v>
      </c>
      <c r="K152" s="27">
        <f t="shared" si="33"/>
        <v>0.11076905728163976</v>
      </c>
      <c r="L152" s="27">
        <f t="shared" ref="L152:M152" si="34">L113/L137</f>
        <v>0.11076905728163979</v>
      </c>
      <c r="M152" s="27">
        <f t="shared" si="34"/>
        <v>0.11076905728163979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5">
      <c r="B153" s="2">
        <v>139</v>
      </c>
      <c r="E153" t="s">
        <v>127</v>
      </c>
      <c r="F153" s="191"/>
      <c r="G153" s="17">
        <f t="shared" si="31"/>
        <v>41221</v>
      </c>
      <c r="H153" s="17">
        <f t="shared" ref="H153:K153" si="35">H96</f>
        <v>42082</v>
      </c>
      <c r="I153" s="17">
        <f t="shared" si="35"/>
        <v>42939.720562770082</v>
      </c>
      <c r="J153" s="17">
        <f t="shared" si="35"/>
        <v>43856.349756070565</v>
      </c>
      <c r="K153" s="17">
        <f t="shared" si="35"/>
        <v>44294.913253631268</v>
      </c>
      <c r="L153" s="17">
        <f t="shared" ref="L153:M153" si="36">L96</f>
        <v>44737.862386167581</v>
      </c>
      <c r="M153" s="17">
        <f t="shared" si="36"/>
        <v>45185.241010029255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5">
      <c r="B154" s="2">
        <v>140</v>
      </c>
      <c r="E154" t="s">
        <v>128</v>
      </c>
      <c r="F154" s="191"/>
      <c r="G154" s="17">
        <f t="shared" si="31"/>
        <v>194762</v>
      </c>
      <c r="H154" s="17">
        <f t="shared" ref="H154:K154" si="37">H131</f>
        <v>194762</v>
      </c>
      <c r="I154" s="17">
        <f t="shared" si="37"/>
        <v>194762</v>
      </c>
      <c r="J154" s="17">
        <f t="shared" si="37"/>
        <v>194762</v>
      </c>
      <c r="K154" s="17">
        <f t="shared" si="37"/>
        <v>194762</v>
      </c>
      <c r="L154" s="17">
        <f t="shared" ref="L154:M154" si="38">L131</f>
        <v>194762</v>
      </c>
      <c r="M154" s="17">
        <f t="shared" si="38"/>
        <v>194762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5">
      <c r="B155" s="2">
        <v>141</v>
      </c>
      <c r="E155" t="s">
        <v>129</v>
      </c>
      <c r="F155" s="193"/>
      <c r="G155" s="24">
        <f t="shared" si="31"/>
        <v>907146501</v>
      </c>
      <c r="H155" s="24">
        <f t="shared" ref="H155:K155" si="39">H97</f>
        <v>933034649</v>
      </c>
      <c r="I155" s="24">
        <f t="shared" si="39"/>
        <v>915919500.94338608</v>
      </c>
      <c r="J155" s="24">
        <f t="shared" si="39"/>
        <v>925987880.81936657</v>
      </c>
      <c r="K155" s="24">
        <f t="shared" si="39"/>
        <v>925987880.81936657</v>
      </c>
      <c r="L155" s="24">
        <f t="shared" ref="L155:M155" si="40">L97</f>
        <v>925987880.81936657</v>
      </c>
      <c r="M155" s="24">
        <f t="shared" si="40"/>
        <v>925987880.81936657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5">
      <c r="B156" s="2">
        <v>142</v>
      </c>
      <c r="E156" t="s">
        <v>140</v>
      </c>
      <c r="F156" s="197"/>
      <c r="G156" s="28">
        <f t="shared" si="31"/>
        <v>1417.3947368421052</v>
      </c>
      <c r="H156" s="28">
        <f>H143</f>
        <v>1510.5017543859649</v>
      </c>
      <c r="I156" s="28">
        <f t="shared" ref="I156:K156" si="41">I143</f>
        <v>1595.0328947368421</v>
      </c>
      <c r="J156" s="28">
        <f t="shared" si="41"/>
        <v>1672.6191950464397</v>
      </c>
      <c r="K156" s="28">
        <f t="shared" si="41"/>
        <v>1741.5847953216373</v>
      </c>
      <c r="L156" s="28">
        <f t="shared" ref="L156:M156" si="42">L143</f>
        <v>1806.7189733593241</v>
      </c>
      <c r="M156" s="28">
        <f t="shared" si="42"/>
        <v>1868.2345859504728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5">
      <c r="B157" s="2">
        <v>143</v>
      </c>
      <c r="E157" t="s">
        <v>141</v>
      </c>
      <c r="F157" s="187"/>
      <c r="G157" s="20">
        <f t="shared" si="31"/>
        <v>0.41448768101022582</v>
      </c>
      <c r="H157" s="20">
        <f t="shared" ref="H157:L157" si="43">H145</f>
        <v>0.38040000000000002</v>
      </c>
      <c r="I157" s="20">
        <f t="shared" si="43"/>
        <v>0.34411320419660796</v>
      </c>
      <c r="J157" s="20">
        <f t="shared" si="43"/>
        <v>0.29389888793705854</v>
      </c>
      <c r="K157" s="20">
        <f t="shared" si="43"/>
        <v>0.29389888793705854</v>
      </c>
      <c r="L157" s="20">
        <f t="shared" si="43"/>
        <v>0.29389888793705854</v>
      </c>
      <c r="M157" s="20">
        <f t="shared" ref="M157" si="44">M145</f>
        <v>0.29389888793705854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5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5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5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5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5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12.819261214706257</v>
      </c>
      <c r="H162" s="32">
        <f t="shared" ref="H162:M179" si="47">G162</f>
        <v>12.819261214706257</v>
      </c>
      <c r="I162" s="32">
        <f t="shared" si="47"/>
        <v>12.819261214706257</v>
      </c>
      <c r="J162" s="32">
        <f t="shared" si="47"/>
        <v>12.819261214706257</v>
      </c>
      <c r="K162" s="32">
        <f t="shared" si="47"/>
        <v>12.819261214706257</v>
      </c>
      <c r="L162" s="32">
        <f t="shared" si="47"/>
        <v>12.819261214706257</v>
      </c>
      <c r="M162" s="32">
        <f t="shared" si="47"/>
        <v>12.819261214706257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5">
      <c r="B163" s="2">
        <v>149</v>
      </c>
      <c r="D163">
        <v>92</v>
      </c>
      <c r="E163" t="s">
        <v>126</v>
      </c>
      <c r="F163" s="198"/>
      <c r="G163" s="32">
        <f t="shared" si="46"/>
        <v>0.62545240797989465</v>
      </c>
      <c r="H163" s="32">
        <f t="shared" si="47"/>
        <v>0.62545240797989465</v>
      </c>
      <c r="I163" s="32">
        <f t="shared" si="47"/>
        <v>0.62545240797989465</v>
      </c>
      <c r="J163" s="32">
        <f t="shared" si="47"/>
        <v>0.62545240797989465</v>
      </c>
      <c r="K163" s="32">
        <f t="shared" si="47"/>
        <v>0.62545240797989465</v>
      </c>
      <c r="L163" s="32">
        <f t="shared" si="47"/>
        <v>0.62545240797989465</v>
      </c>
      <c r="M163" s="32">
        <f t="shared" si="47"/>
        <v>0.62545240797989465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5">
      <c r="B164" s="2">
        <v>150</v>
      </c>
      <c r="D164">
        <v>93</v>
      </c>
      <c r="E164" t="s">
        <v>127</v>
      </c>
      <c r="F164" s="198"/>
      <c r="G164" s="32">
        <f t="shared" si="46"/>
        <v>0.45820846274877775</v>
      </c>
      <c r="H164" s="32">
        <f t="shared" si="47"/>
        <v>0.45820846274877775</v>
      </c>
      <c r="I164" s="32">
        <f t="shared" si="47"/>
        <v>0.45820846274877775</v>
      </c>
      <c r="J164" s="32">
        <f t="shared" si="47"/>
        <v>0.45820846274877775</v>
      </c>
      <c r="K164" s="32">
        <f t="shared" si="47"/>
        <v>0.45820846274877775</v>
      </c>
      <c r="L164" s="32">
        <f t="shared" si="47"/>
        <v>0.45820846274877775</v>
      </c>
      <c r="M164" s="32">
        <f t="shared" si="47"/>
        <v>0.45820846274877775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5">
      <c r="B165" s="2">
        <v>151</v>
      </c>
      <c r="D165">
        <v>94</v>
      </c>
      <c r="E165" t="s">
        <v>128</v>
      </c>
      <c r="F165" s="198"/>
      <c r="G165" s="32">
        <f t="shared" si="46"/>
        <v>0.16040733392949291</v>
      </c>
      <c r="H165" s="32">
        <f t="shared" si="47"/>
        <v>0.16040733392949291</v>
      </c>
      <c r="I165" s="32">
        <f t="shared" si="47"/>
        <v>0.16040733392949291</v>
      </c>
      <c r="J165" s="32">
        <f t="shared" si="47"/>
        <v>0.16040733392949291</v>
      </c>
      <c r="K165" s="32">
        <f t="shared" si="47"/>
        <v>0.16040733392949291</v>
      </c>
      <c r="L165" s="32">
        <f t="shared" si="47"/>
        <v>0.16040733392949291</v>
      </c>
      <c r="M165" s="32">
        <f t="shared" si="47"/>
        <v>0.16040733392949291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5">
      <c r="B166" s="2">
        <v>152</v>
      </c>
      <c r="D166">
        <v>95</v>
      </c>
      <c r="E166" t="s">
        <v>129</v>
      </c>
      <c r="F166" s="198"/>
      <c r="G166" s="32">
        <f t="shared" si="46"/>
        <v>0.10062789653882867</v>
      </c>
      <c r="H166" s="32">
        <f t="shared" si="47"/>
        <v>0.10062789653882867</v>
      </c>
      <c r="I166" s="32">
        <f t="shared" si="47"/>
        <v>0.10062789653882867</v>
      </c>
      <c r="J166" s="32">
        <f t="shared" si="47"/>
        <v>0.10062789653882867</v>
      </c>
      <c r="K166" s="32">
        <f t="shared" si="47"/>
        <v>0.10062789653882867</v>
      </c>
      <c r="L166" s="32">
        <f t="shared" si="47"/>
        <v>0.10062789653882867</v>
      </c>
      <c r="M166" s="32">
        <f t="shared" si="47"/>
        <v>0.10062789653882867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5">
      <c r="B167" s="2">
        <v>153</v>
      </c>
      <c r="D167">
        <v>96</v>
      </c>
      <c r="E167" t="s">
        <v>130</v>
      </c>
      <c r="F167" s="198"/>
      <c r="G167" s="32">
        <f t="shared" si="46"/>
        <v>0.1313154023425287</v>
      </c>
      <c r="H167" s="32">
        <f t="shared" si="47"/>
        <v>0.1313154023425287</v>
      </c>
      <c r="I167" s="32">
        <f t="shared" si="47"/>
        <v>0.1313154023425287</v>
      </c>
      <c r="J167" s="32">
        <f t="shared" si="47"/>
        <v>0.1313154023425287</v>
      </c>
      <c r="K167" s="32">
        <f t="shared" si="47"/>
        <v>0.1313154023425287</v>
      </c>
      <c r="L167" s="32">
        <f t="shared" si="47"/>
        <v>0.1313154023425287</v>
      </c>
      <c r="M167" s="32">
        <f t="shared" si="47"/>
        <v>0.1313154023425287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5">
      <c r="B168" s="2">
        <v>154</v>
      </c>
      <c r="D168">
        <v>97</v>
      </c>
      <c r="E168" t="s">
        <v>131</v>
      </c>
      <c r="F168" s="198"/>
      <c r="G168" s="32">
        <f t="shared" si="46"/>
        <v>-0.46205209541916481</v>
      </c>
      <c r="H168" s="32">
        <f t="shared" si="47"/>
        <v>-0.46205209541916481</v>
      </c>
      <c r="I168" s="32">
        <f t="shared" si="47"/>
        <v>-0.46205209541916481</v>
      </c>
      <c r="J168" s="32">
        <f t="shared" si="47"/>
        <v>-0.46205209541916481</v>
      </c>
      <c r="K168" s="32">
        <f t="shared" si="47"/>
        <v>-0.46205209541916481</v>
      </c>
      <c r="L168" s="32">
        <f t="shared" si="47"/>
        <v>-0.46205209541916481</v>
      </c>
      <c r="M168" s="32">
        <f t="shared" si="47"/>
        <v>-0.46205209541916481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5">
      <c r="B169" s="2">
        <v>155</v>
      </c>
      <c r="D169">
        <v>98</v>
      </c>
      <c r="E169" t="s">
        <v>132</v>
      </c>
      <c r="F169" s="198"/>
      <c r="G169" s="32">
        <f t="shared" si="46"/>
        <v>0.17121564819836485</v>
      </c>
      <c r="H169" s="32">
        <f t="shared" si="47"/>
        <v>0.17121564819836485</v>
      </c>
      <c r="I169" s="32">
        <f t="shared" si="47"/>
        <v>0.17121564819836485</v>
      </c>
      <c r="J169" s="32">
        <f t="shared" si="47"/>
        <v>0.17121564819836485</v>
      </c>
      <c r="K169" s="32">
        <f t="shared" si="47"/>
        <v>0.17121564819836485</v>
      </c>
      <c r="L169" s="32">
        <f t="shared" si="47"/>
        <v>0.17121564819836485</v>
      </c>
      <c r="M169" s="32">
        <f t="shared" si="47"/>
        <v>0.17121564819836485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5">
      <c r="B170" s="2">
        <v>156</v>
      </c>
      <c r="D170">
        <v>99</v>
      </c>
      <c r="E170" t="s">
        <v>133</v>
      </c>
      <c r="F170" s="198"/>
      <c r="G170" s="32">
        <f t="shared" si="46"/>
        <v>0.14751708740856675</v>
      </c>
      <c r="H170" s="32">
        <f t="shared" si="47"/>
        <v>0.14751708740856675</v>
      </c>
      <c r="I170" s="32">
        <f t="shared" si="47"/>
        <v>0.14751708740856675</v>
      </c>
      <c r="J170" s="32">
        <f t="shared" si="47"/>
        <v>0.14751708740856675</v>
      </c>
      <c r="K170" s="32">
        <f t="shared" si="47"/>
        <v>0.14751708740856675</v>
      </c>
      <c r="L170" s="32">
        <f t="shared" si="47"/>
        <v>0.14751708740856675</v>
      </c>
      <c r="M170" s="32">
        <f t="shared" si="47"/>
        <v>0.14751708740856675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5">
      <c r="B171" s="2">
        <v>157</v>
      </c>
      <c r="D171">
        <v>100</v>
      </c>
      <c r="E171" t="s">
        <v>134</v>
      </c>
      <c r="F171" s="198"/>
      <c r="G171" s="32">
        <f t="shared" si="46"/>
        <v>5.6033918204693167E-2</v>
      </c>
      <c r="H171" s="32">
        <f t="shared" si="47"/>
        <v>5.6033918204693167E-2</v>
      </c>
      <c r="I171" s="32">
        <f t="shared" si="47"/>
        <v>5.6033918204693167E-2</v>
      </c>
      <c r="J171" s="32">
        <f t="shared" si="47"/>
        <v>5.6033918204693167E-2</v>
      </c>
      <c r="K171" s="32">
        <f t="shared" si="47"/>
        <v>5.6033918204693167E-2</v>
      </c>
      <c r="L171" s="32">
        <f t="shared" si="47"/>
        <v>5.6033918204693167E-2</v>
      </c>
      <c r="M171" s="32">
        <f t="shared" si="47"/>
        <v>5.6033918204693167E-2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5">
      <c r="B172" s="2">
        <v>158</v>
      </c>
      <c r="D172">
        <v>101</v>
      </c>
      <c r="E172" t="s">
        <v>135</v>
      </c>
      <c r="F172" s="198"/>
      <c r="G172" s="32">
        <f t="shared" si="46"/>
        <v>9.9902254520090605E-3</v>
      </c>
      <c r="H172" s="32">
        <f t="shared" si="47"/>
        <v>9.9902254520090605E-3</v>
      </c>
      <c r="I172" s="32">
        <f t="shared" si="47"/>
        <v>9.9902254520090605E-3</v>
      </c>
      <c r="J172" s="32">
        <f t="shared" si="47"/>
        <v>9.9902254520090605E-3</v>
      </c>
      <c r="K172" s="32">
        <f t="shared" si="47"/>
        <v>9.9902254520090605E-3</v>
      </c>
      <c r="L172" s="32">
        <f t="shared" si="47"/>
        <v>9.9902254520090605E-3</v>
      </c>
      <c r="M172" s="32">
        <f t="shared" si="47"/>
        <v>9.9902254520090605E-3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5">
      <c r="B173" s="2">
        <v>159</v>
      </c>
      <c r="D173">
        <v>102</v>
      </c>
      <c r="E173" t="s">
        <v>136</v>
      </c>
      <c r="F173" s="198"/>
      <c r="G173" s="32">
        <f t="shared" si="46"/>
        <v>-2.2259690703941293E-3</v>
      </c>
      <c r="H173" s="32">
        <f t="shared" si="47"/>
        <v>-2.2259690703941293E-3</v>
      </c>
      <c r="I173" s="32">
        <f t="shared" si="47"/>
        <v>-2.2259690703941293E-3</v>
      </c>
      <c r="J173" s="32">
        <f t="shared" si="47"/>
        <v>-2.2259690703941293E-3</v>
      </c>
      <c r="K173" s="32">
        <f t="shared" si="47"/>
        <v>-2.2259690703941293E-3</v>
      </c>
      <c r="L173" s="32">
        <f t="shared" si="47"/>
        <v>-2.2259690703941293E-3</v>
      </c>
      <c r="M173" s="32">
        <f t="shared" si="47"/>
        <v>-2.2259690703941293E-3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5">
      <c r="B174" s="2">
        <v>160</v>
      </c>
      <c r="D174">
        <v>103</v>
      </c>
      <c r="E174" t="s">
        <v>137</v>
      </c>
      <c r="F174" s="198"/>
      <c r="G174" s="32">
        <f t="shared" si="46"/>
        <v>0.18397040305579559</v>
      </c>
      <c r="H174" s="32">
        <f t="shared" si="47"/>
        <v>0.18397040305579559</v>
      </c>
      <c r="I174" s="32">
        <f t="shared" si="47"/>
        <v>0.18397040305579559</v>
      </c>
      <c r="J174" s="32">
        <f t="shared" si="47"/>
        <v>0.18397040305579559</v>
      </c>
      <c r="K174" s="32">
        <f t="shared" si="47"/>
        <v>0.18397040305579559</v>
      </c>
      <c r="L174" s="32">
        <f t="shared" si="47"/>
        <v>0.18397040305579559</v>
      </c>
      <c r="M174" s="32">
        <f t="shared" si="47"/>
        <v>0.18397040305579559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5">
      <c r="B175" s="2">
        <v>161</v>
      </c>
      <c r="D175">
        <v>104</v>
      </c>
      <c r="E175" t="s">
        <v>138</v>
      </c>
      <c r="F175" s="198"/>
      <c r="G175" s="32">
        <f t="shared" si="46"/>
        <v>0.10485309734642859</v>
      </c>
      <c r="H175" s="32">
        <f t="shared" si="47"/>
        <v>0.10485309734642859</v>
      </c>
      <c r="I175" s="32">
        <f t="shared" si="47"/>
        <v>0.10485309734642859</v>
      </c>
      <c r="J175" s="32">
        <f t="shared" si="47"/>
        <v>0.10485309734642859</v>
      </c>
      <c r="K175" s="32">
        <f t="shared" si="47"/>
        <v>0.10485309734642859</v>
      </c>
      <c r="L175" s="32">
        <f t="shared" si="47"/>
        <v>0.10485309734642859</v>
      </c>
      <c r="M175" s="32">
        <f t="shared" si="47"/>
        <v>0.10485309734642859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5">
      <c r="B176" s="2">
        <v>162</v>
      </c>
      <c r="D176">
        <v>105</v>
      </c>
      <c r="E176" t="s">
        <v>139</v>
      </c>
      <c r="F176" s="198"/>
      <c r="G176" s="32">
        <f t="shared" si="46"/>
        <v>-0.21813974871200364</v>
      </c>
      <c r="H176" s="32">
        <f t="shared" si="47"/>
        <v>-0.21813974871200364</v>
      </c>
      <c r="I176" s="32">
        <f t="shared" si="47"/>
        <v>-0.21813974871200364</v>
      </c>
      <c r="J176" s="32">
        <f t="shared" si="47"/>
        <v>-0.21813974871200364</v>
      </c>
      <c r="K176" s="32">
        <f t="shared" si="47"/>
        <v>-0.21813974871200364</v>
      </c>
      <c r="L176" s="32">
        <f t="shared" si="47"/>
        <v>-0.21813974871200364</v>
      </c>
      <c r="M176" s="32">
        <f t="shared" si="47"/>
        <v>-0.21813974871200364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5">
      <c r="B177" s="2">
        <v>163</v>
      </c>
      <c r="D177">
        <v>106</v>
      </c>
      <c r="E177" t="s">
        <v>140</v>
      </c>
      <c r="F177" s="198"/>
      <c r="G177" s="32">
        <f t="shared" si="46"/>
        <v>0.27893679484614825</v>
      </c>
      <c r="H177" s="32">
        <f t="shared" si="47"/>
        <v>0.27893679484614825</v>
      </c>
      <c r="I177" s="32">
        <f t="shared" si="47"/>
        <v>0.27893679484614825</v>
      </c>
      <c r="J177" s="32">
        <f t="shared" si="47"/>
        <v>0.27893679484614825</v>
      </c>
      <c r="K177" s="32">
        <f t="shared" si="47"/>
        <v>0.27893679484614825</v>
      </c>
      <c r="L177" s="32">
        <f t="shared" si="47"/>
        <v>0.27893679484614825</v>
      </c>
      <c r="M177" s="32">
        <f t="shared" si="47"/>
        <v>0.27893679484614825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5">
      <c r="B178" s="2">
        <v>164</v>
      </c>
      <c r="D178">
        <v>107</v>
      </c>
      <c r="E178" t="s">
        <v>141</v>
      </c>
      <c r="F178" s="198"/>
      <c r="G178" s="32">
        <f t="shared" si="46"/>
        <v>8.5354633160724946E-3</v>
      </c>
      <c r="H178" s="32">
        <f t="shared" si="47"/>
        <v>8.5354633160724946E-3</v>
      </c>
      <c r="I178" s="32">
        <f t="shared" si="47"/>
        <v>8.5354633160724946E-3</v>
      </c>
      <c r="J178" s="32">
        <f t="shared" si="47"/>
        <v>8.5354633160724946E-3</v>
      </c>
      <c r="K178" s="32">
        <f t="shared" si="47"/>
        <v>8.5354633160724946E-3</v>
      </c>
      <c r="L178" s="32">
        <f t="shared" si="47"/>
        <v>8.5354633160724946E-3</v>
      </c>
      <c r="M178" s="32">
        <f t="shared" si="47"/>
        <v>8.5354633160724946E-3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5">
      <c r="B179" s="2">
        <v>165</v>
      </c>
      <c r="D179">
        <v>108</v>
      </c>
      <c r="E179" t="s">
        <v>142</v>
      </c>
      <c r="F179" s="198"/>
      <c r="G179" s="32">
        <f t="shared" si="46"/>
        <v>1.7250460353881336E-2</v>
      </c>
      <c r="H179" s="32">
        <f t="shared" si="47"/>
        <v>1.7250460353881336E-2</v>
      </c>
      <c r="I179" s="32">
        <f t="shared" si="47"/>
        <v>1.7250460353881336E-2</v>
      </c>
      <c r="J179" s="32">
        <f t="shared" si="47"/>
        <v>1.7250460353881336E-2</v>
      </c>
      <c r="K179" s="32">
        <f t="shared" si="47"/>
        <v>1.7250460353881336E-2</v>
      </c>
      <c r="L179" s="32">
        <f t="shared" si="47"/>
        <v>1.7250460353881336E-2</v>
      </c>
      <c r="M179" s="32">
        <f t="shared" si="47"/>
        <v>1.7250460353881336E-2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5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5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5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5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5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5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5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5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5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5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5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5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5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5" outlineLevel="1" x14ac:dyDescent="0.25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5" outlineLevel="1" x14ac:dyDescent="0.25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5" outlineLevel="1" x14ac:dyDescent="0.25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5" outlineLevel="1" x14ac:dyDescent="0.25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5" outlineLevel="1" x14ac:dyDescent="0.25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5" outlineLevel="1" x14ac:dyDescent="0.25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5" outlineLevel="1" x14ac:dyDescent="0.25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5" outlineLevel="1" x14ac:dyDescent="0.25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5" outlineLevel="1" x14ac:dyDescent="0.25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5" outlineLevel="1" x14ac:dyDescent="0.25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5" outlineLevel="1" x14ac:dyDescent="0.25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5" outlineLevel="1" x14ac:dyDescent="0.25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5" outlineLevel="1" x14ac:dyDescent="0.25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  <c r="CG205" s="32">
        <v>0</v>
      </c>
    </row>
    <row r="206" spans="2:85" outlineLevel="1" x14ac:dyDescent="0.25">
      <c r="B206" s="2">
        <v>192</v>
      </c>
      <c r="E206" t="s">
        <v>126</v>
      </c>
      <c r="F206" s="199"/>
      <c r="G206" s="31">
        <f t="shared" si="50"/>
        <v>-0.38325381934289787</v>
      </c>
      <c r="H206" s="31">
        <f>LN(H152/H184)</f>
        <v>-0.42054885236714012</v>
      </c>
      <c r="I206" s="31">
        <f t="shared" ref="H206:K209" si="51">LN(I152/I184)</f>
        <v>-0.39834981320668222</v>
      </c>
      <c r="J206" s="31">
        <f t="shared" si="51"/>
        <v>-0.39485501372221532</v>
      </c>
      <c r="K206" s="31">
        <f t="shared" si="51"/>
        <v>-0.39485501372221532</v>
      </c>
      <c r="L206" s="31">
        <f t="shared" ref="L206:M206" si="52">LN(L152/L184)</f>
        <v>-0.39485501372221499</v>
      </c>
      <c r="M206" s="31">
        <f t="shared" si="52"/>
        <v>-0.39485501372221499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  <c r="CG206" s="32">
        <v>-2.0268129494011022E-4</v>
      </c>
    </row>
    <row r="207" spans="2:85" outlineLevel="1" x14ac:dyDescent="0.25">
      <c r="B207" s="2">
        <v>193</v>
      </c>
      <c r="E207" t="s">
        <v>127</v>
      </c>
      <c r="F207" s="199"/>
      <c r="G207" s="31">
        <f t="shared" si="50"/>
        <v>-0.43086788543313809</v>
      </c>
      <c r="H207" s="31">
        <f t="shared" si="51"/>
        <v>-0.41019562485198813</v>
      </c>
      <c r="I207" s="31">
        <f t="shared" si="51"/>
        <v>-0.39001843586027979</v>
      </c>
      <c r="J207" s="31">
        <f t="shared" si="51"/>
        <v>-0.36889620603854223</v>
      </c>
      <c r="K207" s="31">
        <f t="shared" si="51"/>
        <v>-0.35894587518537413</v>
      </c>
      <c r="L207" s="31">
        <f t="shared" ref="L207:M207" si="53">LN(L153/L185)</f>
        <v>-0.34899554433220614</v>
      </c>
      <c r="M207" s="31">
        <f t="shared" si="53"/>
        <v>-0.33904521347903815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  <c r="CG207" s="32">
        <v>0</v>
      </c>
    </row>
    <row r="208" spans="2:85" outlineLevel="1" x14ac:dyDescent="0.25">
      <c r="B208" s="2">
        <v>194</v>
      </c>
      <c r="E208" t="s">
        <v>128</v>
      </c>
      <c r="F208" s="199"/>
      <c r="G208" s="31">
        <f t="shared" si="50"/>
        <v>-0.57214000217893901</v>
      </c>
      <c r="H208" s="31">
        <f t="shared" si="51"/>
        <v>-0.57214000217893901</v>
      </c>
      <c r="I208" s="31">
        <f t="shared" si="51"/>
        <v>-0.57214000217893901</v>
      </c>
      <c r="J208" s="31">
        <f t="shared" si="51"/>
        <v>-0.57214000217893901</v>
      </c>
      <c r="K208" s="31">
        <f t="shared" si="51"/>
        <v>-0.57214000217893901</v>
      </c>
      <c r="L208" s="31">
        <f t="shared" ref="L208:M208" si="54">LN(L154/L186)</f>
        <v>-0.57214000217893901</v>
      </c>
      <c r="M208" s="31">
        <f t="shared" si="54"/>
        <v>-0.57214000217893901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  <c r="CG208" s="32">
        <v>0</v>
      </c>
    </row>
    <row r="209" spans="1:150" outlineLevel="1" x14ac:dyDescent="0.25">
      <c r="B209" s="2">
        <v>195</v>
      </c>
      <c r="E209" t="s">
        <v>129</v>
      </c>
      <c r="F209" s="199"/>
      <c r="G209" s="31">
        <f t="shared" si="50"/>
        <v>-0.58623253723607238</v>
      </c>
      <c r="H209" s="31">
        <f t="shared" si="51"/>
        <v>-0.55809415956019293</v>
      </c>
      <c r="I209" s="31">
        <f t="shared" si="51"/>
        <v>-0.57660801716363175</v>
      </c>
      <c r="J209" s="31">
        <f t="shared" si="51"/>
        <v>-0.56567535001735803</v>
      </c>
      <c r="K209" s="31">
        <f t="shared" si="51"/>
        <v>-0.56567535001735803</v>
      </c>
      <c r="L209" s="31">
        <f t="shared" ref="L209:M209" si="55">LN(L155/L187)</f>
        <v>-0.56567535001735803</v>
      </c>
      <c r="M209" s="31">
        <f t="shared" si="55"/>
        <v>-0.56567535001735803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  <c r="CG209" s="32">
        <v>0</v>
      </c>
    </row>
    <row r="210" spans="1:150" outlineLevel="1" x14ac:dyDescent="0.25">
      <c r="B210" s="2">
        <v>196</v>
      </c>
      <c r="E210" t="s">
        <v>130</v>
      </c>
      <c r="F210" s="199"/>
      <c r="G210" s="31">
        <f t="shared" si="50"/>
        <v>7.3441745020459304E-2</v>
      </c>
      <c r="H210" s="31">
        <f t="shared" ref="H210:K213" si="56">H206*H206/2</f>
        <v>8.8430668613659308E-2</v>
      </c>
      <c r="I210" s="31">
        <f t="shared" si="56"/>
        <v>7.9341286840899305E-2</v>
      </c>
      <c r="J210" s="31">
        <f t="shared" si="56"/>
        <v>7.795524093078543E-2</v>
      </c>
      <c r="K210" s="31">
        <f t="shared" si="56"/>
        <v>7.795524093078543E-2</v>
      </c>
      <c r="L210" s="31">
        <f t="shared" ref="L210:M210" si="57">L206*L206/2</f>
        <v>7.7955240930785291E-2</v>
      </c>
      <c r="M210" s="31">
        <f t="shared" si="57"/>
        <v>7.7955240930785291E-2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  <c r="CG210" s="32">
        <v>8.5216846129693158E-5</v>
      </c>
    </row>
    <row r="211" spans="1:150" outlineLevel="1" x14ac:dyDescent="0.25">
      <c r="B211" s="2">
        <v>197</v>
      </c>
      <c r="E211" t="s">
        <v>131</v>
      </c>
      <c r="F211" s="199"/>
      <c r="G211" s="31">
        <f t="shared" si="50"/>
        <v>9.2823567348811906E-2</v>
      </c>
      <c r="H211" s="31">
        <f t="shared" si="56"/>
        <v>8.4130225323856486E-2</v>
      </c>
      <c r="I211" s="31">
        <f t="shared" si="56"/>
        <v>7.6057190155449594E-2</v>
      </c>
      <c r="J211" s="31">
        <f t="shared" si="56"/>
        <v>6.8042205414815302E-2</v>
      </c>
      <c r="K211" s="31">
        <f t="shared" si="56"/>
        <v>6.4421070656297097E-2</v>
      </c>
      <c r="L211" s="31">
        <f t="shared" ref="L211:M211" si="58">L207*L207/2</f>
        <v>6.0898944981866432E-2</v>
      </c>
      <c r="M211" s="31">
        <f t="shared" si="58"/>
        <v>5.7475828391523279E-2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  <c r="CG211" s="32">
        <v>0</v>
      </c>
    </row>
    <row r="212" spans="1:150" outlineLevel="1" x14ac:dyDescent="0.25">
      <c r="B212" s="2">
        <v>198</v>
      </c>
      <c r="E212" t="s">
        <v>132</v>
      </c>
      <c r="F212" s="199"/>
      <c r="G212" s="31">
        <f t="shared" si="50"/>
        <v>0.16367209104665817</v>
      </c>
      <c r="H212" s="31">
        <f t="shared" si="56"/>
        <v>0.16367209104665817</v>
      </c>
      <c r="I212" s="31">
        <f t="shared" si="56"/>
        <v>0.16367209104665817</v>
      </c>
      <c r="J212" s="31">
        <f t="shared" si="56"/>
        <v>0.16367209104665817</v>
      </c>
      <c r="K212" s="31">
        <f t="shared" si="56"/>
        <v>0.16367209104665817</v>
      </c>
      <c r="L212" s="31">
        <f t="shared" ref="L212:M212" si="59">L208*L208/2</f>
        <v>0.16367209104665817</v>
      </c>
      <c r="M212" s="31">
        <f t="shared" si="59"/>
        <v>0.16367209104665817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  <c r="CG212" s="32">
        <v>0</v>
      </c>
    </row>
    <row r="213" spans="1:150" outlineLevel="1" x14ac:dyDescent="0.25">
      <c r="B213" s="2">
        <v>199</v>
      </c>
      <c r="E213" t="s">
        <v>133</v>
      </c>
      <c r="F213" s="199"/>
      <c r="G213" s="31">
        <f t="shared" si="50"/>
        <v>0.17183429385712148</v>
      </c>
      <c r="H213" s="31">
        <f t="shared" si="56"/>
        <v>0.15573454546759904</v>
      </c>
      <c r="I213" s="31">
        <f t="shared" si="56"/>
        <v>0.16623840272868753</v>
      </c>
      <c r="J213" s="31">
        <f t="shared" si="56"/>
        <v>0.15999430080863025</v>
      </c>
      <c r="K213" s="31">
        <f t="shared" si="56"/>
        <v>0.15999430080863025</v>
      </c>
      <c r="L213" s="31">
        <f t="shared" ref="L213:M213" si="60">L209*L209/2</f>
        <v>0.15999430080863025</v>
      </c>
      <c r="M213" s="31">
        <f t="shared" si="60"/>
        <v>0.15999430080863025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  <c r="CG213" s="32">
        <v>0</v>
      </c>
    </row>
    <row r="214" spans="1:150" outlineLevel="1" x14ac:dyDescent="0.25">
      <c r="B214" s="2">
        <v>200</v>
      </c>
      <c r="E214" t="s">
        <v>134</v>
      </c>
      <c r="F214" s="199"/>
      <c r="G214" s="31">
        <f t="shared" si="50"/>
        <v>0.16513176272444832</v>
      </c>
      <c r="H214" s="31">
        <f t="shared" ref="H214:K214" si="61">H206*H207</f>
        <v>0.17250729927752556</v>
      </c>
      <c r="I214" s="31">
        <f t="shared" si="61"/>
        <v>0.15536377107210483</v>
      </c>
      <c r="J214" s="31">
        <f t="shared" si="61"/>
        <v>0.14566051649742176</v>
      </c>
      <c r="K214" s="31">
        <f t="shared" si="61"/>
        <v>0.1417315784718535</v>
      </c>
      <c r="L214" s="31">
        <f t="shared" ref="L214:M214" si="62">L206*L207</f>
        <v>0.13780264044628515</v>
      </c>
      <c r="M214" s="31">
        <f t="shared" si="62"/>
        <v>0.13387370242071692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  <c r="CG214" s="32">
        <v>8.3138980423780318E-5</v>
      </c>
    </row>
    <row r="215" spans="1:150" outlineLevel="1" x14ac:dyDescent="0.25">
      <c r="B215" s="2">
        <v>201</v>
      </c>
      <c r="E215" t="s">
        <v>135</v>
      </c>
      <c r="F215" s="199"/>
      <c r="G215" s="31">
        <f t="shared" si="50"/>
        <v>0.2192748410339323</v>
      </c>
      <c r="H215" s="31">
        <f t="shared" ref="H215:K215" si="63">H206*H208</f>
        <v>0.24061282130968586</v>
      </c>
      <c r="I215" s="31">
        <f t="shared" si="63"/>
        <v>0.22791186299605112</v>
      </c>
      <c r="J215" s="31">
        <f t="shared" si="63"/>
        <v>0.22591234841139327</v>
      </c>
      <c r="K215" s="31">
        <f t="shared" si="63"/>
        <v>0.22591234841139327</v>
      </c>
      <c r="L215" s="31">
        <f t="shared" ref="L215:M215" si="64">L206*L208</f>
        <v>0.22591234841139307</v>
      </c>
      <c r="M215" s="31">
        <f t="shared" si="64"/>
        <v>0.22591234841139307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  <c r="CG215" s="32">
        <v>1.1596207652866952E-4</v>
      </c>
    </row>
    <row r="216" spans="1:150" outlineLevel="1" x14ac:dyDescent="0.25">
      <c r="B216" s="2">
        <v>202</v>
      </c>
      <c r="E216" t="s">
        <v>136</v>
      </c>
      <c r="F216" s="199"/>
      <c r="G216" s="31">
        <f t="shared" si="50"/>
        <v>0.22467585891880235</v>
      </c>
      <c r="H216" s="31">
        <f t="shared" ref="H216:K216" si="65">H206*H209</f>
        <v>0.23470585831584273</v>
      </c>
      <c r="I216" s="31">
        <f t="shared" si="65"/>
        <v>0.22969169593060812</v>
      </c>
      <c r="J216" s="31">
        <f t="shared" si="65"/>
        <v>0.22335974809342285</v>
      </c>
      <c r="K216" s="31">
        <f t="shared" si="65"/>
        <v>0.22335974809342285</v>
      </c>
      <c r="L216" s="31">
        <f t="shared" ref="L216:M216" si="66">L206*L209</f>
        <v>0.22335974809342266</v>
      </c>
      <c r="M216" s="31">
        <f t="shared" si="66"/>
        <v>0.22335974809342266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  <c r="CG216" s="32">
        <v>1.131152469581731E-4</v>
      </c>
    </row>
    <row r="217" spans="1:150" outlineLevel="1" x14ac:dyDescent="0.25">
      <c r="B217" s="2">
        <v>203</v>
      </c>
      <c r="E217" t="s">
        <v>137</v>
      </c>
      <c r="F217" s="199"/>
      <c r="G217" s="31">
        <f t="shared" si="50"/>
        <v>0.24651675291055047</v>
      </c>
      <c r="H217" s="31">
        <f t="shared" ref="H217:K217" si="67">H207*H208</f>
        <v>0.23468932569660775</v>
      </c>
      <c r="I217" s="31">
        <f t="shared" si="67"/>
        <v>0.22314514874292687</v>
      </c>
      <c r="J217" s="31">
        <f t="shared" si="67"/>
        <v>0.2110602761266939</v>
      </c>
      <c r="K217" s="31">
        <f t="shared" si="67"/>
        <v>0.20536729381068111</v>
      </c>
      <c r="L217" s="31">
        <f t="shared" ref="L217:M217" si="68">L207*L208</f>
        <v>0.19967431149466844</v>
      </c>
      <c r="M217" s="31">
        <f t="shared" si="68"/>
        <v>0.19398132917865574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  <c r="CG217" s="32">
        <v>0</v>
      </c>
    </row>
    <row r="218" spans="1:150" outlineLevel="1" x14ac:dyDescent="0.25">
      <c r="B218" s="2">
        <v>204</v>
      </c>
      <c r="E218" t="s">
        <v>138</v>
      </c>
      <c r="F218" s="199"/>
      <c r="G218" s="31">
        <f t="shared" si="50"/>
        <v>0.2525887736910099</v>
      </c>
      <c r="H218" s="31">
        <f t="shared" ref="H218:K218" si="69">H207*H209</f>
        <v>0.22892778250703849</v>
      </c>
      <c r="I218" s="31">
        <f t="shared" si="69"/>
        <v>0.22488775695865701</v>
      </c>
      <c r="J218" s="31">
        <f t="shared" si="69"/>
        <v>0.20867549047092779</v>
      </c>
      <c r="K218" s="31">
        <f t="shared" si="69"/>
        <v>0.20304683358277342</v>
      </c>
      <c r="L218" s="31">
        <f t="shared" ref="L218:M218" si="70">L207*L209</f>
        <v>0.19741817669461911</v>
      </c>
      <c r="M218" s="31">
        <f t="shared" si="70"/>
        <v>0.19178951980646478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  <c r="CG218" s="32">
        <v>0</v>
      </c>
    </row>
    <row r="219" spans="1:150" outlineLevel="1" x14ac:dyDescent="0.25">
      <c r="B219" s="2">
        <v>205</v>
      </c>
      <c r="E219" t="s">
        <v>139</v>
      </c>
      <c r="F219" s="199"/>
      <c r="G219" s="31">
        <f t="shared" si="50"/>
        <v>0.33540708513161138</v>
      </c>
      <c r="H219" s="31">
        <f t="shared" ref="H219:K219" si="71">H208*H209</f>
        <v>0.31930799366682194</v>
      </c>
      <c r="I219" s="31">
        <f t="shared" si="71"/>
        <v>0.32990051219639399</v>
      </c>
      <c r="J219" s="31">
        <f t="shared" si="71"/>
        <v>0.32364549599150333</v>
      </c>
      <c r="K219" s="31">
        <f t="shared" si="71"/>
        <v>0.32364549599150333</v>
      </c>
      <c r="L219" s="31">
        <f t="shared" ref="L219:M219" si="72">L208*L209</f>
        <v>0.32364549599150333</v>
      </c>
      <c r="M219" s="31">
        <f t="shared" si="72"/>
        <v>0.32364549599150333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  <c r="CG219" s="32">
        <v>0</v>
      </c>
    </row>
    <row r="220" spans="1:150" outlineLevel="1" x14ac:dyDescent="0.25">
      <c r="B220" s="2">
        <v>206</v>
      </c>
      <c r="E220" t="s">
        <v>140</v>
      </c>
      <c r="F220" s="199"/>
      <c r="G220" s="31">
        <f t="shared" si="50"/>
        <v>-0.65283953391441607</v>
      </c>
      <c r="H220" s="31">
        <f>LN(H156/H198)</f>
        <v>-0.5892181447490783</v>
      </c>
      <c r="I220" s="31">
        <f t="shared" ref="I220:K220" si="73">LN(I156/I198)</f>
        <v>-0.53476566836980854</v>
      </c>
      <c r="J220" s="31">
        <f t="shared" si="73"/>
        <v>-0.48726924998128729</v>
      </c>
      <c r="K220" s="31">
        <f t="shared" si="73"/>
        <v>-0.4468645274463649</v>
      </c>
      <c r="L220" s="31">
        <f t="shared" ref="L220:M220" si="74">LN(L156/L198)</f>
        <v>-0.41014754964516464</v>
      </c>
      <c r="M220" s="31">
        <f t="shared" si="74"/>
        <v>-0.37666611478750356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  <c r="CG220" s="32">
        <v>1.5529915907562697E-2</v>
      </c>
    </row>
    <row r="221" spans="1:150" outlineLevel="1" x14ac:dyDescent="0.25">
      <c r="B221" s="2">
        <v>207</v>
      </c>
      <c r="E221" t="s">
        <v>141</v>
      </c>
      <c r="F221" s="187"/>
      <c r="G221" s="20">
        <f t="shared" si="50"/>
        <v>3.2230768352272614</v>
      </c>
      <c r="H221" s="20">
        <f t="shared" ref="H221:K221" si="75">H157/H199</f>
        <v>2.9580093312597202</v>
      </c>
      <c r="I221" s="20">
        <f t="shared" si="75"/>
        <v>2.6758414012177916</v>
      </c>
      <c r="J221" s="20">
        <f t="shared" si="75"/>
        <v>2.2853723789817928</v>
      </c>
      <c r="K221" s="20">
        <f t="shared" si="75"/>
        <v>2.2853723789817928</v>
      </c>
      <c r="L221" s="20">
        <f t="shared" ref="L221:M221" si="76">L157/L199</f>
        <v>2.2853723789817928</v>
      </c>
      <c r="M221" s="20">
        <f t="shared" si="76"/>
        <v>2.2853723789817928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  <c r="CG221" s="32">
        <v>-1.290694171549589E-4</v>
      </c>
    </row>
    <row r="222" spans="1:150" s="37" customFormat="1" outlineLevel="1" x14ac:dyDescent="0.25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CG222" s="32">
        <v>0</v>
      </c>
      <c r="ET222" s="179"/>
    </row>
    <row r="223" spans="1:150" outlineLevel="1" x14ac:dyDescent="0.25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5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5" outlineLevel="1" x14ac:dyDescent="0.25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5" outlineLevel="1" x14ac:dyDescent="0.25">
      <c r="B226" s="2">
        <v>212</v>
      </c>
      <c r="E226" t="s">
        <v>125</v>
      </c>
      <c r="F226" s="200"/>
      <c r="G226" s="33">
        <f t="shared" ref="G226:G243" si="79">HLOOKUP($E$3,$P$3:$CE$269,O226,FALSE)</f>
        <v>12.819261214706257</v>
      </c>
      <c r="H226" s="33">
        <f t="shared" ref="H226:K241" si="80">H162*H205</f>
        <v>12.819261214706257</v>
      </c>
      <c r="I226" s="33">
        <f t="shared" si="80"/>
        <v>12.819261214706257</v>
      </c>
      <c r="J226" s="33">
        <f t="shared" si="80"/>
        <v>12.819261214706257</v>
      </c>
      <c r="K226" s="33">
        <f t="shared" si="80"/>
        <v>12.819261214706257</v>
      </c>
      <c r="L226" s="33">
        <f t="shared" ref="L226:M226" si="81">L162*L205</f>
        <v>12.819261214706257</v>
      </c>
      <c r="M226" s="33">
        <f t="shared" si="81"/>
        <v>12.819261214706257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  <c r="CG226" s="32">
        <v>0</v>
      </c>
    </row>
    <row r="227" spans="2:85" outlineLevel="1" x14ac:dyDescent="0.25">
      <c r="B227" s="2">
        <v>213</v>
      </c>
      <c r="E227" t="s">
        <v>126</v>
      </c>
      <c r="F227" s="200"/>
      <c r="G227" s="33">
        <f t="shared" si="79"/>
        <v>-0.23970702417550699</v>
      </c>
      <c r="H227" s="33">
        <f t="shared" si="80"/>
        <v>-0.26303329238620898</v>
      </c>
      <c r="I227" s="33">
        <f t="shared" si="80"/>
        <v>-0.24914884988846064</v>
      </c>
      <c r="J227" s="33">
        <f t="shared" si="80"/>
        <v>-0.24696301913549393</v>
      </c>
      <c r="K227" s="33">
        <f t="shared" si="80"/>
        <v>-0.24696301913549393</v>
      </c>
      <c r="L227" s="33">
        <f t="shared" ref="L227:M227" si="82">L163*L206</f>
        <v>-0.24696301913549371</v>
      </c>
      <c r="M227" s="33">
        <f t="shared" si="82"/>
        <v>-0.24696301913549371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  <c r="CG227" s="32">
        <v>-1.2676750397272452E-4</v>
      </c>
    </row>
    <row r="228" spans="2:85" outlineLevel="1" x14ac:dyDescent="0.25">
      <c r="B228" s="2">
        <v>214</v>
      </c>
      <c r="E228" t="s">
        <v>127</v>
      </c>
      <c r="F228" s="200"/>
      <c r="G228" s="33">
        <f t="shared" si="79"/>
        <v>-0.19742731143213468</v>
      </c>
      <c r="H228" s="33">
        <f t="shared" si="80"/>
        <v>-0.1879551066897038</v>
      </c>
      <c r="I228" s="33">
        <f t="shared" si="80"/>
        <v>-0.17870974793922156</v>
      </c>
      <c r="J228" s="33">
        <f t="shared" si="80"/>
        <v>-0.16903136348277681</v>
      </c>
      <c r="K228" s="33">
        <f t="shared" si="80"/>
        <v>-0.16447203767870494</v>
      </c>
      <c r="L228" s="33">
        <f t="shared" ref="L228:M228" si="83">L164*L207</f>
        <v>-0.1599127118746331</v>
      </c>
      <c r="M228" s="33">
        <f t="shared" si="83"/>
        <v>-0.15535338607056126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  <c r="CG228" s="32">
        <v>0</v>
      </c>
    </row>
    <row r="229" spans="2:85" outlineLevel="1" x14ac:dyDescent="0.25">
      <c r="B229" s="2">
        <v>215</v>
      </c>
      <c r="E229" t="s">
        <v>128</v>
      </c>
      <c r="F229" s="200"/>
      <c r="G229" s="33">
        <f t="shared" si="79"/>
        <v>-9.1775452383937875E-2</v>
      </c>
      <c r="H229" s="33">
        <f t="shared" si="80"/>
        <v>-9.1775452383937875E-2</v>
      </c>
      <c r="I229" s="33">
        <f t="shared" si="80"/>
        <v>-9.1775452383937875E-2</v>
      </c>
      <c r="J229" s="33">
        <f t="shared" si="80"/>
        <v>-9.1775452383937875E-2</v>
      </c>
      <c r="K229" s="33">
        <f t="shared" si="80"/>
        <v>-9.1775452383937875E-2</v>
      </c>
      <c r="L229" s="33">
        <f t="shared" ref="L229:M229" si="84">L165*L208</f>
        <v>-9.1775452383937875E-2</v>
      </c>
      <c r="M229" s="33">
        <f t="shared" si="84"/>
        <v>-9.1775452383937875E-2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  <c r="CG229" s="32">
        <v>0</v>
      </c>
    </row>
    <row r="230" spans="2:85" outlineLevel="1" x14ac:dyDescent="0.25">
      <c r="B230" s="2">
        <v>216</v>
      </c>
      <c r="E230" t="s">
        <v>129</v>
      </c>
      <c r="F230" s="200"/>
      <c r="G230" s="33">
        <f t="shared" si="79"/>
        <v>-5.8991347104686516E-2</v>
      </c>
      <c r="H230" s="33">
        <f t="shared" si="80"/>
        <v>-5.6159841347147632E-2</v>
      </c>
      <c r="I230" s="33">
        <f t="shared" si="80"/>
        <v>-5.8022851894601081E-2</v>
      </c>
      <c r="J230" s="33">
        <f t="shared" si="80"/>
        <v>-5.6922720596112399E-2</v>
      </c>
      <c r="K230" s="33">
        <f t="shared" si="80"/>
        <v>-5.6922720596112399E-2</v>
      </c>
      <c r="L230" s="33">
        <f t="shared" ref="L230:M230" si="85">L166*L209</f>
        <v>-5.6922720596112399E-2</v>
      </c>
      <c r="M230" s="33">
        <f t="shared" si="85"/>
        <v>-5.6922720596112399E-2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  <c r="CG230" s="32">
        <v>0</v>
      </c>
    </row>
    <row r="231" spans="2:85" outlineLevel="1" x14ac:dyDescent="0.25">
      <c r="B231" s="2">
        <v>217</v>
      </c>
      <c r="E231" t="s">
        <v>130</v>
      </c>
      <c r="F231" s="200"/>
      <c r="G231" s="33">
        <f t="shared" si="79"/>
        <v>9.6440322960990171E-3</v>
      </c>
      <c r="H231" s="33">
        <f t="shared" si="80"/>
        <v>1.1612308828421496E-2</v>
      </c>
      <c r="I231" s="33">
        <f t="shared" si="80"/>
        <v>1.041873300388667E-2</v>
      </c>
      <c r="J231" s="33">
        <f t="shared" si="80"/>
        <v>1.0236723827534849E-2</v>
      </c>
      <c r="K231" s="33">
        <f t="shared" si="80"/>
        <v>1.0236723827534849E-2</v>
      </c>
      <c r="L231" s="33">
        <f t="shared" ref="L231:M231" si="86">L167*L210</f>
        <v>1.0236723827534832E-2</v>
      </c>
      <c r="M231" s="33">
        <f t="shared" si="86"/>
        <v>1.0236723827534832E-2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  <c r="CG231" s="32">
        <v>1.1190284435882297E-5</v>
      </c>
    </row>
    <row r="232" spans="2:85" outlineLevel="1" x14ac:dyDescent="0.25">
      <c r="B232" s="2">
        <v>218</v>
      </c>
      <c r="E232" t="s">
        <v>131</v>
      </c>
      <c r="F232" s="200"/>
      <c r="G232" s="33">
        <f t="shared" si="79"/>
        <v>-4.2889323797800513E-2</v>
      </c>
      <c r="H232" s="33">
        <f t="shared" si="80"/>
        <v>-3.8872546898974375E-2</v>
      </c>
      <c r="I232" s="33">
        <f t="shared" si="80"/>
        <v>-3.5142384083019361E-2</v>
      </c>
      <c r="J232" s="33">
        <f t="shared" si="80"/>
        <v>-3.1439043588856651E-2</v>
      </c>
      <c r="K232" s="33">
        <f t="shared" si="80"/>
        <v>-2.9765890685888145E-2</v>
      </c>
      <c r="L232" s="33">
        <f t="shared" ref="L232:M232" si="87">L168*L211</f>
        <v>-2.8138485137687817E-2</v>
      </c>
      <c r="M232" s="33">
        <f t="shared" si="87"/>
        <v>-2.6556826944255655E-2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  <c r="CG232" s="32">
        <v>0</v>
      </c>
    </row>
    <row r="233" spans="2:85" outlineLevel="1" x14ac:dyDescent="0.25">
      <c r="B233" s="2">
        <v>219</v>
      </c>
      <c r="E233" t="s">
        <v>132</v>
      </c>
      <c r="F233" s="200"/>
      <c r="G233" s="33">
        <f t="shared" si="79"/>
        <v>2.8023223160535366E-2</v>
      </c>
      <c r="H233" s="33">
        <f t="shared" si="80"/>
        <v>2.8023223160535366E-2</v>
      </c>
      <c r="I233" s="33">
        <f t="shared" si="80"/>
        <v>2.8023223160535366E-2</v>
      </c>
      <c r="J233" s="33">
        <f t="shared" si="80"/>
        <v>2.8023223160535366E-2</v>
      </c>
      <c r="K233" s="33">
        <f t="shared" si="80"/>
        <v>2.8023223160535366E-2</v>
      </c>
      <c r="L233" s="33">
        <f t="shared" ref="L233:M233" si="88">L169*L212</f>
        <v>2.8023223160535366E-2</v>
      </c>
      <c r="M233" s="33">
        <f t="shared" si="88"/>
        <v>2.8023223160535366E-2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  <c r="CG233" s="32">
        <v>0</v>
      </c>
    </row>
    <row r="234" spans="2:85" outlineLevel="1" x14ac:dyDescent="0.25">
      <c r="B234" s="2">
        <v>220</v>
      </c>
      <c r="E234" t="s">
        <v>133</v>
      </c>
      <c r="F234" s="200"/>
      <c r="G234" s="33">
        <f t="shared" si="79"/>
        <v>2.5348494546710336E-2</v>
      </c>
      <c r="H234" s="33">
        <f t="shared" si="80"/>
        <v>2.2973506556277223E-2</v>
      </c>
      <c r="I234" s="33">
        <f t="shared" si="80"/>
        <v>2.452300498598832E-2</v>
      </c>
      <c r="J234" s="33">
        <f t="shared" si="80"/>
        <v>2.360189325725923E-2</v>
      </c>
      <c r="K234" s="33">
        <f t="shared" si="80"/>
        <v>2.360189325725923E-2</v>
      </c>
      <c r="L234" s="33">
        <f t="shared" ref="L234:M234" si="89">L170*L213</f>
        <v>2.360189325725923E-2</v>
      </c>
      <c r="M234" s="33">
        <f t="shared" si="89"/>
        <v>2.360189325725923E-2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  <c r="CG234" s="32">
        <v>0</v>
      </c>
    </row>
    <row r="235" spans="2:85" outlineLevel="1" x14ac:dyDescent="0.25">
      <c r="B235" s="2">
        <v>221</v>
      </c>
      <c r="E235" t="s">
        <v>134</v>
      </c>
      <c r="F235" s="200"/>
      <c r="G235" s="33">
        <f t="shared" si="79"/>
        <v>9.2529796854985379E-3</v>
      </c>
      <c r="H235" s="33">
        <f t="shared" si="80"/>
        <v>9.6662598974293912E-3</v>
      </c>
      <c r="I235" s="33">
        <f t="shared" si="80"/>
        <v>8.7056408402269962E-3</v>
      </c>
      <c r="J235" s="33">
        <f t="shared" si="80"/>
        <v>8.1619294670698898E-3</v>
      </c>
      <c r="K235" s="33">
        <f t="shared" si="80"/>
        <v>7.94177567511389E-3</v>
      </c>
      <c r="L235" s="33">
        <f t="shared" ref="L235:M235" si="90">L171*L214</f>
        <v>7.7216218831578842E-3</v>
      </c>
      <c r="M235" s="33">
        <f t="shared" si="90"/>
        <v>7.5014680912018853E-3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  <c r="CG235" s="32">
        <v>4.6586028286874082E-6</v>
      </c>
    </row>
    <row r="236" spans="2:85" outlineLevel="1" x14ac:dyDescent="0.25">
      <c r="B236" s="2">
        <v>222</v>
      </c>
      <c r="E236" t="s">
        <v>135</v>
      </c>
      <c r="F236" s="200"/>
      <c r="G236" s="33">
        <f t="shared" si="79"/>
        <v>2.1906050978824313E-3</v>
      </c>
      <c r="H236" s="33">
        <f t="shared" si="80"/>
        <v>2.4037763315277317E-3</v>
      </c>
      <c r="I236" s="33">
        <f t="shared" si="80"/>
        <v>2.2768908945179521E-3</v>
      </c>
      <c r="J236" s="33">
        <f t="shared" si="80"/>
        <v>2.2569152930226395E-3</v>
      </c>
      <c r="K236" s="33">
        <f t="shared" si="80"/>
        <v>2.2569152930226395E-3</v>
      </c>
      <c r="L236" s="33">
        <f t="shared" ref="L236:M236" si="91">L172*L215</f>
        <v>2.2569152930226378E-3</v>
      </c>
      <c r="M236" s="33">
        <f t="shared" si="91"/>
        <v>2.2569152930226378E-3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  <c r="CG236" s="32">
        <v>1.1584872884043071E-6</v>
      </c>
    </row>
    <row r="237" spans="2:85" outlineLevel="1" x14ac:dyDescent="0.25">
      <c r="B237" s="2">
        <v>223</v>
      </c>
      <c r="E237" t="s">
        <v>136</v>
      </c>
      <c r="F237" s="200"/>
      <c r="G237" s="33">
        <f t="shared" si="79"/>
        <v>-5.0012151281748896E-4</v>
      </c>
      <c r="H237" s="33">
        <f t="shared" si="80"/>
        <v>-5.2244798125137268E-4</v>
      </c>
      <c r="I237" s="33">
        <f t="shared" si="80"/>
        <v>-5.1128661086790672E-4</v>
      </c>
      <c r="J237" s="33">
        <f t="shared" si="80"/>
        <v>-4.9719189082698338E-4</v>
      </c>
      <c r="K237" s="33">
        <f t="shared" si="80"/>
        <v>-4.9719189082698338E-4</v>
      </c>
      <c r="L237" s="33">
        <f t="shared" ref="L237:M237" si="92">L173*L216</f>
        <v>-4.9719189082698294E-4</v>
      </c>
      <c r="M237" s="33">
        <f t="shared" si="92"/>
        <v>-4.9719189082698294E-4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  <c r="CG237" s="32">
        <v>-2.5179104111894193E-7</v>
      </c>
    </row>
    <row r="238" spans="2:85" outlineLevel="1" x14ac:dyDescent="0.25">
      <c r="B238" s="2">
        <v>224</v>
      </c>
      <c r="E238" t="s">
        <v>137</v>
      </c>
      <c r="F238" s="200"/>
      <c r="G238" s="33">
        <f t="shared" si="79"/>
        <v>4.535178639295994E-2</v>
      </c>
      <c r="H238" s="33">
        <f t="shared" si="80"/>
        <v>4.3175889841297811E-2</v>
      </c>
      <c r="I238" s="33">
        <f t="shared" si="80"/>
        <v>4.105210295418172E-2</v>
      </c>
      <c r="J238" s="33">
        <f t="shared" si="80"/>
        <v>3.8828844068095392E-2</v>
      </c>
      <c r="K238" s="33">
        <f t="shared" si="80"/>
        <v>3.7781503816829001E-2</v>
      </c>
      <c r="L238" s="33">
        <f t="shared" ref="L238:M238" si="93">L174*L217</f>
        <v>3.6734163565562632E-2</v>
      </c>
      <c r="M238" s="33">
        <f t="shared" si="93"/>
        <v>3.5686823314296255E-2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  <c r="CG238" s="32">
        <v>0</v>
      </c>
    </row>
    <row r="239" spans="2:85" outlineLevel="1" x14ac:dyDescent="0.25">
      <c r="B239" s="2">
        <v>225</v>
      </c>
      <c r="E239" t="s">
        <v>138</v>
      </c>
      <c r="F239" s="200"/>
      <c r="G239" s="33">
        <f t="shared" si="79"/>
        <v>2.6484715276438482E-2</v>
      </c>
      <c r="H239" s="33">
        <f t="shared" si="80"/>
        <v>2.400378706451254E-2</v>
      </c>
      <c r="I239" s="33">
        <f t="shared" si="80"/>
        <v>2.3580177872406037E-2</v>
      </c>
      <c r="J239" s="33">
        <f t="shared" si="80"/>
        <v>2.1880271516161922E-2</v>
      </c>
      <c r="K239" s="33">
        <f t="shared" si="80"/>
        <v>2.1290089407538626E-2</v>
      </c>
      <c r="L239" s="33">
        <f t="shared" ref="L239:M239" si="94">L175*L218</f>
        <v>2.0699907298915337E-2</v>
      </c>
      <c r="M239" s="33">
        <f t="shared" si="94"/>
        <v>2.0109725190292044E-2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  <c r="CG239" s="32">
        <v>0</v>
      </c>
    </row>
    <row r="240" spans="2:85" outlineLevel="1" x14ac:dyDescent="0.25">
      <c r="B240" s="2">
        <v>226</v>
      </c>
      <c r="E240" t="s">
        <v>139</v>
      </c>
      <c r="F240" s="200"/>
      <c r="G240" s="33">
        <f t="shared" si="79"/>
        <v>-7.316561726683532E-2</v>
      </c>
      <c r="H240" s="33">
        <f t="shared" si="80"/>
        <v>-6.9653765500214584E-2</v>
      </c>
      <c r="I240" s="33">
        <f t="shared" si="80"/>
        <v>-7.1964414830482673E-2</v>
      </c>
      <c r="J240" s="33">
        <f t="shared" si="80"/>
        <v>-7.0599947167358318E-2</v>
      </c>
      <c r="K240" s="33">
        <f t="shared" si="80"/>
        <v>-7.0599947167358318E-2</v>
      </c>
      <c r="L240" s="33">
        <f t="shared" ref="L240:M240" si="95">L176*L219</f>
        <v>-7.0599947167358318E-2</v>
      </c>
      <c r="M240" s="33">
        <f t="shared" si="95"/>
        <v>-7.0599947167358318E-2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  <c r="CG240" s="32">
        <v>0</v>
      </c>
    </row>
    <row r="241" spans="1:86" outlineLevel="1" x14ac:dyDescent="0.25">
      <c r="B241" s="2">
        <v>227</v>
      </c>
      <c r="E241" t="s">
        <v>140</v>
      </c>
      <c r="F241" s="200"/>
      <c r="G241" s="33">
        <f t="shared" si="79"/>
        <v>-0.18210096713894053</v>
      </c>
      <c r="H241" s="33">
        <f t="shared" si="80"/>
        <v>-0.16435462076150173</v>
      </c>
      <c r="I241" s="33">
        <f t="shared" si="80"/>
        <v>-0.14916582152883265</v>
      </c>
      <c r="J241" s="33">
        <f t="shared" si="80"/>
        <v>-0.13591732281686686</v>
      </c>
      <c r="K241" s="33">
        <f t="shared" si="80"/>
        <v>-0.12464695901632768</v>
      </c>
      <c r="L241" s="33">
        <f t="shared" ref="L241:M241" si="96">L177*L220</f>
        <v>-0.1144052429120237</v>
      </c>
      <c r="M241" s="33">
        <f t="shared" si="96"/>
        <v>-0.1050660387859776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  <c r="CG241" s="32">
        <v>4.331864967485749E-3</v>
      </c>
    </row>
    <row r="242" spans="1:86" outlineLevel="1" x14ac:dyDescent="0.25">
      <c r="B242" s="2">
        <v>228</v>
      </c>
      <c r="E242" t="s">
        <v>141</v>
      </c>
      <c r="F242" s="200"/>
      <c r="G242" s="33">
        <f t="shared" si="79"/>
        <v>2.7510454091965321E-2</v>
      </c>
      <c r="H242" s="33">
        <f t="shared" ref="H242:K243" si="97">H178*H221</f>
        <v>2.5247980135567474E-2</v>
      </c>
      <c r="I242" s="33">
        <f t="shared" si="97"/>
        <v>2.2839546119722481E-2</v>
      </c>
      <c r="J242" s="33">
        <f t="shared" si="97"/>
        <v>1.9506712104364419E-2</v>
      </c>
      <c r="K242" s="33">
        <f t="shared" si="97"/>
        <v>1.9506712104364419E-2</v>
      </c>
      <c r="L242" s="33">
        <f t="shared" ref="L242:M242" si="98">L178*L221</f>
        <v>1.9506712104364419E-2</v>
      </c>
      <c r="M242" s="33">
        <f t="shared" si="98"/>
        <v>1.9506712104364419E-2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  <c r="CG242" s="32">
        <v>-1.1016672753529078E-6</v>
      </c>
    </row>
    <row r="243" spans="1:86" outlineLevel="1" x14ac:dyDescent="0.25">
      <c r="B243" s="2">
        <v>229</v>
      </c>
      <c r="E243" t="s">
        <v>142</v>
      </c>
      <c r="F243" s="200"/>
      <c r="G243" s="33">
        <f t="shared" si="79"/>
        <v>0.24150644495433871</v>
      </c>
      <c r="H243" s="33">
        <f t="shared" si="97"/>
        <v>0.25875690530822004</v>
      </c>
      <c r="I243" s="33">
        <f t="shared" si="97"/>
        <v>0.27600736566210138</v>
      </c>
      <c r="J243" s="33">
        <f t="shared" si="97"/>
        <v>0.29325782601598271</v>
      </c>
      <c r="K243" s="33">
        <f t="shared" si="97"/>
        <v>0.31050828636986405</v>
      </c>
      <c r="L243" s="33">
        <f t="shared" ref="L243:M243" si="99">L179*L222</f>
        <v>0.32775874672374539</v>
      </c>
      <c r="M243" s="33">
        <f t="shared" si="99"/>
        <v>0.34500920707762672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  <c r="CG243" s="32">
        <v>0</v>
      </c>
    </row>
    <row r="244" spans="1:86" outlineLevel="1" x14ac:dyDescent="0.25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5">
      <c r="B245" s="2">
        <v>231</v>
      </c>
      <c r="E245" t="s">
        <v>147</v>
      </c>
      <c r="F245" s="196"/>
      <c r="G245" s="27">
        <f>HLOOKUP($E$3,$P$3:$CE$269,O245,FALSE)</f>
        <v>12.348016785396027</v>
      </c>
      <c r="H245" s="27">
        <f t="shared" ref="H245:K245" si="100">SUM(H226:H243)</f>
        <v>12.372797777881102</v>
      </c>
      <c r="I245" s="27">
        <f t="shared" si="100"/>
        <v>12.422247091040401</v>
      </c>
      <c r="J245" s="27">
        <f t="shared" si="100"/>
        <v>12.461869492354055</v>
      </c>
      <c r="K245" s="27">
        <f t="shared" si="100"/>
        <v>12.494765119063667</v>
      </c>
      <c r="L245" s="27">
        <f t="shared" ref="L245:M245" si="101">SUM(L226:L243)</f>
        <v>12.52658635072228</v>
      </c>
      <c r="M245" s="27">
        <f t="shared" si="101"/>
        <v>12.557459323047865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5">
      <c r="B246" s="2">
        <v>232</v>
      </c>
      <c r="E246" t="s">
        <v>148</v>
      </c>
      <c r="F246" s="186"/>
      <c r="G246" s="6">
        <f>HLOOKUP($E$3,$P$3:$CE$269,O246,FALSE)</f>
        <v>230502.45344979869</v>
      </c>
      <c r="H246" s="6">
        <f t="shared" ref="H246:K246" si="102">EXP(H245)</f>
        <v>236285.89678593352</v>
      </c>
      <c r="I246" s="6">
        <f t="shared" si="102"/>
        <v>248263.78052473161</v>
      </c>
      <c r="J246" s="6">
        <f t="shared" si="102"/>
        <v>258298.06618491167</v>
      </c>
      <c r="K246" s="6">
        <f t="shared" si="102"/>
        <v>266936.24312235997</v>
      </c>
      <c r="L246" s="6">
        <f t="shared" ref="L246:M246" si="103">EXP(L245)</f>
        <v>275567.07675140275</v>
      </c>
      <c r="M246" s="6">
        <f t="shared" si="103"/>
        <v>284207.340526852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5">
      <c r="B247" s="2">
        <v>233</v>
      </c>
      <c r="E247" t="s">
        <v>149</v>
      </c>
      <c r="F247" s="190"/>
      <c r="G247" s="15">
        <f>HLOOKUP($E$3,$P$3:$CE$269,O247,FALSE)</f>
        <v>154.5107754563422</v>
      </c>
      <c r="H247" s="15">
        <f>H137</f>
        <v>159.75443227765388</v>
      </c>
      <c r="I247" s="15">
        <f t="shared" ref="I247:K247" si="104">I137</f>
        <v>168.63520607254949</v>
      </c>
      <c r="J247" s="15">
        <f t="shared" si="104"/>
        <v>174.29300817135223</v>
      </c>
      <c r="K247" s="15">
        <f t="shared" si="104"/>
        <v>180.14063258149037</v>
      </c>
      <c r="L247" s="15">
        <f t="shared" ref="L247:M247" si="105">L137</f>
        <v>186.18444794386926</v>
      </c>
      <c r="M247" s="15">
        <f t="shared" si="105"/>
        <v>192.43103657073087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5">
      <c r="B248" s="2">
        <v>234</v>
      </c>
      <c r="E248" s="8" t="s">
        <v>150</v>
      </c>
      <c r="F248" s="186"/>
      <c r="G248" s="6">
        <f>HLOOKUP($E$3,$P$3:$CE$269,O248,FALSE)</f>
        <v>35615112.827117816</v>
      </c>
      <c r="H248" s="6">
        <f t="shared" ref="H248:K248" si="106">H246*H247</f>
        <v>37747719.29625313</v>
      </c>
      <c r="I248" s="6">
        <f t="shared" si="106"/>
        <v>41866013.789138317</v>
      </c>
      <c r="J248" s="6">
        <f t="shared" si="106"/>
        <v>45019546.960211292</v>
      </c>
      <c r="K248" s="6">
        <f t="shared" si="106"/>
        <v>48086063.69498843</v>
      </c>
      <c r="L248" s="6">
        <f t="shared" ref="L248:M248" si="107">L246*L247</f>
        <v>51306304.056465767</v>
      </c>
      <c r="M248" s="6">
        <f t="shared" si="107"/>
        <v>54690313.138592817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5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5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5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5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2" thickBot="1" x14ac:dyDescent="0.3">
      <c r="A253" s="236" t="s">
        <v>151</v>
      </c>
      <c r="B253" s="236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2" thickTop="1" x14ac:dyDescent="0.25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5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5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28104236.565675151</v>
      </c>
      <c r="H256" s="39">
        <f t="shared" ref="H256:K256" si="109">H121</f>
        <v>29573772.620330513</v>
      </c>
      <c r="I256" s="39">
        <f t="shared" si="109"/>
        <v>32205423.750958573</v>
      </c>
      <c r="J256" s="39">
        <f t="shared" si="109"/>
        <v>33489777.354976468</v>
      </c>
      <c r="K256" s="39">
        <f t="shared" si="109"/>
        <v>34745859.28453429</v>
      </c>
      <c r="L256" s="39">
        <f t="shared" ref="L256:M256" si="110">L121</f>
        <v>35886962.876684584</v>
      </c>
      <c r="M256" s="39">
        <f t="shared" si="110"/>
        <v>22853025.785548829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5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35615112.827117816</v>
      </c>
      <c r="H257" s="39">
        <f t="shared" ref="H257:K257" si="112">H248</f>
        <v>37747719.29625313</v>
      </c>
      <c r="I257" s="39">
        <f t="shared" si="112"/>
        <v>41866013.789138317</v>
      </c>
      <c r="J257" s="39">
        <f t="shared" si="112"/>
        <v>45019546.960211292</v>
      </c>
      <c r="K257" s="39">
        <f t="shared" si="112"/>
        <v>48086063.69498843</v>
      </c>
      <c r="L257" s="39">
        <f t="shared" ref="L257:M257" si="113">L248</f>
        <v>51306304.056465767</v>
      </c>
      <c r="M257" s="39">
        <f t="shared" si="113"/>
        <v>54690313.138592817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5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-7510876.261442665</v>
      </c>
      <c r="H258" s="17">
        <f t="shared" ref="H258:K258" si="115">H256-H257</f>
        <v>-8173946.6759226173</v>
      </c>
      <c r="I258" s="17">
        <f t="shared" si="115"/>
        <v>-9660590.038179744</v>
      </c>
      <c r="J258" s="17">
        <f t="shared" si="115"/>
        <v>-11529769.605234824</v>
      </c>
      <c r="K258" s="17">
        <f t="shared" si="115"/>
        <v>-13340204.410454139</v>
      </c>
      <c r="L258" s="17">
        <f t="shared" ref="L258:M258" si="116">L256-L257</f>
        <v>-15419341.179781184</v>
      </c>
      <c r="M258" s="17">
        <f t="shared" si="116"/>
        <v>-31837287.353043988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5">
      <c r="A259" s="2"/>
      <c r="B259" s="2">
        <v>240</v>
      </c>
      <c r="C259" t="s">
        <v>153</v>
      </c>
      <c r="E259"/>
      <c r="F259" s="203"/>
      <c r="G259" s="40">
        <f>G258/G257</f>
        <v>-0.21089014368427847</v>
      </c>
      <c r="H259" s="40">
        <f t="shared" ref="H259:K259" si="117">H258/H257</f>
        <v>-0.21654147133424217</v>
      </c>
      <c r="I259" s="40">
        <f t="shared" si="117"/>
        <v>-0.23075017571140435</v>
      </c>
      <c r="J259" s="40">
        <f t="shared" si="117"/>
        <v>-0.25610585587244905</v>
      </c>
      <c r="K259" s="40">
        <f t="shared" si="117"/>
        <v>-0.27742350663326321</v>
      </c>
      <c r="L259" s="40">
        <f t="shared" ref="L259:M259" si="118">L258/L257</f>
        <v>-0.30053502124829035</v>
      </c>
      <c r="M259" s="40">
        <f t="shared" si="118"/>
        <v>-0.58213759486737437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2" thickBot="1" x14ac:dyDescent="0.3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2" thickBot="1" x14ac:dyDescent="0.3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-0.23684973295436651</v>
      </c>
      <c r="H261" s="41">
        <f t="shared" si="119"/>
        <v>-0.24403714945388252</v>
      </c>
      <c r="I261" s="41">
        <f t="shared" si="119"/>
        <v>-0.26233949319912708</v>
      </c>
      <c r="J261" s="41">
        <f t="shared" si="119"/>
        <v>-0.29585653367017201</v>
      </c>
      <c r="K261" s="41">
        <f t="shared" si="119"/>
        <v>-0.32493199142776452</v>
      </c>
      <c r="L261" s="41">
        <f t="shared" ref="L261:M261" si="120">LN(L256/L257)</f>
        <v>-0.35743955224616308</v>
      </c>
      <c r="M261" s="41">
        <f t="shared" si="120"/>
        <v>-0.87260307497100287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5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5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5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5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5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5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5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2" hidden="1" thickBot="1" x14ac:dyDescent="0.3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2" hidden="1" thickBot="1" x14ac:dyDescent="0.3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5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5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5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5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5">
      <c r="F275"/>
      <c r="N275" s="2"/>
      <c r="O275"/>
      <c r="P275"/>
      <c r="Q275" s="226">
        <f>Q261-$G$261</f>
        <v>0.19274765487776396</v>
      </c>
      <c r="R275" s="226">
        <f t="shared" ref="R275:BW275" si="121">R261-$G$261</f>
        <v>0.85602173037457807</v>
      </c>
      <c r="S275" s="226">
        <f t="shared" si="121"/>
        <v>0.26489741800457445</v>
      </c>
      <c r="T275" s="226">
        <f t="shared" si="121"/>
        <v>0.19140809109974388</v>
      </c>
      <c r="U275" s="226">
        <f t="shared" si="121"/>
        <v>0.18886982873414207</v>
      </c>
      <c r="V275" s="226">
        <f t="shared" si="121"/>
        <v>0.10672828213089788</v>
      </c>
      <c r="W275" s="226">
        <f t="shared" si="121"/>
        <v>0.34673168148162786</v>
      </c>
      <c r="X275" s="226">
        <f t="shared" si="121"/>
        <v>0.12499813415656232</v>
      </c>
      <c r="Y275" s="226">
        <f t="shared" si="121"/>
        <v>0.42538192557000631</v>
      </c>
      <c r="Z275" s="226">
        <f t="shared" si="121"/>
        <v>-0.3106375717271993</v>
      </c>
      <c r="AA275" s="226">
        <f t="shared" si="121"/>
        <v>-0.35327135534533938</v>
      </c>
      <c r="AB275" s="226">
        <f t="shared" si="121"/>
        <v>0.19432859664596444</v>
      </c>
      <c r="AC275" s="226">
        <f t="shared" si="121"/>
        <v>9.3219573151405721E-2</v>
      </c>
      <c r="AD275" s="226">
        <f t="shared" si="121"/>
        <v>-1.7133287117101881E-2</v>
      </c>
      <c r="AE275" s="226">
        <f t="shared" si="121"/>
        <v>8.3681511656855057E-2</v>
      </c>
      <c r="AF275" s="226">
        <f t="shared" si="121"/>
        <v>0.13904150082917999</v>
      </c>
      <c r="AG275" s="226">
        <f t="shared" si="121"/>
        <v>0.22166201887662035</v>
      </c>
      <c r="AH275" s="226">
        <f t="shared" si="121"/>
        <v>-1.86476318932699E-2</v>
      </c>
      <c r="AI275" s="226">
        <f t="shared" si="121"/>
        <v>-8.1075096016386405E-4</v>
      </c>
      <c r="AJ275" s="226">
        <f t="shared" si="121"/>
        <v>0.25323995096607094</v>
      </c>
      <c r="AK275" s="226">
        <f t="shared" si="121"/>
        <v>0.12330460093467648</v>
      </c>
      <c r="AL275" s="226">
        <f t="shared" si="121"/>
        <v>0.2670918727280851</v>
      </c>
      <c r="AM275" s="226">
        <f t="shared" si="121"/>
        <v>-0.10854250733624521</v>
      </c>
      <c r="AN275" s="226">
        <f t="shared" si="121"/>
        <v>-0.10116753374469184</v>
      </c>
      <c r="AO275" s="226">
        <f t="shared" si="121"/>
        <v>-7.9533310212295927E-2</v>
      </c>
      <c r="AP275" s="226">
        <f t="shared" si="121"/>
        <v>5.7311146891542791E-2</v>
      </c>
      <c r="AQ275" s="226">
        <f t="shared" si="121"/>
        <v>-0.42679661678766911</v>
      </c>
      <c r="AR275" s="226">
        <f t="shared" si="121"/>
        <v>0.3980660637471527</v>
      </c>
      <c r="AS275" s="226">
        <f t="shared" si="121"/>
        <v>0.43503035741308832</v>
      </c>
      <c r="AT275" s="226">
        <f t="shared" si="121"/>
        <v>0.16864825200807343</v>
      </c>
      <c r="AU275" s="226">
        <f t="shared" si="121"/>
        <v>0.16874580080334997</v>
      </c>
      <c r="AV275" s="226">
        <f t="shared" si="121"/>
        <v>1.61650311610472E-2</v>
      </c>
      <c r="AW275" s="226">
        <f t="shared" si="121"/>
        <v>-3.494844888391313E-2</v>
      </c>
      <c r="AX275" s="226">
        <f t="shared" si="121"/>
        <v>6.8272690542793668E-2</v>
      </c>
      <c r="AY275" s="226">
        <f t="shared" si="121"/>
        <v>0.17377741976910105</v>
      </c>
      <c r="AZ275" s="226">
        <f t="shared" si="121"/>
        <v>0</v>
      </c>
      <c r="BA275" s="226">
        <f t="shared" si="121"/>
        <v>7.814341703959457E-2</v>
      </c>
      <c r="BB275" s="226">
        <f t="shared" si="121"/>
        <v>0.20843793087007015</v>
      </c>
      <c r="BC275" s="226">
        <f t="shared" si="121"/>
        <v>0.10999293854054021</v>
      </c>
      <c r="BD275" s="226">
        <f t="shared" si="121"/>
        <v>0.25109187780795444</v>
      </c>
      <c r="BE275" s="226">
        <f t="shared" si="121"/>
        <v>-0.18398448323759542</v>
      </c>
      <c r="BF275" s="226">
        <f t="shared" si="121"/>
        <v>0.19859387419563593</v>
      </c>
      <c r="BG275" s="226">
        <f t="shared" si="121"/>
        <v>-5.0772981797621908E-2</v>
      </c>
      <c r="BH275" s="226">
        <f t="shared" si="121"/>
        <v>0.2182977123060672</v>
      </c>
      <c r="BI275" s="226">
        <f t="shared" si="121"/>
        <v>7.0678800546467108E-2</v>
      </c>
      <c r="BJ275" s="226">
        <f t="shared" si="121"/>
        <v>-5.9526628713075791E-3</v>
      </c>
      <c r="BK275" s="226">
        <f t="shared" si="121"/>
        <v>0.23086551511122008</v>
      </c>
      <c r="BL275" s="226">
        <f t="shared" si="121"/>
        <v>0.24785383258999982</v>
      </c>
      <c r="BM275" s="226">
        <f t="shared" si="121"/>
        <v>0.21202528784051627</v>
      </c>
      <c r="BN275" s="226">
        <f t="shared" si="121"/>
        <v>8.2938609347791514E-2</v>
      </c>
      <c r="BO275" s="226">
        <f t="shared" si="121"/>
        <v>-2.1649172080794421E-2</v>
      </c>
      <c r="BP275" s="226">
        <f t="shared" si="121"/>
        <v>0.24165154335342567</v>
      </c>
      <c r="BQ275" s="226">
        <f t="shared" si="121"/>
        <v>0.18168179667217899</v>
      </c>
      <c r="BR275" s="226">
        <f t="shared" si="121"/>
        <v>0.76548241451070276</v>
      </c>
      <c r="BS275" s="226">
        <f t="shared" si="121"/>
        <v>-0.2295037437552826</v>
      </c>
      <c r="BT275" s="226">
        <f t="shared" si="121"/>
        <v>0.27154061010305858</v>
      </c>
      <c r="BU275" s="226">
        <f t="shared" si="121"/>
        <v>-6.6463958845082327E-2</v>
      </c>
      <c r="BV275" s="226">
        <f t="shared" si="121"/>
        <v>0.26571545876293595</v>
      </c>
      <c r="BW275" s="226">
        <f t="shared" si="121"/>
        <v>0.12624657725132293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5">
      <c r="G276" s="25"/>
    </row>
    <row r="277" spans="5:150" x14ac:dyDescent="0.25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2:Q29"/>
  <sheetViews>
    <sheetView tabSelected="1" workbookViewId="0">
      <selection activeCell="H22" sqref="H22"/>
    </sheetView>
  </sheetViews>
  <sheetFormatPr defaultColWidth="9" defaultRowHeight="12.6" x14ac:dyDescent="0.25"/>
  <cols>
    <col min="3" max="3" width="3.21875" customWidth="1"/>
    <col min="4" max="4" width="4.5546875" customWidth="1"/>
    <col min="5" max="5" width="45.5546875" customWidth="1"/>
    <col min="6" max="10" width="13.5546875" bestFit="1" customWidth="1"/>
    <col min="11" max="11" width="13.77734375" customWidth="1"/>
    <col min="12" max="13" width="9.21875" bestFit="1" customWidth="1"/>
  </cols>
  <sheetData>
    <row r="2" spans="3:17" ht="22.8" x14ac:dyDescent="0.4">
      <c r="C2" s="237" t="s">
        <v>168</v>
      </c>
      <c r="D2" s="237"/>
      <c r="E2" s="237"/>
      <c r="F2" s="237"/>
      <c r="G2" s="237"/>
      <c r="H2" s="237"/>
      <c r="I2" s="237"/>
      <c r="J2" s="237"/>
      <c r="K2" s="237"/>
    </row>
    <row r="3" spans="3:17" ht="23.25" customHeight="1" x14ac:dyDescent="0.3">
      <c r="C3" s="233" t="str">
        <f>'Model Inputs'!F5</f>
        <v>Milton Hydro Distribution Inc.</v>
      </c>
      <c r="D3" s="233"/>
      <c r="E3" s="233"/>
      <c r="F3" s="233"/>
      <c r="G3" s="233"/>
      <c r="H3" s="233"/>
      <c r="I3" s="233"/>
      <c r="J3" s="233"/>
      <c r="K3" s="233"/>
    </row>
    <row r="4" spans="3:17" ht="18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5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5">
      <c r="F7" s="2" t="s">
        <v>185</v>
      </c>
      <c r="G7" s="2" t="s">
        <v>185</v>
      </c>
      <c r="H7" s="2" t="s">
        <v>186</v>
      </c>
      <c r="I7" s="2" t="s">
        <v>187</v>
      </c>
    </row>
    <row r="8" spans="3:17" x14ac:dyDescent="0.25">
      <c r="C8" s="8" t="s">
        <v>163</v>
      </c>
    </row>
    <row r="10" spans="3:17" ht="18.75" customHeight="1" x14ac:dyDescent="0.25">
      <c r="D10" t="s">
        <v>162</v>
      </c>
      <c r="F10" s="54">
        <f>'Benchmarking Calculations'!G121</f>
        <v>28104236.565675151</v>
      </c>
      <c r="G10" s="54">
        <f>'Benchmarking Calculations'!H121</f>
        <v>29573772.620330513</v>
      </c>
      <c r="H10" s="54">
        <f>'Benchmarking Calculations'!I121</f>
        <v>32205423.750958573</v>
      </c>
      <c r="I10" s="53">
        <f>IF(ISNUMBER(I12),'Benchmarking Calculations'!J121,"na")</f>
        <v>33489777.354976468</v>
      </c>
      <c r="J10" s="53">
        <f>IF(ISNUMBER(J12),'Benchmarking Calculations'!K121,"na")</f>
        <v>34745859.28453429</v>
      </c>
      <c r="K10" s="53">
        <f>IF(ISNUMBER(K12),'Benchmarking Calculations'!L121,"na")</f>
        <v>35886962.876684584</v>
      </c>
      <c r="L10" s="54"/>
      <c r="M10" s="54"/>
      <c r="N10" s="54"/>
      <c r="O10" s="54"/>
      <c r="P10" s="16"/>
      <c r="Q10" s="16"/>
    </row>
    <row r="11" spans="3:17" ht="18.75" customHeight="1" x14ac:dyDescent="0.25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5">
      <c r="D12" t="s">
        <v>150</v>
      </c>
      <c r="F12" s="54">
        <f>'Benchmarking Calculations'!G257</f>
        <v>35615112.827117816</v>
      </c>
      <c r="G12" s="54">
        <f>'Benchmarking Calculations'!H257</f>
        <v>37747719.29625313</v>
      </c>
      <c r="H12" s="54">
        <f>'Benchmarking Calculations'!I257</f>
        <v>41866013.789138317</v>
      </c>
      <c r="I12" s="53">
        <f>IF(ISNUMBER('Benchmarking Calculations'!J257),'Benchmarking Calculations'!J257,"na")</f>
        <v>45019546.960211292</v>
      </c>
      <c r="J12" s="53">
        <f>IF(ISNUMBER('Benchmarking Calculations'!K257),'Benchmarking Calculations'!K257,"na")</f>
        <v>48086063.69498843</v>
      </c>
      <c r="K12" s="53">
        <f>IF(ISNUMBER('Benchmarking Calculations'!L257),'Benchmarking Calculations'!L257,"na")</f>
        <v>51306304.056465767</v>
      </c>
      <c r="L12" s="54"/>
      <c r="M12" s="54"/>
      <c r="N12" s="54"/>
      <c r="O12" s="54"/>
      <c r="P12" s="16"/>
      <c r="Q12" s="16"/>
    </row>
    <row r="13" spans="3:17" ht="18.75" customHeight="1" x14ac:dyDescent="0.25">
      <c r="F13" s="54"/>
      <c r="G13" s="54"/>
      <c r="H13" s="227"/>
      <c r="I13" s="227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5">
      <c r="D14" t="s">
        <v>160</v>
      </c>
      <c r="F14" s="54">
        <f t="shared" ref="F14:H14" si="1">F10-F12</f>
        <v>-7510876.261442665</v>
      </c>
      <c r="G14" s="54">
        <f t="shared" si="1"/>
        <v>-8173946.6759226173</v>
      </c>
      <c r="H14" s="54">
        <f t="shared" si="1"/>
        <v>-9660590.038179744</v>
      </c>
      <c r="I14" s="53">
        <f>IF(ISNUMBER(I12),I10-I12,"na")</f>
        <v>-11529769.605234824</v>
      </c>
      <c r="J14" s="53">
        <f t="shared" ref="J14:K14" si="2">IF(ISNUMBER(J12),J10-J12,"na")</f>
        <v>-13340204.410454139</v>
      </c>
      <c r="K14" s="53">
        <f t="shared" si="2"/>
        <v>-15419341.179781184</v>
      </c>
      <c r="L14" s="54"/>
      <c r="M14" s="54"/>
      <c r="N14" s="54"/>
      <c r="O14" s="54"/>
      <c r="P14" s="16"/>
      <c r="Q14" s="16"/>
    </row>
    <row r="15" spans="3:17" ht="18.75" customHeight="1" x14ac:dyDescent="0.25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5">
      <c r="D16" s="8" t="s">
        <v>184</v>
      </c>
      <c r="E16" s="8"/>
      <c r="F16" s="139">
        <f>LN(F10/F12)</f>
        <v>-0.23684973295436651</v>
      </c>
      <c r="G16" s="139">
        <f t="shared" ref="G16:H16" si="3">LN(G10/G12)</f>
        <v>-0.24403714945388252</v>
      </c>
      <c r="H16" s="139">
        <f t="shared" si="3"/>
        <v>-0.26233949319912708</v>
      </c>
      <c r="I16" s="91">
        <f>IF(ISNUMBER(I14),LN(I10/I12),"na")</f>
        <v>-0.29585653367017201</v>
      </c>
      <c r="J16" s="91">
        <f t="shared" ref="J16:K16" si="4">IF(ISNUMBER(J14),LN(J10/J12),"na")</f>
        <v>-0.32493199142776452</v>
      </c>
      <c r="K16" s="91">
        <f t="shared" si="4"/>
        <v>-0.35743955224616308</v>
      </c>
    </row>
    <row r="17" spans="4:11" ht="18.75" customHeight="1" x14ac:dyDescent="0.25">
      <c r="F17" s="108"/>
      <c r="G17" s="108"/>
      <c r="H17" s="108"/>
      <c r="I17" s="56"/>
      <c r="J17" s="56"/>
      <c r="K17" s="56"/>
    </row>
    <row r="18" spans="4:11" ht="18.75" customHeight="1" x14ac:dyDescent="0.25">
      <c r="D18" t="s">
        <v>181</v>
      </c>
      <c r="F18" s="109"/>
      <c r="G18" s="109"/>
      <c r="H18" s="109">
        <f>AVERAGE(F16:H16)</f>
        <v>-0.24774212520245872</v>
      </c>
      <c r="I18" s="43">
        <f>IF(ISNUMBER(I16),AVERAGE(G16:I16),"na")</f>
        <v>-0.26741105877439386</v>
      </c>
      <c r="J18" s="43">
        <f t="shared" ref="J18:K18" si="5">IF(ISNUMBER(J16),AVERAGE(H16:J16),"na")</f>
        <v>-0.2943760060990212</v>
      </c>
      <c r="K18" s="43">
        <f t="shared" si="5"/>
        <v>-0.32607602578136657</v>
      </c>
    </row>
    <row r="19" spans="4:11" ht="18.75" customHeight="1" x14ac:dyDescent="0.25"/>
    <row r="20" spans="4:11" ht="18.75" customHeight="1" x14ac:dyDescent="0.5">
      <c r="D20" t="s">
        <v>161</v>
      </c>
      <c r="F20" s="79"/>
    </row>
    <row r="22" spans="4:11" ht="14.4" x14ac:dyDescent="0.3">
      <c r="E22" t="s">
        <v>182</v>
      </c>
      <c r="F22" s="92">
        <f>IF(F16&lt;-0.25,1,IF(F16&lt;-0.1,2,IF(F16&lt;0.1,3,IF(F16&lt;0.25,4,5))))</f>
        <v>2</v>
      </c>
      <c r="G22" s="92">
        <f t="shared" ref="G22" si="6">IF(G16&lt;-0.25,1,IF(G16&lt;-0.1,2,IF(G16&lt;0.1,3,IF(G16&lt;0.25,4,5))))</f>
        <v>2</v>
      </c>
      <c r="H22" s="92">
        <f>IF($H$16&lt;-0.25,1,IF($H$16&lt;-0.1,2,IF($H$16&lt;0.1,3,IF($H$16&lt;0.25,4,5))))</f>
        <v>1</v>
      </c>
      <c r="I22" s="92">
        <f>IF(ISNUMBER(I16),IF(I16&lt;-0.25,1,IF(I16&lt;-0.1,2,IF(I16&lt;0.1,3,IF(I16&lt;0.25,4,5)))),"na")</f>
        <v>1</v>
      </c>
      <c r="J22" s="92">
        <f t="shared" ref="J22:K22" si="7">IF(ISNUMBER(J16),IF(J16&lt;-0.25,1,IF(J16&lt;-0.1,2,IF(J16&lt;0.1,3,IF(J16&lt;0.25,4,5)))),"na")</f>
        <v>1</v>
      </c>
      <c r="K22" s="92">
        <f t="shared" si="7"/>
        <v>1</v>
      </c>
    </row>
    <row r="24" spans="4:11" ht="14.4" x14ac:dyDescent="0.3">
      <c r="E24" t="s">
        <v>155</v>
      </c>
      <c r="H24" s="92">
        <f>IF(H$18&lt;-0.25,1,IF(H$18&lt;-0.1,2,IF(H$18&lt;0.1,3,IF(H$18&lt;0.25,4,5))))</f>
        <v>2</v>
      </c>
      <c r="I24" s="92">
        <f t="shared" ref="I24:K24" si="8">IF(I$18&lt;-0.25,1,IF(I$18&lt;-0.1,2,IF(I$18&lt;0.1,3,IF(I$18&lt;0.25,4,5))))</f>
        <v>1</v>
      </c>
      <c r="J24" s="92">
        <f t="shared" si="8"/>
        <v>1</v>
      </c>
      <c r="K24" s="92">
        <f t="shared" si="8"/>
        <v>1</v>
      </c>
    </row>
    <row r="27" spans="4:11" x14ac:dyDescent="0.25">
      <c r="D27" s="8"/>
    </row>
    <row r="29" spans="4:11" x14ac:dyDescent="0.25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4" ma:contentTypeDescription="Create a new document." ma:contentTypeScope="" ma:versionID="575b58b60d0eb4e11df70cfcecbf893e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c8f49216847e7f60492da75dfe8dbd5c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173a25d-503f-4a3c-9930-1906d3e40e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3e14693-d2a8-44d1-b741-91bad9e65f3c}" ma:internalName="TaxCatchAll" ma:showField="CatchAllData" ma:web="0f88fa1a-2dfd-460a-bd62-5264ee380b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88fa1a-2dfd-460a-bd62-5264ee380bca" xsi:nil="true"/>
    <lcf76f155ced4ddcb4097134ff3c332f xmlns="033d26b1-57eb-4b60-9c03-6b92d80595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69EE68-40B5-4D76-A30D-7E5BD9F7B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F029A3-4A95-4B4A-8A88-892680AAE39A}"/>
</file>

<file path=customXml/itemProps3.xml><?xml version="1.0" encoding="utf-8"?>
<ds:datastoreItem xmlns:ds="http://schemas.openxmlformats.org/officeDocument/2006/customXml" ds:itemID="{8D2DD073-DFF2-43EA-BE0F-62215E43B1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Dan Gapic</cp:lastModifiedBy>
  <cp:lastPrinted>2018-07-25T01:09:59Z</cp:lastPrinted>
  <dcterms:created xsi:type="dcterms:W3CDTF">2016-07-20T15:58:10Z</dcterms:created>
  <dcterms:modified xsi:type="dcterms:W3CDTF">2022-08-12T19:32:28Z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0x0101005B227697F19F8B4DA3D5C2B74C50E32F</vt:lpwstr>
  </property>
</Properties>
</file>