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3 EDR Application\0. Application and Adjudication Process\C. Interrogatories_IRM\3. IR Responses and Support\Final Models for Filing\Reviewed\"/>
    </mc:Choice>
  </mc:AlternateContent>
  <xr:revisionPtr revIDLastSave="0" documentId="13_ncr:1_{1512BD1F-59CF-4C7D-95B5-10585D1D26EE}" xr6:coauthVersionLast="47" xr6:coauthVersionMax="47" xr10:uidLastSave="{00000000-0000-0000-0000-000000000000}"/>
  <bookViews>
    <workbookView xWindow="-28920" yWindow="-120" windowWidth="29040" windowHeight="15840" activeTab="1" xr2:uid="{25616773-6D58-4E09-8A79-0B3DC4AEB624}"/>
  </bookViews>
  <sheets>
    <sheet name="7. Calculation of Def-Var RR" sheetId="1" r:id="rId1"/>
    <sheet name="20. Bill Impacts (L)" sheetId="4" r:id="rId2"/>
    <sheet name="20. Bill Impacts (S)" sheetId="2" r:id="rId3"/>
  </sheets>
  <externalReferences>
    <externalReference r:id="rId4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  <definedName name="SME">'[1]17. Regulatory Charges'!$D$33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" l="1"/>
  <c r="M43" i="4"/>
  <c r="L98" i="4"/>
  <c r="M98" i="4"/>
  <c r="L148" i="4"/>
  <c r="M148" i="4"/>
  <c r="K148" i="4"/>
  <c r="H148" i="4"/>
  <c r="K98" i="4"/>
  <c r="H98" i="4"/>
  <c r="K43" i="4"/>
  <c r="H43" i="4"/>
  <c r="C164" i="4"/>
  <c r="I154" i="4"/>
  <c r="I153" i="4"/>
  <c r="C145" i="4"/>
  <c r="C142" i="4"/>
  <c r="K140" i="4"/>
  <c r="L140" i="4" s="1"/>
  <c r="M140" i="4" s="1"/>
  <c r="H140" i="4"/>
  <c r="L139" i="4"/>
  <c r="M139" i="4" s="1"/>
  <c r="K139" i="4"/>
  <c r="H139" i="4"/>
  <c r="C133" i="4"/>
  <c r="I132" i="4"/>
  <c r="K131" i="4"/>
  <c r="H131" i="4"/>
  <c r="M130" i="4"/>
  <c r="L130" i="4"/>
  <c r="K127" i="4"/>
  <c r="H127" i="4"/>
  <c r="L127" i="4" s="1"/>
  <c r="M127" i="4" s="1"/>
  <c r="K117" i="4"/>
  <c r="C114" i="4"/>
  <c r="I104" i="4"/>
  <c r="I103" i="4"/>
  <c r="C95" i="4"/>
  <c r="C92" i="4"/>
  <c r="K90" i="4"/>
  <c r="H90" i="4"/>
  <c r="L90" i="4" s="1"/>
  <c r="M90" i="4" s="1"/>
  <c r="K89" i="4"/>
  <c r="H89" i="4"/>
  <c r="C83" i="4"/>
  <c r="I82" i="4"/>
  <c r="K81" i="4"/>
  <c r="H81" i="4"/>
  <c r="L80" i="4"/>
  <c r="M80" i="4" s="1"/>
  <c r="K77" i="4"/>
  <c r="H77" i="4"/>
  <c r="E72" i="4"/>
  <c r="E122" i="4" s="1"/>
  <c r="E71" i="4"/>
  <c r="E121" i="4" s="1"/>
  <c r="E70" i="4"/>
  <c r="J88" i="4" s="1"/>
  <c r="K88" i="4" s="1"/>
  <c r="E69" i="4"/>
  <c r="G87" i="4" s="1"/>
  <c r="H87" i="4" s="1"/>
  <c r="E68" i="4"/>
  <c r="E118" i="4" s="1"/>
  <c r="E67" i="4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K63" i="4"/>
  <c r="H63" i="4"/>
  <c r="C59" i="4"/>
  <c r="K58" i="4"/>
  <c r="H58" i="4"/>
  <c r="K53" i="4"/>
  <c r="L53" i="4" s="1"/>
  <c r="H53" i="4"/>
  <c r="J49" i="4"/>
  <c r="K49" i="4" s="1"/>
  <c r="I49" i="4"/>
  <c r="G49" i="4"/>
  <c r="H49" i="4" s="1"/>
  <c r="J48" i="4"/>
  <c r="I48" i="4"/>
  <c r="G48" i="4"/>
  <c r="H48" i="4" s="1"/>
  <c r="J47" i="4"/>
  <c r="K47" i="4" s="1"/>
  <c r="G47" i="4"/>
  <c r="H47" i="4" s="1"/>
  <c r="J46" i="4"/>
  <c r="K46" i="4" s="1"/>
  <c r="G46" i="4"/>
  <c r="H46" i="4" s="1"/>
  <c r="J45" i="4"/>
  <c r="K45" i="4" s="1"/>
  <c r="G45" i="4"/>
  <c r="H45" i="4" s="1"/>
  <c r="J42" i="4"/>
  <c r="K42" i="4" s="1"/>
  <c r="H42" i="4"/>
  <c r="G42" i="4"/>
  <c r="J41" i="4"/>
  <c r="K41" i="4" s="1"/>
  <c r="G41" i="4"/>
  <c r="H41" i="4" s="1"/>
  <c r="C40" i="4"/>
  <c r="J39" i="4"/>
  <c r="K39" i="4" s="1"/>
  <c r="G39" i="4"/>
  <c r="H39" i="4" s="1"/>
  <c r="J38" i="4"/>
  <c r="K38" i="4" s="1"/>
  <c r="G38" i="4"/>
  <c r="H38" i="4" s="1"/>
  <c r="C37" i="4"/>
  <c r="K36" i="4"/>
  <c r="J36" i="4"/>
  <c r="G36" i="4"/>
  <c r="H36" i="4" s="1"/>
  <c r="K35" i="4"/>
  <c r="H35" i="4"/>
  <c r="K34" i="4"/>
  <c r="L34" i="4" s="1"/>
  <c r="M34" i="4" s="1"/>
  <c r="H34" i="4"/>
  <c r="J33" i="4"/>
  <c r="K33" i="4" s="1"/>
  <c r="G33" i="4"/>
  <c r="H33" i="4" s="1"/>
  <c r="J32" i="4"/>
  <c r="K32" i="4" s="1"/>
  <c r="L32" i="4" s="1"/>
  <c r="M32" i="4" s="1"/>
  <c r="G32" i="4"/>
  <c r="H32" i="4" s="1"/>
  <c r="J31" i="4"/>
  <c r="K31" i="4" s="1"/>
  <c r="L31" i="4" s="1"/>
  <c r="M31" i="4" s="1"/>
  <c r="G31" i="4"/>
  <c r="H31" i="4" s="1"/>
  <c r="J30" i="4"/>
  <c r="K30" i="4" s="1"/>
  <c r="G30" i="4"/>
  <c r="H30" i="4" s="1"/>
  <c r="I29" i="4"/>
  <c r="J29" i="4" s="1"/>
  <c r="K29" i="4" s="1"/>
  <c r="F29" i="4"/>
  <c r="G29" i="4" s="1"/>
  <c r="H29" i="4" s="1"/>
  <c r="C28" i="4"/>
  <c r="J27" i="4"/>
  <c r="K27" i="4" s="1"/>
  <c r="L27" i="4" s="1"/>
  <c r="M27" i="4" s="1"/>
  <c r="G27" i="4"/>
  <c r="H27" i="4" s="1"/>
  <c r="K26" i="4"/>
  <c r="H26" i="4"/>
  <c r="L25" i="4"/>
  <c r="M25" i="4" s="1"/>
  <c r="J25" i="4"/>
  <c r="G25" i="4"/>
  <c r="J24" i="4"/>
  <c r="G24" i="4"/>
  <c r="J23" i="4"/>
  <c r="K23" i="4" s="1"/>
  <c r="G23" i="4"/>
  <c r="H23" i="4" s="1"/>
  <c r="K22" i="4"/>
  <c r="H22" i="4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L81" i="4" l="1"/>
  <c r="M81" i="4" s="1"/>
  <c r="L131" i="4"/>
  <c r="M131" i="4" s="1"/>
  <c r="H28" i="4"/>
  <c r="J86" i="4"/>
  <c r="K86" i="4" s="1"/>
  <c r="L36" i="4"/>
  <c r="M36" i="4" s="1"/>
  <c r="K48" i="4"/>
  <c r="L48" i="4" s="1"/>
  <c r="M48" i="4" s="1"/>
  <c r="J78" i="4"/>
  <c r="K78" i="4" s="1"/>
  <c r="L89" i="4"/>
  <c r="M89" i="4" s="1"/>
  <c r="L29" i="4"/>
  <c r="M29" i="4" s="1"/>
  <c r="L39" i="4"/>
  <c r="M39" i="4" s="1"/>
  <c r="N39" i="4" s="1"/>
  <c r="J79" i="4"/>
  <c r="G82" i="4"/>
  <c r="H82" i="4" s="1"/>
  <c r="G88" i="4"/>
  <c r="H88" i="4" s="1"/>
  <c r="L88" i="4" s="1"/>
  <c r="M88" i="4" s="1"/>
  <c r="L45" i="4"/>
  <c r="M45" i="4" s="1"/>
  <c r="L33" i="4"/>
  <c r="M33" i="4" s="1"/>
  <c r="L38" i="4"/>
  <c r="M38" i="4" s="1"/>
  <c r="N38" i="4" s="1"/>
  <c r="L42" i="4"/>
  <c r="M42" i="4" s="1"/>
  <c r="L47" i="4"/>
  <c r="M47" i="4" s="1"/>
  <c r="G78" i="4"/>
  <c r="H78" i="4" s="1"/>
  <c r="L78" i="4" s="1"/>
  <c r="M78" i="4" s="1"/>
  <c r="H37" i="4"/>
  <c r="L49" i="4"/>
  <c r="M49" i="4" s="1"/>
  <c r="L23" i="4"/>
  <c r="M23" i="4" s="1"/>
  <c r="L41" i="4"/>
  <c r="M41" i="4" s="1"/>
  <c r="K28" i="4"/>
  <c r="L26" i="4"/>
  <c r="M26" i="4" s="1"/>
  <c r="L77" i="4"/>
  <c r="M77" i="4" s="1"/>
  <c r="L22" i="4"/>
  <c r="M22" i="4" s="1"/>
  <c r="L30" i="4"/>
  <c r="M30" i="4" s="1"/>
  <c r="L35" i="4"/>
  <c r="M35" i="4" s="1"/>
  <c r="L46" i="4"/>
  <c r="M46" i="4" s="1"/>
  <c r="I84" i="4"/>
  <c r="J84" i="4" s="1"/>
  <c r="K84" i="4" s="1"/>
  <c r="J85" i="4"/>
  <c r="K85" i="4" s="1"/>
  <c r="J91" i="4"/>
  <c r="K91" i="4" s="1"/>
  <c r="G102" i="4"/>
  <c r="H102" i="4" s="1"/>
  <c r="J100" i="4"/>
  <c r="K100" i="4" s="1"/>
  <c r="J96" i="4"/>
  <c r="K96" i="4" s="1"/>
  <c r="G104" i="4"/>
  <c r="H104" i="4" s="1"/>
  <c r="G103" i="4"/>
  <c r="H103" i="4" s="1"/>
  <c r="J101" i="4"/>
  <c r="K101" i="4" s="1"/>
  <c r="J97" i="4"/>
  <c r="K97" i="4" s="1"/>
  <c r="E119" i="4"/>
  <c r="J104" i="4"/>
  <c r="K104" i="4" s="1"/>
  <c r="J103" i="4"/>
  <c r="K103" i="4" s="1"/>
  <c r="J102" i="4"/>
  <c r="K102" i="4" s="1"/>
  <c r="G100" i="4"/>
  <c r="H100" i="4" s="1"/>
  <c r="G96" i="4"/>
  <c r="H96" i="4" s="1"/>
  <c r="G80" i="4"/>
  <c r="F84" i="4"/>
  <c r="G84" i="4" s="1"/>
  <c r="H84" i="4" s="1"/>
  <c r="G86" i="4"/>
  <c r="H86" i="4" s="1"/>
  <c r="L86" i="4" s="1"/>
  <c r="M86" i="4" s="1"/>
  <c r="E117" i="4"/>
  <c r="K113" i="4"/>
  <c r="K108" i="4"/>
  <c r="H113" i="4"/>
  <c r="H108" i="4"/>
  <c r="G94" i="4"/>
  <c r="H94" i="4" s="1"/>
  <c r="G93" i="4"/>
  <c r="H93" i="4" s="1"/>
  <c r="E120" i="4"/>
  <c r="G91" i="4"/>
  <c r="H91" i="4" s="1"/>
  <c r="J94" i="4"/>
  <c r="K94" i="4" s="1"/>
  <c r="L94" i="4" s="1"/>
  <c r="M94" i="4" s="1"/>
  <c r="N94" i="4" s="1"/>
  <c r="J93" i="4"/>
  <c r="K93" i="4" s="1"/>
  <c r="L93" i="4" s="1"/>
  <c r="M93" i="4" s="1"/>
  <c r="N93" i="4" s="1"/>
  <c r="G79" i="4"/>
  <c r="J80" i="4"/>
  <c r="J82" i="4"/>
  <c r="K82" i="4" s="1"/>
  <c r="G85" i="4"/>
  <c r="H85" i="4" s="1"/>
  <c r="J87" i="4"/>
  <c r="K87" i="4" s="1"/>
  <c r="L87" i="4" s="1"/>
  <c r="M87" i="4" s="1"/>
  <c r="G97" i="4"/>
  <c r="H97" i="4" s="1"/>
  <c r="G101" i="4"/>
  <c r="H101" i="4" s="1"/>
  <c r="L82" i="4" l="1"/>
  <c r="M82" i="4" s="1"/>
  <c r="L84" i="4"/>
  <c r="M84" i="4" s="1"/>
  <c r="L104" i="4"/>
  <c r="M104" i="4" s="1"/>
  <c r="H83" i="4"/>
  <c r="H163" i="4"/>
  <c r="H158" i="4"/>
  <c r="A127" i="4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K163" i="4"/>
  <c r="K158" i="4"/>
  <c r="J144" i="4"/>
  <c r="K144" i="4" s="1"/>
  <c r="J143" i="4"/>
  <c r="K143" i="4" s="1"/>
  <c r="G138" i="4"/>
  <c r="H138" i="4" s="1"/>
  <c r="J136" i="4"/>
  <c r="K136" i="4" s="1"/>
  <c r="G132" i="4"/>
  <c r="H132" i="4" s="1"/>
  <c r="J129" i="4"/>
  <c r="G128" i="4"/>
  <c r="H128" i="4" s="1"/>
  <c r="H133" i="4" s="1"/>
  <c r="J141" i="4"/>
  <c r="K141" i="4" s="1"/>
  <c r="G135" i="4"/>
  <c r="H135" i="4" s="1"/>
  <c r="J132" i="4"/>
  <c r="K132" i="4" s="1"/>
  <c r="J130" i="4"/>
  <c r="G129" i="4"/>
  <c r="G144" i="4"/>
  <c r="H144" i="4" s="1"/>
  <c r="G143" i="4"/>
  <c r="H143" i="4" s="1"/>
  <c r="J138" i="4"/>
  <c r="K138" i="4" s="1"/>
  <c r="L138" i="4" s="1"/>
  <c r="M138" i="4" s="1"/>
  <c r="G136" i="4"/>
  <c r="H136" i="4" s="1"/>
  <c r="G130" i="4"/>
  <c r="J128" i="4"/>
  <c r="K128" i="4" s="1"/>
  <c r="G141" i="4"/>
  <c r="H141" i="4" s="1"/>
  <c r="J135" i="4"/>
  <c r="K135" i="4" s="1"/>
  <c r="J154" i="4"/>
  <c r="K154" i="4" s="1"/>
  <c r="J153" i="4"/>
  <c r="K153" i="4" s="1"/>
  <c r="J152" i="4"/>
  <c r="K152" i="4" s="1"/>
  <c r="L152" i="4" s="1"/>
  <c r="M152" i="4" s="1"/>
  <c r="G150" i="4"/>
  <c r="H150" i="4" s="1"/>
  <c r="G146" i="4"/>
  <c r="H146" i="4" s="1"/>
  <c r="G151" i="4"/>
  <c r="H151" i="4" s="1"/>
  <c r="G147" i="4"/>
  <c r="H147" i="4" s="1"/>
  <c r="J137" i="4"/>
  <c r="K137" i="4" s="1"/>
  <c r="G152" i="4"/>
  <c r="H152" i="4" s="1"/>
  <c r="J150" i="4"/>
  <c r="K150" i="4" s="1"/>
  <c r="L150" i="4" s="1"/>
  <c r="M150" i="4" s="1"/>
  <c r="J146" i="4"/>
  <c r="K146" i="4" s="1"/>
  <c r="F134" i="4"/>
  <c r="G134" i="4" s="1"/>
  <c r="H134" i="4" s="1"/>
  <c r="G153" i="4"/>
  <c r="H153" i="4" s="1"/>
  <c r="G154" i="4"/>
  <c r="H154" i="4" s="1"/>
  <c r="G137" i="4"/>
  <c r="H137" i="4" s="1"/>
  <c r="I134" i="4"/>
  <c r="J134" i="4" s="1"/>
  <c r="K134" i="4" s="1"/>
  <c r="L134" i="4" s="1"/>
  <c r="M134" i="4" s="1"/>
  <c r="J147" i="4"/>
  <c r="K147" i="4" s="1"/>
  <c r="J151" i="4"/>
  <c r="K151" i="4" s="1"/>
  <c r="L151" i="4" s="1"/>
  <c r="M151" i="4" s="1"/>
  <c r="H92" i="4"/>
  <c r="L108" i="4"/>
  <c r="L102" i="4"/>
  <c r="M102" i="4" s="1"/>
  <c r="L97" i="4"/>
  <c r="M97" i="4" s="1"/>
  <c r="L96" i="4"/>
  <c r="M96" i="4" s="1"/>
  <c r="L91" i="4"/>
  <c r="M91" i="4" s="1"/>
  <c r="H40" i="4"/>
  <c r="L103" i="4"/>
  <c r="M103" i="4" s="1"/>
  <c r="L101" i="4"/>
  <c r="M101" i="4" s="1"/>
  <c r="L100" i="4"/>
  <c r="M100" i="4" s="1"/>
  <c r="L85" i="4"/>
  <c r="M85" i="4" s="1"/>
  <c r="K83" i="4"/>
  <c r="L28" i="4"/>
  <c r="M28" i="4" s="1"/>
  <c r="K37" i="4"/>
  <c r="L132" i="4" l="1"/>
  <c r="M132" i="4" s="1"/>
  <c r="L135" i="4"/>
  <c r="M135" i="4" s="1"/>
  <c r="H142" i="4"/>
  <c r="L128" i="4"/>
  <c r="M128" i="4" s="1"/>
  <c r="K133" i="4"/>
  <c r="L143" i="4"/>
  <c r="M143" i="4" s="1"/>
  <c r="N143" i="4" s="1"/>
  <c r="H95" i="4"/>
  <c r="L146" i="4"/>
  <c r="M146" i="4" s="1"/>
  <c r="L153" i="4"/>
  <c r="M153" i="4" s="1"/>
  <c r="H51" i="4"/>
  <c r="H56" i="4"/>
  <c r="H61" i="4"/>
  <c r="L147" i="4"/>
  <c r="M147" i="4" s="1"/>
  <c r="L154" i="4"/>
  <c r="M154" i="4" s="1"/>
  <c r="L144" i="4"/>
  <c r="M144" i="4" s="1"/>
  <c r="N144" i="4" s="1"/>
  <c r="L83" i="4"/>
  <c r="M83" i="4" s="1"/>
  <c r="K92" i="4"/>
  <c r="L37" i="4"/>
  <c r="M37" i="4" s="1"/>
  <c r="K40" i="4"/>
  <c r="L137" i="4"/>
  <c r="M137" i="4" s="1"/>
  <c r="L141" i="4"/>
  <c r="M141" i="4" s="1"/>
  <c r="L136" i="4"/>
  <c r="M136" i="4" s="1"/>
  <c r="L158" i="4"/>
  <c r="H111" i="4" l="1"/>
  <c r="H106" i="4"/>
  <c r="H62" i="4"/>
  <c r="H64" i="4" s="1"/>
  <c r="H145" i="4"/>
  <c r="H52" i="4"/>
  <c r="L133" i="4"/>
  <c r="M133" i="4" s="1"/>
  <c r="K142" i="4"/>
  <c r="L40" i="4"/>
  <c r="M40" i="4" s="1"/>
  <c r="K56" i="4"/>
  <c r="K51" i="4"/>
  <c r="K61" i="4"/>
  <c r="K95" i="4"/>
  <c r="L92" i="4"/>
  <c r="M92" i="4" s="1"/>
  <c r="H57" i="4"/>
  <c r="K62" i="4" l="1"/>
  <c r="L62" i="4" s="1"/>
  <c r="L61" i="4"/>
  <c r="M61" i="4" s="1"/>
  <c r="K145" i="4"/>
  <c r="L142" i="4"/>
  <c r="M142" i="4" s="1"/>
  <c r="H54" i="4"/>
  <c r="M62" i="4"/>
  <c r="H156" i="4"/>
  <c r="H161" i="4"/>
  <c r="H107" i="4"/>
  <c r="H109" i="4" s="1"/>
  <c r="L95" i="4"/>
  <c r="M95" i="4" s="1"/>
  <c r="K106" i="4"/>
  <c r="K111" i="4"/>
  <c r="L51" i="4"/>
  <c r="M51" i="4" s="1"/>
  <c r="K52" i="4"/>
  <c r="L52" i="4" s="1"/>
  <c r="M52" i="4" s="1"/>
  <c r="H59" i="4"/>
  <c r="K57" i="4"/>
  <c r="L57" i="4" s="1"/>
  <c r="M57" i="4" s="1"/>
  <c r="L56" i="4"/>
  <c r="M56" i="4" s="1"/>
  <c r="H112" i="4"/>
  <c r="H114" i="4" s="1"/>
  <c r="K64" i="4" l="1"/>
  <c r="L64" i="4" s="1"/>
  <c r="M64" i="4" s="1"/>
  <c r="H162" i="4"/>
  <c r="H164" i="4" s="1"/>
  <c r="L145" i="4"/>
  <c r="M145" i="4" s="1"/>
  <c r="K156" i="4"/>
  <c r="K161" i="4"/>
  <c r="H157" i="4"/>
  <c r="K59" i="4"/>
  <c r="L59" i="4" s="1"/>
  <c r="M59" i="4" s="1"/>
  <c r="K112" i="4"/>
  <c r="L112" i="4" s="1"/>
  <c r="M112" i="4" s="1"/>
  <c r="L111" i="4"/>
  <c r="M111" i="4" s="1"/>
  <c r="K54" i="4"/>
  <c r="L54" i="4" s="1"/>
  <c r="M54" i="4" s="1"/>
  <c r="K107" i="4"/>
  <c r="L107" i="4" s="1"/>
  <c r="M107" i="4" s="1"/>
  <c r="L106" i="4"/>
  <c r="M106" i="4" s="1"/>
  <c r="K109" i="4" l="1"/>
  <c r="L109" i="4" s="1"/>
  <c r="M109" i="4" s="1"/>
  <c r="K114" i="4"/>
  <c r="L114" i="4" s="1"/>
  <c r="M114" i="4" s="1"/>
  <c r="K162" i="4"/>
  <c r="L162" i="4" s="1"/>
  <c r="M162" i="4" s="1"/>
  <c r="L161" i="4"/>
  <c r="M161" i="4" s="1"/>
  <c r="H159" i="4"/>
  <c r="K157" i="4"/>
  <c r="L157" i="4" s="1"/>
  <c r="M157" i="4" s="1"/>
  <c r="L156" i="4"/>
  <c r="M156" i="4" s="1"/>
  <c r="K164" i="4" l="1"/>
  <c r="L164" i="4" s="1"/>
  <c r="M164" i="4" s="1"/>
  <c r="K159" i="4"/>
  <c r="L159" i="4" s="1"/>
  <c r="M159" i="4" s="1"/>
  <c r="I132" i="2" l="1"/>
  <c r="C164" i="2"/>
  <c r="I154" i="2"/>
  <c r="I153" i="2"/>
  <c r="C145" i="2"/>
  <c r="C142" i="2"/>
  <c r="K140" i="2"/>
  <c r="H140" i="2"/>
  <c r="C133" i="2"/>
  <c r="K131" i="2"/>
  <c r="H131" i="2"/>
  <c r="M130" i="2"/>
  <c r="L130" i="2"/>
  <c r="K127" i="2"/>
  <c r="H127" i="2"/>
  <c r="K117" i="2"/>
  <c r="I82" i="2"/>
  <c r="L131" i="2" l="1"/>
  <c r="M131" i="2" s="1"/>
  <c r="L127" i="2"/>
  <c r="M127" i="2" s="1"/>
  <c r="L140" i="2"/>
  <c r="M140" i="2" s="1"/>
  <c r="C114" i="2" l="1"/>
  <c r="I104" i="2"/>
  <c r="I103" i="2"/>
  <c r="C95" i="2"/>
  <c r="C92" i="2"/>
  <c r="K90" i="2"/>
  <c r="H90" i="2"/>
  <c r="C83" i="2"/>
  <c r="K81" i="2"/>
  <c r="H81" i="2"/>
  <c r="L80" i="2"/>
  <c r="M80" i="2" s="1"/>
  <c r="K77" i="2"/>
  <c r="H77" i="2"/>
  <c r="C59" i="2"/>
  <c r="I49" i="2"/>
  <c r="I48" i="2"/>
  <c r="C40" i="2"/>
  <c r="C37" i="2"/>
  <c r="K35" i="2"/>
  <c r="H35" i="2"/>
  <c r="C28" i="2"/>
  <c r="K26" i="2"/>
  <c r="H26" i="2"/>
  <c r="L25" i="2"/>
  <c r="M25" i="2" s="1"/>
  <c r="K22" i="2"/>
  <c r="H22" i="2"/>
  <c r="E71" i="2"/>
  <c r="E121" i="2" s="1"/>
  <c r="E68" i="2"/>
  <c r="E118" i="2" s="1"/>
  <c r="E70" i="2"/>
  <c r="E120" i="2" s="1"/>
  <c r="E69" i="2"/>
  <c r="E119" i="2" s="1"/>
  <c r="E72" i="2"/>
  <c r="E122" i="2" s="1"/>
  <c r="F13" i="1"/>
  <c r="F14" i="1"/>
  <c r="K25" i="1"/>
  <c r="J25" i="1"/>
  <c r="I18" i="1"/>
  <c r="J18" i="1" s="1"/>
  <c r="K18" i="1" s="1"/>
  <c r="I25" i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7" i="1"/>
  <c r="J17" i="1" s="1"/>
  <c r="K17" i="1" s="1"/>
  <c r="L81" i="2" l="1"/>
  <c r="M81" i="2" s="1"/>
  <c r="L26" i="2"/>
  <c r="M26" i="2" s="1"/>
  <c r="L35" i="2"/>
  <c r="M35" i="2" s="1"/>
  <c r="H63" i="2"/>
  <c r="E67" i="2"/>
  <c r="K108" i="2" s="1"/>
  <c r="G144" i="2"/>
  <c r="H144" i="2" s="1"/>
  <c r="J135" i="2"/>
  <c r="K135" i="2" s="1"/>
  <c r="G130" i="2"/>
  <c r="J130" i="2"/>
  <c r="G128" i="2"/>
  <c r="H128" i="2" s="1"/>
  <c r="G138" i="2"/>
  <c r="H138" i="2" s="1"/>
  <c r="J141" i="2"/>
  <c r="K141" i="2" s="1"/>
  <c r="J128" i="2"/>
  <c r="K128" i="2" s="1"/>
  <c r="J138" i="2"/>
  <c r="K138" i="2" s="1"/>
  <c r="J132" i="2"/>
  <c r="K132" i="2" s="1"/>
  <c r="G141" i="2"/>
  <c r="H141" i="2" s="1"/>
  <c r="J129" i="2"/>
  <c r="G143" i="2"/>
  <c r="H143" i="2" s="1"/>
  <c r="J136" i="2"/>
  <c r="K136" i="2" s="1"/>
  <c r="G136" i="2"/>
  <c r="H136" i="2" s="1"/>
  <c r="J143" i="2"/>
  <c r="K143" i="2" s="1"/>
  <c r="G135" i="2"/>
  <c r="H135" i="2" s="1"/>
  <c r="G132" i="2"/>
  <c r="H132" i="2" s="1"/>
  <c r="G129" i="2"/>
  <c r="J144" i="2"/>
  <c r="K144" i="2" s="1"/>
  <c r="J154" i="2"/>
  <c r="K154" i="2" s="1"/>
  <c r="G152" i="2"/>
  <c r="H152" i="2" s="1"/>
  <c r="G150" i="2"/>
  <c r="H150" i="2" s="1"/>
  <c r="J152" i="2"/>
  <c r="K152" i="2" s="1"/>
  <c r="J147" i="2"/>
  <c r="K147" i="2" s="1"/>
  <c r="G137" i="2"/>
  <c r="H137" i="2" s="1"/>
  <c r="G153" i="2"/>
  <c r="H153" i="2" s="1"/>
  <c r="J146" i="2"/>
  <c r="K146" i="2" s="1"/>
  <c r="J151" i="2"/>
  <c r="K151" i="2" s="1"/>
  <c r="J153" i="2"/>
  <c r="K153" i="2" s="1"/>
  <c r="J137" i="2"/>
  <c r="K137" i="2" s="1"/>
  <c r="G154" i="2"/>
  <c r="H154" i="2" s="1"/>
  <c r="J150" i="2"/>
  <c r="K150" i="2" s="1"/>
  <c r="G146" i="2"/>
  <c r="H146" i="2" s="1"/>
  <c r="F134" i="2"/>
  <c r="G134" i="2" s="1"/>
  <c r="H134" i="2" s="1"/>
  <c r="G147" i="2"/>
  <c r="H147" i="2" s="1"/>
  <c r="I134" i="2"/>
  <c r="J134" i="2" s="1"/>
  <c r="K134" i="2" s="1"/>
  <c r="G151" i="2"/>
  <c r="H151" i="2" s="1"/>
  <c r="L90" i="2"/>
  <c r="M90" i="2" s="1"/>
  <c r="G87" i="2"/>
  <c r="H87" i="2" s="1"/>
  <c r="J104" i="2"/>
  <c r="K104" i="2" s="1"/>
  <c r="I84" i="2"/>
  <c r="J84" i="2" s="1"/>
  <c r="K84" i="2" s="1"/>
  <c r="G104" i="2"/>
  <c r="H104" i="2" s="1"/>
  <c r="G78" i="2"/>
  <c r="H78" i="2" s="1"/>
  <c r="G94" i="2"/>
  <c r="H94" i="2" s="1"/>
  <c r="G82" i="2"/>
  <c r="H82" i="2" s="1"/>
  <c r="H83" i="2" s="1"/>
  <c r="G80" i="2"/>
  <c r="J91" i="2"/>
  <c r="K91" i="2" s="1"/>
  <c r="J85" i="2"/>
  <c r="K85" i="2" s="1"/>
  <c r="J79" i="2"/>
  <c r="J78" i="2"/>
  <c r="K78" i="2" s="1"/>
  <c r="L77" i="2"/>
  <c r="M77" i="2" s="1"/>
  <c r="F84" i="2"/>
  <c r="G84" i="2" s="1"/>
  <c r="H84" i="2" s="1"/>
  <c r="G86" i="2"/>
  <c r="H86" i="2" s="1"/>
  <c r="J88" i="2"/>
  <c r="K88" i="2" s="1"/>
  <c r="J93" i="2"/>
  <c r="K93" i="2" s="1"/>
  <c r="J94" i="2"/>
  <c r="K94" i="2" s="1"/>
  <c r="J96" i="2"/>
  <c r="K96" i="2" s="1"/>
  <c r="J100" i="2"/>
  <c r="K100" i="2" s="1"/>
  <c r="G102" i="2"/>
  <c r="H102" i="2" s="1"/>
  <c r="J82" i="2"/>
  <c r="K82" i="2" s="1"/>
  <c r="G85" i="2"/>
  <c r="H85" i="2" s="1"/>
  <c r="J87" i="2"/>
  <c r="K87" i="2" s="1"/>
  <c r="H89" i="2"/>
  <c r="G91" i="2"/>
  <c r="H91" i="2" s="1"/>
  <c r="G96" i="2"/>
  <c r="H96" i="2" s="1"/>
  <c r="J97" i="2"/>
  <c r="K97" i="2" s="1"/>
  <c r="G100" i="2"/>
  <c r="H100" i="2" s="1"/>
  <c r="J101" i="2"/>
  <c r="K101" i="2" s="1"/>
  <c r="G103" i="2"/>
  <c r="H103" i="2" s="1"/>
  <c r="G79" i="2"/>
  <c r="J80" i="2"/>
  <c r="J86" i="2"/>
  <c r="K86" i="2" s="1"/>
  <c r="G88" i="2"/>
  <c r="H88" i="2" s="1"/>
  <c r="G93" i="2"/>
  <c r="H93" i="2" s="1"/>
  <c r="G97" i="2"/>
  <c r="H97" i="2" s="1"/>
  <c r="G101" i="2"/>
  <c r="H101" i="2" s="1"/>
  <c r="J102" i="2"/>
  <c r="K102" i="2" s="1"/>
  <c r="J103" i="2"/>
  <c r="K103" i="2" s="1"/>
  <c r="H58" i="2"/>
  <c r="J46" i="2"/>
  <c r="K46" i="2" s="1"/>
  <c r="G45" i="2"/>
  <c r="H45" i="2" s="1"/>
  <c r="J42" i="2"/>
  <c r="K42" i="2" s="1"/>
  <c r="G41" i="2"/>
  <c r="H41" i="2" s="1"/>
  <c r="J32" i="2"/>
  <c r="K32" i="2" s="1"/>
  <c r="J45" i="2"/>
  <c r="K45" i="2" s="1"/>
  <c r="L45" i="2" s="1"/>
  <c r="M45" i="2" s="1"/>
  <c r="J41" i="2"/>
  <c r="K41" i="2" s="1"/>
  <c r="F29" i="2"/>
  <c r="G29" i="2" s="1"/>
  <c r="H29" i="2" s="1"/>
  <c r="G49" i="2"/>
  <c r="H49" i="2" s="1"/>
  <c r="G48" i="2"/>
  <c r="H48" i="2" s="1"/>
  <c r="G47" i="2"/>
  <c r="H47" i="2" s="1"/>
  <c r="G32" i="2"/>
  <c r="H32" i="2" s="1"/>
  <c r="I29" i="2"/>
  <c r="J29" i="2" s="1"/>
  <c r="K29" i="2" s="1"/>
  <c r="J49" i="2"/>
  <c r="K49" i="2" s="1"/>
  <c r="G42" i="2"/>
  <c r="H42" i="2" s="1"/>
  <c r="J47" i="2"/>
  <c r="K47" i="2" s="1"/>
  <c r="J48" i="2"/>
  <c r="K48" i="2" s="1"/>
  <c r="G46" i="2"/>
  <c r="H46" i="2" s="1"/>
  <c r="G36" i="2"/>
  <c r="H36" i="2" s="1"/>
  <c r="G30" i="2"/>
  <c r="H30" i="2" s="1"/>
  <c r="J27" i="2"/>
  <c r="K27" i="2" s="1"/>
  <c r="G25" i="2"/>
  <c r="J23" i="2"/>
  <c r="K23" i="2" s="1"/>
  <c r="J39" i="2"/>
  <c r="K39" i="2" s="1"/>
  <c r="J38" i="2"/>
  <c r="K38" i="2" s="1"/>
  <c r="J33" i="2"/>
  <c r="K33" i="2" s="1"/>
  <c r="G31" i="2"/>
  <c r="H31" i="2" s="1"/>
  <c r="J36" i="2"/>
  <c r="K36" i="2" s="1"/>
  <c r="J30" i="2"/>
  <c r="K30" i="2" s="1"/>
  <c r="G27" i="2"/>
  <c r="H27" i="2" s="1"/>
  <c r="J24" i="2"/>
  <c r="G23" i="2"/>
  <c r="H23" i="2" s="1"/>
  <c r="G24" i="2"/>
  <c r="G39" i="2"/>
  <c r="H39" i="2" s="1"/>
  <c r="J31" i="2"/>
  <c r="K31" i="2" s="1"/>
  <c r="L31" i="2" s="1"/>
  <c r="M31" i="2" s="1"/>
  <c r="G33" i="2"/>
  <c r="H33" i="2" s="1"/>
  <c r="J25" i="2"/>
  <c r="G38" i="2"/>
  <c r="H38" i="2" s="1"/>
  <c r="L22" i="2"/>
  <c r="M22" i="2" s="1"/>
  <c r="H34" i="2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K63" i="2"/>
  <c r="K58" i="2"/>
  <c r="K53" i="2"/>
  <c r="K34" i="2"/>
  <c r="H53" i="2"/>
  <c r="L144" i="2" l="1"/>
  <c r="M144" i="2" s="1"/>
  <c r="N144" i="2" s="1"/>
  <c r="L86" i="2"/>
  <c r="M86" i="2" s="1"/>
  <c r="H28" i="2"/>
  <c r="H37" i="2" s="1"/>
  <c r="L154" i="2"/>
  <c r="M154" i="2" s="1"/>
  <c r="H108" i="2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L136" i="2"/>
  <c r="M136" i="2" s="1"/>
  <c r="L85" i="2"/>
  <c r="M85" i="2" s="1"/>
  <c r="L34" i="2"/>
  <c r="M34" i="2" s="1"/>
  <c r="L91" i="2"/>
  <c r="M91" i="2" s="1"/>
  <c r="L78" i="2"/>
  <c r="M78" i="2" s="1"/>
  <c r="L138" i="2"/>
  <c r="M138" i="2" s="1"/>
  <c r="H133" i="2"/>
  <c r="L146" i="2"/>
  <c r="M146" i="2" s="1"/>
  <c r="L152" i="2"/>
  <c r="M152" i="2" s="1"/>
  <c r="L132" i="2"/>
  <c r="M132" i="2" s="1"/>
  <c r="L135" i="2"/>
  <c r="M135" i="2" s="1"/>
  <c r="L137" i="2"/>
  <c r="M137" i="2" s="1"/>
  <c r="L153" i="2"/>
  <c r="M153" i="2" s="1"/>
  <c r="L143" i="2"/>
  <c r="M143" i="2" s="1"/>
  <c r="N143" i="2" s="1"/>
  <c r="L128" i="2"/>
  <c r="M128" i="2" s="1"/>
  <c r="K133" i="2"/>
  <c r="K89" i="2"/>
  <c r="L89" i="2" s="1"/>
  <c r="M89" i="2" s="1"/>
  <c r="E117" i="2"/>
  <c r="K113" i="2"/>
  <c r="H113" i="2"/>
  <c r="L87" i="2"/>
  <c r="M87" i="2" s="1"/>
  <c r="L104" i="2"/>
  <c r="M104" i="2" s="1"/>
  <c r="L134" i="2"/>
  <c r="M134" i="2" s="1"/>
  <c r="L150" i="2"/>
  <c r="M150" i="2" s="1"/>
  <c r="L151" i="2"/>
  <c r="M151" i="2" s="1"/>
  <c r="L147" i="2"/>
  <c r="M147" i="2" s="1"/>
  <c r="L141" i="2"/>
  <c r="M141" i="2" s="1"/>
  <c r="L82" i="2"/>
  <c r="M82" i="2" s="1"/>
  <c r="L53" i="2"/>
  <c r="L108" i="2"/>
  <c r="L94" i="2"/>
  <c r="M94" i="2" s="1"/>
  <c r="N94" i="2" s="1"/>
  <c r="L29" i="2"/>
  <c r="M29" i="2" s="1"/>
  <c r="L84" i="2"/>
  <c r="M84" i="2" s="1"/>
  <c r="L102" i="2"/>
  <c r="M102" i="2" s="1"/>
  <c r="H92" i="2"/>
  <c r="H95" i="2" s="1"/>
  <c r="L101" i="2"/>
  <c r="M101" i="2" s="1"/>
  <c r="L96" i="2"/>
  <c r="M96" i="2" s="1"/>
  <c r="L103" i="2"/>
  <c r="M103" i="2" s="1"/>
  <c r="L97" i="2"/>
  <c r="M97" i="2" s="1"/>
  <c r="L93" i="2"/>
  <c r="M93" i="2" s="1"/>
  <c r="N93" i="2" s="1"/>
  <c r="L100" i="2"/>
  <c r="M100" i="2" s="1"/>
  <c r="L88" i="2"/>
  <c r="M88" i="2" s="1"/>
  <c r="K83" i="2"/>
  <c r="L32" i="2"/>
  <c r="M32" i="2" s="1"/>
  <c r="L46" i="2"/>
  <c r="M46" i="2" s="1"/>
  <c r="L36" i="2"/>
  <c r="M36" i="2" s="1"/>
  <c r="L39" i="2"/>
  <c r="M39" i="2" s="1"/>
  <c r="N39" i="2" s="1"/>
  <c r="L48" i="2"/>
  <c r="M48" i="2" s="1"/>
  <c r="K28" i="2"/>
  <c r="L23" i="2"/>
  <c r="M23" i="2" s="1"/>
  <c r="L47" i="2"/>
  <c r="M47" i="2" s="1"/>
  <c r="L33" i="2"/>
  <c r="M33" i="2" s="1"/>
  <c r="L41" i="2"/>
  <c r="M41" i="2" s="1"/>
  <c r="L42" i="2"/>
  <c r="M42" i="2" s="1"/>
  <c r="L30" i="2"/>
  <c r="M30" i="2" s="1"/>
  <c r="L38" i="2"/>
  <c r="M38" i="2" s="1"/>
  <c r="N38" i="2" s="1"/>
  <c r="L27" i="2"/>
  <c r="M27" i="2" s="1"/>
  <c r="L49" i="2"/>
  <c r="M49" i="2" s="1"/>
  <c r="L133" i="2" l="1"/>
  <c r="M133" i="2" s="1"/>
  <c r="H163" i="2"/>
  <c r="K163" i="2"/>
  <c r="H139" i="2"/>
  <c r="H142" i="2" s="1"/>
  <c r="H145" i="2" s="1"/>
  <c r="A127" i="2"/>
  <c r="K158" i="2"/>
  <c r="K139" i="2"/>
  <c r="K142" i="2" s="1"/>
  <c r="H158" i="2"/>
  <c r="H106" i="2"/>
  <c r="H107" i="2" s="1"/>
  <c r="H111" i="2"/>
  <c r="H112" i="2" s="1"/>
  <c r="K92" i="2"/>
  <c r="L83" i="2"/>
  <c r="M83" i="2" s="1"/>
  <c r="H40" i="2"/>
  <c r="L28" i="2"/>
  <c r="M28" i="2" s="1"/>
  <c r="K37" i="2"/>
  <c r="L158" i="2" l="1"/>
  <c r="H156" i="2"/>
  <c r="H157" i="2" s="1"/>
  <c r="H161" i="2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L139" i="2"/>
  <c r="M139" i="2" s="1"/>
  <c r="L142" i="2"/>
  <c r="M142" i="2" s="1"/>
  <c r="K145" i="2"/>
  <c r="K95" i="2"/>
  <c r="L92" i="2"/>
  <c r="M92" i="2" s="1"/>
  <c r="H114" i="2"/>
  <c r="H109" i="2"/>
  <c r="K40" i="2"/>
  <c r="L37" i="2"/>
  <c r="M37" i="2" s="1"/>
  <c r="H56" i="2"/>
  <c r="H61" i="2"/>
  <c r="H51" i="2"/>
  <c r="H159" i="2" l="1"/>
  <c r="L145" i="2"/>
  <c r="M145" i="2" s="1"/>
  <c r="K156" i="2"/>
  <c r="K161" i="2"/>
  <c r="H162" i="2"/>
  <c r="H164" i="2" s="1"/>
  <c r="L95" i="2"/>
  <c r="M95" i="2" s="1"/>
  <c r="K106" i="2"/>
  <c r="K111" i="2"/>
  <c r="H52" i="2"/>
  <c r="H54" i="2" s="1"/>
  <c r="H62" i="2"/>
  <c r="H64" i="2" s="1"/>
  <c r="H57" i="2"/>
  <c r="L40" i="2"/>
  <c r="M40" i="2" s="1"/>
  <c r="K56" i="2"/>
  <c r="K51" i="2"/>
  <c r="K61" i="2"/>
  <c r="L156" i="2" l="1"/>
  <c r="M156" i="2" s="1"/>
  <c r="K157" i="2"/>
  <c r="L157" i="2" s="1"/>
  <c r="M157" i="2" s="1"/>
  <c r="K162" i="2"/>
  <c r="L162" i="2" s="1"/>
  <c r="M162" i="2" s="1"/>
  <c r="L161" i="2"/>
  <c r="M161" i="2" s="1"/>
  <c r="K112" i="2"/>
  <c r="L112" i="2" s="1"/>
  <c r="M112" i="2" s="1"/>
  <c r="L111" i="2"/>
  <c r="M111" i="2" s="1"/>
  <c r="K107" i="2"/>
  <c r="L107" i="2" s="1"/>
  <c r="M107" i="2" s="1"/>
  <c r="L106" i="2"/>
  <c r="M106" i="2" s="1"/>
  <c r="K57" i="2"/>
  <c r="L57" i="2" s="1"/>
  <c r="M57" i="2" s="1"/>
  <c r="L56" i="2"/>
  <c r="M56" i="2" s="1"/>
  <c r="H59" i="2"/>
  <c r="K52" i="2"/>
  <c r="L52" i="2" s="1"/>
  <c r="M52" i="2" s="1"/>
  <c r="L51" i="2"/>
  <c r="M51" i="2" s="1"/>
  <c r="K62" i="2"/>
  <c r="L62" i="2" s="1"/>
  <c r="M62" i="2" s="1"/>
  <c r="L61" i="2"/>
  <c r="M61" i="2" s="1"/>
  <c r="K164" i="2" l="1"/>
  <c r="L164" i="2" s="1"/>
  <c r="K114" i="2"/>
  <c r="L114" i="2" s="1"/>
  <c r="M114" i="2" s="1"/>
  <c r="K159" i="2"/>
  <c r="L159" i="2" s="1"/>
  <c r="M159" i="2" s="1"/>
  <c r="K109" i="2"/>
  <c r="L109" i="2" s="1"/>
  <c r="M109" i="2" s="1"/>
  <c r="K64" i="2"/>
  <c r="L64" i="2" s="1"/>
  <c r="M64" i="2" s="1"/>
  <c r="K54" i="2"/>
  <c r="L54" i="2" s="1"/>
  <c r="M54" i="2" s="1"/>
  <c r="K59" i="2"/>
  <c r="L59" i="2" s="1"/>
  <c r="M59" i="2" s="1"/>
  <c r="M164" i="2" l="1"/>
</calcChain>
</file>

<file path=xl/sharedStrings.xml><?xml version="1.0" encoding="utf-8"?>
<sst xmlns="http://schemas.openxmlformats.org/spreadsheetml/2006/main" count="531" uniqueCount="90">
  <si>
    <t xml:space="preserve"> </t>
  </si>
  <si>
    <r>
      <rPr>
        <b/>
        <sz val="11"/>
        <color theme="1"/>
        <rFont val="Arial"/>
        <family val="2"/>
      </rPr>
      <t>Input required at cells C13 and C14.</t>
    </r>
    <r>
      <rPr>
        <sz val="11"/>
        <color theme="1"/>
        <rFont val="Arial"/>
        <family val="2"/>
      </rPr>
      <t xml:space="preserve">  This workshseet calculates rate riders related to the Deferral/Variance Account Disposition (if applicable) and rate riders for Account 1568.  Rate Riders will not be generated for the microFIT class.</t>
    </r>
  </si>
  <si>
    <t>Default Rate Rider Recovery Period (in months)</t>
  </si>
  <si>
    <t>DVA Proposed Rate Rider Recovery Period (in months)</t>
  </si>
  <si>
    <t>Total Metered kWh</t>
  </si>
  <si>
    <t>Metered kW 
or kVA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</si>
  <si>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 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</si>
  <si>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</t>
    </r>
  </si>
  <si>
    <r>
      <t xml:space="preserve">Allocation of Group 1 Account Balances to All Classes </t>
    </r>
    <r>
      <rPr>
        <b/>
        <vertAlign val="superscript"/>
        <sz val="10"/>
        <rFont val="Arial"/>
        <family val="2"/>
      </rPr>
      <t>2</t>
    </r>
  </si>
  <si>
    <r>
      <t xml:space="preserve">Allocation of Group 1 Account Balances to Non-WMP Classes Only (If Applicable) </t>
    </r>
    <r>
      <rPr>
        <b/>
        <vertAlign val="superscript"/>
        <sz val="10"/>
        <rFont val="Arial"/>
        <family val="2"/>
      </rPr>
      <t>2</t>
    </r>
  </si>
  <si>
    <t>Account 1568 Rate Rider</t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</si>
  <si>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</si>
  <si>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</si>
  <si>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</si>
  <si>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</si>
  <si>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</si>
  <si>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999 KW SERVICE CLASSIFICATION</t>
  </si>
  <si>
    <t>kW</t>
  </si>
  <si>
    <t>GENERAL SERVICE 1,000 TO 4,999 KW SERVICE CLASSIFICATION</t>
  </si>
  <si>
    <t>LARGE USE SERVICE CLASSIFICATION</t>
  </si>
  <si>
    <t>UNMETERED SCATTERED LOAD SERVICE CLASSIFICATION</t>
  </si>
  <si>
    <t>STANDBY POWER SERVICE CLASSIFICATION</t>
  </si>
  <si>
    <t>SENTINEL LIGHTING SERVICE CLASSIFICATION</t>
  </si>
  <si>
    <t>STREET LIGHTING SERVICE CLASSIFICATION</t>
  </si>
  <si>
    <r>
      <t>1</t>
    </r>
    <r>
      <rPr>
        <sz val="11"/>
        <color theme="1"/>
        <rFont val="Calibri"/>
        <family val="2"/>
        <scheme val="minor"/>
      </rPr>
      <t xml:space="preserve"> When calculating the revenue reconciliation for distributors with Class A customers, the balances of sub-account 1580-CBR Class B will not be taken into consideration if there are Class A customers since the rate riders, if any, are calculated separately.</t>
    </r>
  </si>
  <si>
    <r>
      <t>2</t>
    </r>
    <r>
      <rPr>
        <sz val="11"/>
        <color theme="1"/>
        <rFont val="Calibri"/>
        <family val="2"/>
        <scheme val="minor"/>
      </rPr>
      <t xml:space="preserve"> Only for rate classes with WMP customers are the Deferral/Variance Account Rate Riders for Non-WMP (column H and J) calculated separately. For all rate classes without WMP customers, balances in account 1580 and 1588 are included in column G and disposed through a combined Deferral/Variance Account and Rate Rider.</t>
    </r>
  </si>
  <si>
    <r>
      <t xml:space="preserve">LRAM Proposed Rate Rider Recovery Period (in months) </t>
    </r>
    <r>
      <rPr>
        <b/>
        <sz val="10"/>
        <color rgb="FFFF0000"/>
        <rFont val="Arial"/>
        <family val="2"/>
      </rPr>
      <t>Street Lighting only</t>
    </r>
  </si>
  <si>
    <t>YES</t>
  </si>
  <si>
    <t>RPP</t>
  </si>
  <si>
    <t>Non-RPP (Other)</t>
  </si>
  <si>
    <t>Non-RPP (Retailer)</t>
  </si>
  <si>
    <t>X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</si>
  <si>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</si>
  <si>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</si>
  <si>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</si>
  <si>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</si>
  <si>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</si>
  <si>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</si>
  <si>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</si>
  <si>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</si>
  <si>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</si>
  <si>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</si>
  <si>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</si>
  <si>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</si>
  <si>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</si>
  <si>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</si>
  <si>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</si>
  <si>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</si>
  <si>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</si>
  <si>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</si>
  <si>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</si>
  <si>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</si>
  <si>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</si>
  <si>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ST_A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</si>
  <si>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</si>
  <si>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</si>
  <si>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</si>
  <si>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</si>
  <si>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</si>
  <si>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</si>
  <si>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</si>
  <si>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</si>
  <si>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</si>
  <si>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ST_B</t>
  </si>
  <si>
    <t>Sub-Total B - Distribution (includes Sub-Total A)</t>
  </si>
  <si>
    <t>RTSR - Network</t>
  </si>
  <si>
    <t>RTSR - Connection and/or Line and Transformation Connection</t>
  </si>
  <si>
    <t>ST_C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</si>
  <si>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</si>
  <si>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</si>
  <si>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</si>
  <si>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</si>
  <si>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</si>
  <si>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</si>
  <si>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</si>
  <si>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</si>
  <si>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</si>
  <si>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</si>
  <si>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</si>
  <si>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</si>
  <si>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</si>
  <si>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RPP_TOTAL</t>
  </si>
  <si>
    <t>Total Bill on TOU</t>
  </si>
  <si>
    <t>Total Bill on Non-RPP Avg. Price</t>
  </si>
  <si>
    <t>Non-RPP (Retailer)_TOTAL</t>
  </si>
  <si>
    <t>Total Bill on Average IESO Wholesale Market Price</t>
  </si>
  <si>
    <t>Non-RPP (Other)_TOTAL</t>
  </si>
  <si>
    <t>12 Months</t>
  </si>
  <si>
    <t>24 Months</t>
  </si>
  <si>
    <t>36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</si>
</sst>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_ #,##0;[Red]\(#,##0\)"/>
    <numFmt numFmtId="165" formatCode="_ #,##0.0000;[Red]\(#,##0.0000\)"/>
    <numFmt numFmtId="166" formatCode="_(* #,##0.00_);_(* \(#,##0.00\);_(* &quot;-&quot;??_);_(@_)"/>
    <numFmt numFmtId="167" formatCode="_-* #,##0_-;\-* #,##0_-;_-* &quot;-&quot;??_-;_-@_-"/>
    <numFmt numFmtId="168" formatCode="_(&quot;$&quot;* #,##0.00_);_(&quot;$&quot;* \(#,##0.00\);_(&quot;$&quot;* &quot;-&quot;??_);_(@_)"/>
    <numFmt numFmtId="169" formatCode="0.0%"/>
    <numFmt numFmtId="170" formatCode="0.0000"/>
    <numFmt numFmtId="171" formatCode="_-&quot;$&quot;* #,##0.0000_-;\-&quot;$&quot;* #,##0.00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6"/>
      <color theme="0"/>
      <name val="Algerian"/>
      <family val="5"/>
    </font>
    <font>
      <sz val="16"/>
      <color indexed="12"/>
      <name val="Algerian"/>
      <family val="5"/>
    </font>
    <font>
      <sz val="8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9">
    <xf numFmtId="0" fontId="0" fillId="0" borderId="0" xfId="0"/>
    <xf numFmtId="0" fontId="4" fillId="2" borderId="2" xfId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1" fontId="4" fillId="3" borderId="2" xfId="1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0" borderId="0" xfId="0" applyFont="1"/>
    <xf numFmtId="0" fontId="10" fillId="5" borderId="0" xfId="2" applyFont="1" applyFill="1" applyAlignment="1">
      <alignment vertical="top" wrapText="1"/>
    </xf>
    <xf numFmtId="0" fontId="11" fillId="5" borderId="0" xfId="2" applyFont="1" applyFill="1" applyAlignment="1">
      <alignment vertical="top" wrapText="1"/>
    </xf>
    <xf numFmtId="0" fontId="4" fillId="0" borderId="0" xfId="2" applyFont="1"/>
    <xf numFmtId="0" fontId="12" fillId="0" borderId="0" xfId="2" applyFont="1" applyAlignment="1">
      <alignment horizontal="right" vertical="top"/>
    </xf>
    <xf numFmtId="0" fontId="3" fillId="5" borderId="0" xfId="2" applyFill="1"/>
    <xf numFmtId="0" fontId="3" fillId="0" borderId="0" xfId="2"/>
    <xf numFmtId="0" fontId="13" fillId="5" borderId="0" xfId="2" applyFont="1" applyFill="1"/>
    <xf numFmtId="0" fontId="14" fillId="5" borderId="0" xfId="2" applyFont="1" applyFill="1"/>
    <xf numFmtId="0" fontId="3" fillId="5" borderId="0" xfId="2" applyFill="1" applyAlignment="1">
      <alignment horizontal="left" indent="1"/>
    </xf>
    <xf numFmtId="0" fontId="15" fillId="5" borderId="0" xfId="2" applyFont="1" applyFill="1"/>
    <xf numFmtId="0" fontId="16" fillId="5" borderId="0" xfId="2" applyFont="1" applyFill="1"/>
    <xf numFmtId="0" fontId="15" fillId="0" borderId="0" xfId="2" applyFont="1"/>
    <xf numFmtId="0" fontId="17" fillId="0" borderId="0" xfId="2" applyFont="1"/>
    <xf numFmtId="0" fontId="3" fillId="0" borderId="0" xfId="2" applyProtection="1">
      <protection locked="0"/>
    </xf>
    <xf numFmtId="0" fontId="15" fillId="0" borderId="0" xfId="2" applyFont="1" applyProtection="1"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8" fillId="2" borderId="0" xfId="2" applyFont="1" applyFill="1" applyAlignment="1" applyProtection="1">
      <alignment vertical="top"/>
      <protection locked="0"/>
    </xf>
    <xf numFmtId="167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Protection="1">
      <protection locked="0"/>
    </xf>
    <xf numFmtId="0" fontId="16" fillId="2" borderId="0" xfId="2" applyFont="1" applyFill="1" applyAlignment="1" applyProtection="1">
      <alignment vertical="center"/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center"/>
      <protection locked="0"/>
    </xf>
    <xf numFmtId="0" fontId="16" fillId="0" borderId="0" xfId="2" applyFont="1" applyAlignment="1" applyProtection="1">
      <alignment horizontal="center"/>
      <protection locked="0"/>
    </xf>
    <xf numFmtId="170" fontId="4" fillId="2" borderId="2" xfId="5" applyNumberFormat="1" applyFont="1" applyFill="1" applyBorder="1" applyProtection="1">
      <protection locked="0"/>
    </xf>
    <xf numFmtId="0" fontId="4" fillId="0" borderId="13" xfId="2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4" fillId="0" borderId="7" xfId="2" applyFont="1" applyBorder="1" applyAlignment="1" applyProtection="1">
      <alignment horizontal="center"/>
      <protection locked="0"/>
    </xf>
    <xf numFmtId="0" fontId="4" fillId="0" borderId="12" xfId="2" quotePrefix="1" applyFont="1" applyBorder="1" applyAlignment="1" applyProtection="1">
      <alignment horizontal="center"/>
      <protection locked="0"/>
    </xf>
    <xf numFmtId="0" fontId="4" fillId="0" borderId="11" xfId="2" quotePrefix="1" applyFont="1" applyBorder="1" applyAlignment="1" applyProtection="1">
      <alignment horizontal="center"/>
      <protection locked="0"/>
    </xf>
    <xf numFmtId="0" fontId="15" fillId="2" borderId="0" xfId="2" applyFont="1" applyFill="1" applyProtection="1">
      <protection locked="0"/>
    </xf>
    <xf numFmtId="0" fontId="3" fillId="0" borderId="0" xfId="2" applyAlignment="1">
      <alignment vertical="top"/>
    </xf>
    <xf numFmtId="0" fontId="3" fillId="2" borderId="0" xfId="2" applyFill="1" applyAlignment="1" applyProtection="1">
      <alignment vertical="top"/>
      <protection locked="0"/>
    </xf>
    <xf numFmtId="168" fontId="4" fillId="2" borderId="14" xfId="4" applyFont="1" applyFill="1" applyBorder="1" applyAlignment="1" applyProtection="1">
      <alignment horizontal="left" vertical="center"/>
      <protection locked="0"/>
    </xf>
    <xf numFmtId="0" fontId="3" fillId="0" borderId="14" xfId="2" applyBorder="1" applyAlignment="1" applyProtection="1">
      <alignment vertical="center"/>
      <protection locked="0"/>
    </xf>
    <xf numFmtId="168" fontId="19" fillId="0" borderId="1" xfId="4" applyFont="1" applyBorder="1" applyAlignment="1" applyProtection="1">
      <alignment vertical="center"/>
      <protection locked="0"/>
    </xf>
    <xf numFmtId="168" fontId="20" fillId="2" borderId="14" xfId="4" applyFont="1" applyFill="1" applyBorder="1" applyAlignment="1" applyProtection="1">
      <alignment horizontal="left" vertical="center"/>
      <protection locked="0"/>
    </xf>
    <xf numFmtId="0" fontId="20" fillId="0" borderId="1" xfId="2" applyFont="1" applyBorder="1" applyAlignment="1" applyProtection="1">
      <alignment vertical="center"/>
      <protection locked="0"/>
    </xf>
    <xf numFmtId="168" fontId="20" fillId="0" borderId="1" xfId="4" applyFont="1" applyBorder="1" applyAlignment="1" applyProtection="1">
      <alignment vertical="center"/>
      <protection locked="0"/>
    </xf>
    <xf numFmtId="168" fontId="3" fillId="0" borderId="14" xfId="2" applyNumberFormat="1" applyBorder="1" applyAlignment="1" applyProtection="1">
      <alignment vertical="center"/>
      <protection locked="0"/>
    </xf>
    <xf numFmtId="10" fontId="19" fillId="0" borderId="1" xfId="5" applyNumberFormat="1" applyFont="1" applyBorder="1" applyAlignment="1" applyProtection="1">
      <alignment vertical="center"/>
      <protection locked="0"/>
    </xf>
    <xf numFmtId="171" fontId="4" fillId="2" borderId="14" xfId="4" applyNumberFormat="1" applyFont="1" applyFill="1" applyBorder="1" applyAlignment="1" applyProtection="1">
      <alignment horizontal="left" vertical="center"/>
      <protection locked="0"/>
    </xf>
    <xf numFmtId="171" fontId="20" fillId="2" borderId="14" xfId="4" applyNumberFormat="1" applyFont="1" applyFill="1" applyBorder="1" applyAlignment="1" applyProtection="1">
      <alignment horizontal="left" vertical="center"/>
      <protection locked="0"/>
    </xf>
    <xf numFmtId="0" fontId="20" fillId="0" borderId="14" xfId="2" applyFont="1" applyBorder="1" applyAlignment="1" applyProtection="1">
      <alignment vertical="center"/>
      <protection locked="0"/>
    </xf>
    <xf numFmtId="0" fontId="4" fillId="7" borderId="4" xfId="2" applyFont="1" applyFill="1" applyBorder="1" applyAlignment="1" applyProtection="1">
      <alignment vertical="top"/>
      <protection locked="0"/>
    </xf>
    <xf numFmtId="0" fontId="3" fillId="7" borderId="5" xfId="2" applyFill="1" applyBorder="1" applyAlignment="1" applyProtection="1">
      <alignment vertical="top"/>
      <protection locked="0"/>
    </xf>
    <xf numFmtId="171" fontId="4" fillId="7" borderId="2" xfId="4" applyNumberFormat="1" applyFont="1" applyFill="1" applyBorder="1" applyAlignment="1" applyProtection="1">
      <alignment horizontal="left" vertical="center"/>
      <protection locked="0"/>
    </xf>
    <xf numFmtId="0" fontId="4" fillId="7" borderId="2" xfId="2" applyFont="1" applyFill="1" applyBorder="1" applyAlignment="1" applyProtection="1">
      <alignment vertical="center"/>
      <protection locked="0"/>
    </xf>
    <xf numFmtId="168" fontId="21" fillId="7" borderId="6" xfId="4" applyFont="1" applyFill="1" applyBorder="1" applyAlignment="1" applyProtection="1">
      <alignment vertical="center"/>
      <protection locked="0"/>
    </xf>
    <xf numFmtId="171" fontId="22" fillId="7" borderId="2" xfId="4" applyNumberFormat="1" applyFont="1" applyFill="1" applyBorder="1" applyAlignment="1" applyProtection="1">
      <alignment horizontal="left" vertical="center"/>
      <protection locked="0"/>
    </xf>
    <xf numFmtId="0" fontId="4" fillId="7" borderId="6" xfId="2" applyFont="1" applyFill="1" applyBorder="1" applyAlignment="1" applyProtection="1">
      <alignment vertical="center"/>
      <protection locked="0"/>
    </xf>
    <xf numFmtId="168" fontId="4" fillId="7" borderId="2" xfId="2" applyNumberFormat="1" applyFont="1" applyFill="1" applyBorder="1" applyAlignment="1" applyProtection="1">
      <alignment vertical="center"/>
      <protection locked="0"/>
    </xf>
    <xf numFmtId="10" fontId="4" fillId="7" borderId="6" xfId="5" applyNumberFormat="1" applyFont="1" applyFill="1" applyBorder="1" applyAlignment="1" applyProtection="1">
      <alignment vertical="center"/>
      <protection locked="0"/>
    </xf>
    <xf numFmtId="0" fontId="3" fillId="0" borderId="0" xfId="2" applyAlignment="1">
      <alignment vertical="top" wrapText="1"/>
    </xf>
    <xf numFmtId="167" fontId="3" fillId="6" borderId="14" xfId="3" applyNumberFormat="1" applyFont="1" applyFill="1" applyBorder="1" applyAlignment="1" applyProtection="1">
      <alignment vertical="center"/>
      <protection locked="0"/>
    </xf>
    <xf numFmtId="167" fontId="20" fillId="6" borderId="14" xfId="3" applyNumberFormat="1" applyFont="1" applyFill="1" applyBorder="1" applyAlignment="1" applyProtection="1">
      <alignment vertical="center"/>
      <protection locked="0"/>
    </xf>
    <xf numFmtId="167" fontId="3" fillId="0" borderId="14" xfId="3" applyNumberFormat="1" applyFont="1" applyFill="1" applyBorder="1" applyAlignment="1" applyProtection="1">
      <alignment vertical="center"/>
      <protection locked="0"/>
    </xf>
    <xf numFmtId="167" fontId="20" fillId="0" borderId="14" xfId="3" applyNumberFormat="1" applyFont="1" applyFill="1" applyBorder="1" applyAlignment="1" applyProtection="1">
      <alignment vertical="center"/>
      <protection locked="0"/>
    </xf>
    <xf numFmtId="44" fontId="4" fillId="2" borderId="14" xfId="4" applyNumberFormat="1" applyFont="1" applyFill="1" applyBorder="1" applyAlignment="1" applyProtection="1">
      <alignment horizontal="left" vertical="center"/>
      <protection locked="0"/>
    </xf>
    <xf numFmtId="44" fontId="20" fillId="2" borderId="14" xfId="4" applyNumberFormat="1" applyFont="1" applyFill="1" applyBorder="1" applyAlignment="1" applyProtection="1">
      <alignment horizontal="left" vertical="center"/>
      <protection locked="0"/>
    </xf>
    <xf numFmtId="0" fontId="4" fillId="7" borderId="4" xfId="2" applyFont="1" applyFill="1" applyBorder="1" applyAlignment="1" applyProtection="1">
      <alignment vertical="top" wrapText="1"/>
      <protection locked="0"/>
    </xf>
    <xf numFmtId="0" fontId="3" fillId="7" borderId="5" xfId="2" applyFill="1" applyBorder="1" applyProtection="1">
      <protection locked="0"/>
    </xf>
    <xf numFmtId="0" fontId="4" fillId="7" borderId="2" xfId="2" applyFont="1" applyFill="1" applyBorder="1" applyAlignment="1" applyProtection="1">
      <alignment horizontal="left" vertical="center"/>
      <protection locked="0"/>
    </xf>
    <xf numFmtId="0" fontId="3" fillId="7" borderId="2" xfId="2" applyFill="1" applyBorder="1" applyAlignment="1" applyProtection="1">
      <alignment vertical="center"/>
      <protection locked="0"/>
    </xf>
    <xf numFmtId="168" fontId="4" fillId="7" borderId="6" xfId="2" applyNumberFormat="1" applyFont="1" applyFill="1" applyBorder="1" applyAlignment="1" applyProtection="1">
      <alignment vertical="center"/>
      <protection locked="0"/>
    </xf>
    <xf numFmtId="0" fontId="22" fillId="7" borderId="2" xfId="2" applyFont="1" applyFill="1" applyBorder="1" applyAlignment="1" applyProtection="1">
      <alignment horizontal="left" vertical="center"/>
      <protection locked="0"/>
    </xf>
    <xf numFmtId="0" fontId="3" fillId="7" borderId="6" xfId="2" applyFill="1" applyBorder="1" applyAlignment="1" applyProtection="1">
      <alignment vertical="center"/>
      <protection locked="0"/>
    </xf>
    <xf numFmtId="0" fontId="3" fillId="0" borderId="0" xfId="2" applyAlignment="1">
      <alignment vertical="center"/>
    </xf>
    <xf numFmtId="171" fontId="22" fillId="2" borderId="14" xfId="4" applyNumberFormat="1" applyFont="1" applyFill="1" applyBorder="1" applyAlignment="1" applyProtection="1">
      <alignment horizontal="left" vertical="center"/>
      <protection locked="0"/>
    </xf>
    <xf numFmtId="0" fontId="23" fillId="0" borderId="0" xfId="2" applyFont="1" applyProtection="1">
      <protection locked="0"/>
    </xf>
    <xf numFmtId="0" fontId="3" fillId="0" borderId="10" xfId="2" applyBorder="1" applyAlignment="1">
      <alignment vertical="center" wrapText="1"/>
    </xf>
    <xf numFmtId="0" fontId="3" fillId="0" borderId="0" xfId="2" applyAlignment="1" applyProtection="1">
      <alignment vertical="top" wrapText="1"/>
      <protection locked="0"/>
    </xf>
    <xf numFmtId="168" fontId="3" fillId="0" borderId="1" xfId="4" applyFont="1" applyBorder="1" applyAlignment="1" applyProtection="1">
      <alignment vertical="center"/>
      <protection locked="0"/>
    </xf>
    <xf numFmtId="0" fontId="3" fillId="0" borderId="0" xfId="2" applyAlignment="1" applyProtection="1">
      <alignment vertical="top"/>
      <protection locked="0"/>
    </xf>
    <xf numFmtId="171" fontId="4" fillId="0" borderId="14" xfId="4" applyNumberFormat="1" applyFont="1" applyFill="1" applyBorder="1" applyAlignment="1" applyProtection="1">
      <alignment horizontal="left" vertical="center"/>
      <protection locked="0"/>
    </xf>
    <xf numFmtId="167" fontId="3" fillId="2" borderId="14" xfId="3" applyNumberFormat="1" applyFont="1" applyFill="1" applyBorder="1" applyAlignment="1" applyProtection="1">
      <alignment vertical="center"/>
      <protection locked="0"/>
    </xf>
    <xf numFmtId="171" fontId="20" fillId="0" borderId="14" xfId="4" applyNumberFormat="1" applyFont="1" applyFill="1" applyBorder="1" applyAlignment="1" applyProtection="1">
      <alignment horizontal="left" vertical="center"/>
      <protection locked="0"/>
    </xf>
    <xf numFmtId="167" fontId="20" fillId="2" borderId="14" xfId="3" applyNumberFormat="1" applyFont="1" applyFill="1" applyBorder="1" applyAlignment="1" applyProtection="1">
      <alignment vertical="center"/>
      <protection locked="0"/>
    </xf>
    <xf numFmtId="171" fontId="4" fillId="3" borderId="14" xfId="4" applyNumberFormat="1" applyFont="1" applyFill="1" applyBorder="1" applyAlignment="1" applyProtection="1">
      <alignment horizontal="left" vertical="center"/>
      <protection locked="0"/>
    </xf>
    <xf numFmtId="171" fontId="20" fillId="3" borderId="14" xfId="4" applyNumberFormat="1" applyFont="1" applyFill="1" applyBorder="1" applyAlignment="1" applyProtection="1">
      <alignment horizontal="left" vertical="center"/>
      <protection locked="0"/>
    </xf>
    <xf numFmtId="0" fontId="3" fillId="8" borderId="15" xfId="2" applyFill="1" applyBorder="1" applyProtection="1">
      <protection locked="0"/>
    </xf>
    <xf numFmtId="0" fontId="3" fillId="8" borderId="16" xfId="2" applyFill="1" applyBorder="1" applyAlignment="1" applyProtection="1">
      <alignment vertical="top"/>
      <protection locked="0"/>
    </xf>
    <xf numFmtId="171" fontId="3" fillId="8" borderId="17" xfId="4" applyNumberFormat="1" applyFont="1" applyFill="1" applyBorder="1" applyAlignment="1" applyProtection="1">
      <alignment vertical="top"/>
      <protection locked="0"/>
    </xf>
    <xf numFmtId="0" fontId="3" fillId="8" borderId="18" xfId="2" applyFill="1" applyBorder="1" applyAlignment="1" applyProtection="1">
      <alignment vertical="center"/>
      <protection locked="0"/>
    </xf>
    <xf numFmtId="168" fontId="3" fillId="8" borderId="16" xfId="4" applyFont="1" applyFill="1" applyBorder="1" applyAlignment="1" applyProtection="1">
      <alignment vertical="center"/>
      <protection locked="0"/>
    </xf>
    <xf numFmtId="0" fontId="3" fillId="8" borderId="17" xfId="2" applyFill="1" applyBorder="1" applyAlignment="1" applyProtection="1">
      <alignment vertical="center"/>
      <protection locked="0"/>
    </xf>
    <xf numFmtId="168" fontId="3" fillId="8" borderId="17" xfId="2" applyNumberFormat="1" applyFill="1" applyBorder="1" applyAlignment="1" applyProtection="1">
      <alignment vertical="center"/>
      <protection locked="0"/>
    </xf>
    <xf numFmtId="10" fontId="3" fillId="8" borderId="19" xfId="5" applyNumberFormat="1" applyFont="1" applyFill="1" applyBorder="1" applyAlignment="1" applyProtection="1">
      <alignment vertical="center"/>
      <protection locked="0"/>
    </xf>
    <xf numFmtId="0" fontId="4" fillId="0" borderId="0" xfId="2" applyFont="1" applyAlignment="1" applyProtection="1">
      <alignment vertical="top"/>
      <protection locked="0"/>
    </xf>
    <xf numFmtId="9" fontId="3" fillId="0" borderId="14" xfId="2" applyNumberFormat="1" applyBorder="1" applyAlignment="1" applyProtection="1">
      <alignment vertical="top"/>
      <protection locked="0"/>
    </xf>
    <xf numFmtId="9" fontId="3" fillId="0" borderId="0" xfId="2" applyNumberFormat="1" applyAlignment="1" applyProtection="1">
      <alignment vertical="center"/>
      <protection locked="0"/>
    </xf>
    <xf numFmtId="168" fontId="4" fillId="0" borderId="8" xfId="2" applyNumberFormat="1" applyFont="1" applyBorder="1" applyAlignment="1" applyProtection="1">
      <alignment vertical="center"/>
      <protection locked="0"/>
    </xf>
    <xf numFmtId="9" fontId="4" fillId="0" borderId="14" xfId="2" applyNumberFormat="1" applyFont="1" applyBorder="1" applyAlignment="1" applyProtection="1">
      <alignment vertical="center"/>
      <protection locked="0"/>
    </xf>
    <xf numFmtId="168" fontId="4" fillId="0" borderId="14" xfId="2" applyNumberFormat="1" applyFont="1" applyBorder="1" applyAlignment="1" applyProtection="1">
      <alignment vertical="center"/>
      <protection locked="0"/>
    </xf>
    <xf numFmtId="10" fontId="4" fillId="0" borderId="1" xfId="5" applyNumberFormat="1" applyFont="1" applyFill="1" applyBorder="1" applyAlignment="1" applyProtection="1">
      <alignment vertical="center"/>
      <protection locked="0"/>
    </xf>
    <xf numFmtId="0" fontId="3" fillId="0" borderId="0" xfId="2" applyAlignment="1" applyProtection="1">
      <alignment horizontal="left" vertical="top" indent="1"/>
      <protection locked="0"/>
    </xf>
    <xf numFmtId="0" fontId="3" fillId="0" borderId="0" xfId="2" applyAlignment="1" applyProtection="1">
      <alignment vertical="center"/>
      <protection locked="0"/>
    </xf>
    <xf numFmtId="168" fontId="3" fillId="0" borderId="8" xfId="2" applyNumberFormat="1" applyBorder="1" applyAlignment="1" applyProtection="1">
      <alignment vertical="center"/>
      <protection locked="0"/>
    </xf>
    <xf numFmtId="9" fontId="3" fillId="0" borderId="14" xfId="2" applyNumberFormat="1" applyBorder="1" applyAlignment="1" applyProtection="1">
      <alignment vertical="center"/>
      <protection locked="0"/>
    </xf>
    <xf numFmtId="10" fontId="3" fillId="0" borderId="1" xfId="5" applyNumberFormat="1" applyFont="1" applyFill="1" applyBorder="1" applyAlignment="1" applyProtection="1">
      <alignment vertical="center"/>
      <protection locked="0"/>
    </xf>
    <xf numFmtId="169" fontId="3" fillId="0" borderId="14" xfId="2" applyNumberFormat="1" applyBorder="1" applyAlignment="1" applyProtection="1">
      <alignment vertical="top"/>
      <protection locked="0"/>
    </xf>
    <xf numFmtId="0" fontId="3" fillId="9" borderId="12" xfId="2" applyFill="1" applyBorder="1" applyAlignment="1" applyProtection="1">
      <alignment vertical="top"/>
      <protection locked="0"/>
    </xf>
    <xf numFmtId="0" fontId="3" fillId="9" borderId="10" xfId="2" applyFill="1" applyBorder="1" applyAlignment="1" applyProtection="1">
      <alignment vertical="center"/>
      <protection locked="0"/>
    </xf>
    <xf numFmtId="168" fontId="4" fillId="9" borderId="8" xfId="2" applyNumberFormat="1" applyFont="1" applyFill="1" applyBorder="1" applyAlignment="1" applyProtection="1">
      <alignment vertical="center"/>
      <protection locked="0"/>
    </xf>
    <xf numFmtId="0" fontId="4" fillId="9" borderId="12" xfId="2" applyFont="1" applyFill="1" applyBorder="1" applyAlignment="1" applyProtection="1">
      <alignment vertical="center"/>
      <protection locked="0"/>
    </xf>
    <xf numFmtId="168" fontId="4" fillId="9" borderId="9" xfId="2" applyNumberFormat="1" applyFont="1" applyFill="1" applyBorder="1" applyAlignment="1" applyProtection="1">
      <alignment vertical="center"/>
      <protection locked="0"/>
    </xf>
    <xf numFmtId="168" fontId="4" fillId="9" borderId="12" xfId="2" applyNumberFormat="1" applyFont="1" applyFill="1" applyBorder="1" applyAlignment="1" applyProtection="1">
      <alignment vertical="center"/>
      <protection locked="0"/>
    </xf>
    <xf numFmtId="10" fontId="4" fillId="9" borderId="11" xfId="5" applyNumberFormat="1" applyFont="1" applyFill="1" applyBorder="1" applyAlignment="1" applyProtection="1">
      <alignment vertical="center"/>
      <protection locked="0"/>
    </xf>
    <xf numFmtId="0" fontId="3" fillId="9" borderId="14" xfId="2" applyFill="1" applyBorder="1" applyAlignment="1" applyProtection="1">
      <alignment vertical="top"/>
      <protection locked="0"/>
    </xf>
    <xf numFmtId="0" fontId="3" fillId="9" borderId="0" xfId="2" applyFill="1" applyAlignment="1" applyProtection="1">
      <alignment vertical="center"/>
      <protection locked="0"/>
    </xf>
    <xf numFmtId="0" fontId="4" fillId="9" borderId="14" xfId="2" applyFont="1" applyFill="1" applyBorder="1" applyAlignment="1" applyProtection="1">
      <alignment vertical="center"/>
      <protection locked="0"/>
    </xf>
    <xf numFmtId="168" fontId="4" fillId="9" borderId="14" xfId="2" applyNumberFormat="1" applyFont="1" applyFill="1" applyBorder="1" applyAlignment="1" applyProtection="1">
      <alignment vertical="center"/>
      <protection locked="0"/>
    </xf>
    <xf numFmtId="10" fontId="4" fillId="9" borderId="1" xfId="5" applyNumberFormat="1" applyFont="1" applyFill="1" applyBorder="1" applyAlignment="1" applyProtection="1">
      <alignment vertical="center"/>
      <protection locked="0"/>
    </xf>
    <xf numFmtId="171" fontId="3" fillId="8" borderId="18" xfId="4" applyNumberFormat="1" applyFont="1" applyFill="1" applyBorder="1" applyAlignment="1" applyProtection="1">
      <alignment vertical="top"/>
      <protection locked="0"/>
    </xf>
    <xf numFmtId="0" fontId="3" fillId="8" borderId="16" xfId="2" applyFill="1" applyBorder="1" applyAlignment="1" applyProtection="1">
      <alignment vertical="center"/>
      <protection locked="0"/>
    </xf>
    <xf numFmtId="168" fontId="3" fillId="8" borderId="20" xfId="4" applyFont="1" applyFill="1" applyBorder="1" applyAlignment="1" applyProtection="1">
      <alignment vertical="center"/>
      <protection locked="0"/>
    </xf>
    <xf numFmtId="168" fontId="3" fillId="8" borderId="18" xfId="2" applyNumberFormat="1" applyFill="1" applyBorder="1" applyAlignment="1" applyProtection="1">
      <alignment vertical="center"/>
      <protection locked="0"/>
    </xf>
    <xf numFmtId="171" fontId="3" fillId="8" borderId="18" xfId="4" applyNumberFormat="1" applyFill="1" applyBorder="1" applyAlignment="1" applyProtection="1">
      <alignment vertical="top"/>
      <protection locked="0"/>
    </xf>
    <xf numFmtId="168" fontId="3" fillId="8" borderId="20" xfId="4" applyFill="1" applyBorder="1" applyAlignment="1" applyProtection="1">
      <alignment vertical="center"/>
      <protection locked="0"/>
    </xf>
    <xf numFmtId="10" fontId="3" fillId="8" borderId="19" xfId="5" applyNumberFormat="1" applyFill="1" applyBorder="1" applyAlignment="1" applyProtection="1">
      <alignment vertical="center"/>
      <protection locked="0"/>
    </xf>
    <xf numFmtId="44" fontId="4" fillId="10" borderId="14" xfId="4" applyNumberFormat="1" applyFont="1" applyFill="1" applyBorder="1" applyAlignment="1" applyProtection="1">
      <alignment horizontal="left" vertical="center"/>
      <protection locked="0"/>
    </xf>
    <xf numFmtId="0" fontId="3" fillId="10" borderId="14" xfId="2" applyFill="1" applyBorder="1" applyAlignment="1" applyProtection="1">
      <alignment vertical="center"/>
      <protection locked="0"/>
    </xf>
    <xf numFmtId="168" fontId="3" fillId="10" borderId="1" xfId="4" applyFont="1" applyFill="1" applyBorder="1" applyAlignment="1" applyProtection="1">
      <alignment vertical="center"/>
      <protection locked="0"/>
    </xf>
    <xf numFmtId="44" fontId="20" fillId="10" borderId="14" xfId="4" applyNumberFormat="1" applyFont="1" applyFill="1" applyBorder="1" applyAlignment="1" applyProtection="1">
      <alignment horizontal="left" vertical="center"/>
      <protection locked="0"/>
    </xf>
    <xf numFmtId="0" fontId="20" fillId="10" borderId="1" xfId="2" applyFont="1" applyFill="1" applyBorder="1" applyAlignment="1" applyProtection="1">
      <alignment vertical="center"/>
      <protection locked="0"/>
    </xf>
    <xf numFmtId="168" fontId="20" fillId="10" borderId="1" xfId="4" applyFont="1" applyFill="1" applyBorder="1" applyAlignment="1" applyProtection="1">
      <alignment vertical="center"/>
      <protection locked="0"/>
    </xf>
    <xf numFmtId="168" fontId="3" fillId="10" borderId="14" xfId="2" applyNumberFormat="1" applyFill="1" applyBorder="1" applyAlignment="1" applyProtection="1">
      <alignment vertical="center"/>
      <protection locked="0"/>
    </xf>
    <xf numFmtId="10" fontId="19" fillId="10" borderId="1" xfId="5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top"/>
    </xf>
    <xf numFmtId="0" fontId="4" fillId="4" borderId="0" xfId="1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4" fillId="0" borderId="0" xfId="1" applyFont="1" applyAlignment="1">
      <alignment horizontal="right" vertical="top" indent="2"/>
    </xf>
    <xf numFmtId="0" fontId="4" fillId="0" borderId="1" xfId="1" applyFont="1" applyBorder="1" applyAlignment="1">
      <alignment horizontal="right" vertical="top" indent="2"/>
    </xf>
    <xf numFmtId="0" fontId="4" fillId="0" borderId="0" xfId="1" applyFont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0" xfId="1" applyFont="1" applyAlignment="1">
      <alignment horizontal="center" wrapText="1"/>
    </xf>
    <xf numFmtId="0" fontId="4" fillId="9" borderId="0" xfId="2" applyFont="1" applyFill="1" applyAlignment="1" applyProtection="1">
      <alignment horizontal="left" vertical="top" wrapText="1"/>
      <protection locked="0"/>
    </xf>
    <xf numFmtId="0" fontId="4" fillId="0" borderId="4" xfId="2" applyFont="1" applyBorder="1" applyAlignment="1" applyProtection="1">
      <alignment horizontal="center"/>
      <protection locked="0"/>
    </xf>
    <xf numFmtId="0" fontId="4" fillId="0" borderId="5" xfId="2" applyFont="1" applyBorder="1" applyAlignment="1" applyProtection="1">
      <alignment horizontal="center"/>
      <protection locked="0"/>
    </xf>
    <xf numFmtId="0" fontId="4" fillId="0" borderId="6" xfId="2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wrapText="1"/>
      <protection locked="0"/>
    </xf>
    <xf numFmtId="0" fontId="3" fillId="2" borderId="0" xfId="2" applyFill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wrapText="1"/>
      <protection locked="0"/>
    </xf>
    <xf numFmtId="0" fontId="3" fillId="0" borderId="12" xfId="2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 wrapText="1"/>
      <protection locked="0"/>
    </xf>
    <xf numFmtId="0" fontId="3" fillId="0" borderId="11" xfId="2" applyBorder="1" applyAlignment="1" applyProtection="1">
      <alignment wrapText="1"/>
      <protection locked="0"/>
    </xf>
    <xf numFmtId="0" fontId="17" fillId="0" borderId="0" xfId="2" applyFont="1" applyAlignment="1">
      <alignment horizontal="center"/>
    </xf>
    <xf numFmtId="0" fontId="7" fillId="2" borderId="2" xfId="2" applyFont="1" applyFill="1" applyBorder="1" applyAlignment="1" applyProtection="1">
      <alignment horizontal="left" vertical="top"/>
      <protection locked="0"/>
    </xf>
    <xf numFmtId="0" fontId="4" fillId="2" borderId="12" xfId="2" applyFont="1" applyFill="1" applyBorder="1" applyAlignment="1" applyProtection="1">
      <alignment horizontal="left" vertical="top"/>
      <protection locked="0"/>
    </xf>
    <xf numFmtId="0" fontId="14" fillId="5" borderId="0" xfId="2" applyFont="1" applyFill="1" applyAlignment="1">
      <alignment horizontal="left" indent="7"/>
    </xf>
    <xf numFmtId="3" fontId="20" fillId="0" borderId="1" xfId="2" applyNumberFormat="1" applyFont="1" applyBorder="1" applyAlignment="1" applyProtection="1">
      <alignment vertical="center"/>
      <protection locked="0"/>
    </xf>
    <xf numFmtId="3" fontId="3" fillId="0" borderId="14" xfId="2" applyNumberFormat="1" applyBorder="1" applyAlignment="1" applyProtection="1">
      <alignment vertical="center"/>
      <protection locked="0"/>
    </xf>
    <xf numFmtId="3" fontId="20" fillId="0" borderId="14" xfId="2" applyNumberFormat="1" applyFont="1" applyBorder="1" applyAlignment="1" applyProtection="1">
      <alignment vertical="center"/>
      <protection locked="0"/>
    </xf>
  </cellXfs>
  <cellStyles count="6">
    <cellStyle name="Comma 4" xfId="3" xr:uid="{787F4DFD-6174-463B-BEA2-FFABB1367B57}"/>
    <cellStyle name="Currency 2" xfId="4" xr:uid="{806E6116-1887-4534-A75B-750F1D1C6B95}"/>
    <cellStyle name="Normal" xfId="0" builtinId="0"/>
    <cellStyle name="Normal 2" xfId="2" xr:uid="{4F035299-8AB0-472E-A040-5F5D3B3BFC3E}"/>
    <cellStyle name="Normal_Sheet7" xfId="1" xr:uid="{00EDED74-76B8-4D11-90AC-C35F88E18806}"/>
    <cellStyle name="Percent 2" xfId="5" xr:uid="{163DE9C4-F43D-4D8D-80F9-2AD20205A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10</xdr:row>
      <xdr:rowOff>10766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128878-0E42-43C7-AF13-9B7523FBD455}"/>
            </a:ext>
          </a:extLst>
        </xdr:cNvPr>
        <xdr:cNvGrpSpPr/>
      </xdr:nvGrpSpPr>
      <xdr:grpSpPr>
        <a:xfrm>
          <a:off x="0" y="0"/>
          <a:ext cx="10668000" cy="1915766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10B0EE0-F521-444C-A39C-6713BFCD83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>
            <a:extLst>
              <a:ext uri="{FF2B5EF4-FFF2-40B4-BE49-F238E27FC236}">
                <a16:creationId xmlns:a16="http://schemas.microsoft.com/office/drawing/2014/main" id="{5EBDAD2C-1222-48D9-BC62-DA5B0CF6AC3A}"/>
              </a:ext>
            </a:extLst>
          </xdr:cNvPr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2528C9C-1266-4F3C-8967-B7D024EECD38}"/>
              </a:ext>
            </a:extLst>
          </xdr:cNvPr>
          <xdr:cNvSpPr/>
        </xdr:nvSpPr>
        <xdr:spPr>
          <a:xfrm>
            <a:off x="324975" y="49919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Rate-setting Mechanism Rate Generator </a:t>
            </a:r>
            <a:b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</a:br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for 2023 Filers</a:t>
            </a:r>
          </a:p>
          <a:p>
            <a:pPr algn="ctr" rtl="0"/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E38B2A3-80AA-46BC-A747-4246056A6F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815B8565-686B-41B8-9079-E97823E37E56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57150</xdr:rowOff>
    </xdr:from>
    <xdr:to>
      <xdr:col>13</xdr:col>
      <xdr:colOff>1438275</xdr:colOff>
      <xdr:row>8</xdr:row>
      <xdr:rowOff>1884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85FFD5-9550-4732-B53B-13B2B8D5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13525500" cy="142110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1814300</xdr:colOff>
      <xdr:row>1</xdr:row>
      <xdr:rowOff>47154</xdr:rowOff>
    </xdr:from>
    <xdr:to>
      <xdr:col>12</xdr:col>
      <xdr:colOff>508335</xdr:colOff>
      <xdr:row>4</xdr:row>
      <xdr:rowOff>18168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D973928-1B12-458A-B594-EC910EE5A6AF}"/>
            </a:ext>
          </a:extLst>
        </xdr:cNvPr>
        <xdr:cNvSpPr/>
      </xdr:nvSpPr>
      <xdr:spPr>
        <a:xfrm>
          <a:off x="2042900" y="323379"/>
          <a:ext cx="9533485" cy="65681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Incentive Rate-setting Mechanism Rate Generator </a:t>
          </a:r>
          <a:b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</a:br>
          <a: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for 2023 Filers</a:t>
          </a:r>
        </a:p>
        <a:p>
          <a:pPr algn="ctr" rtl="0"/>
          <a:endParaRPr lang="en-CA" sz="28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3</xdr:col>
      <xdr:colOff>16357</xdr:colOff>
      <xdr:row>1</xdr:row>
      <xdr:rowOff>6409</xdr:rowOff>
    </xdr:from>
    <xdr:to>
      <xdr:col>3</xdr:col>
      <xdr:colOff>407593</xdr:colOff>
      <xdr:row>3</xdr:row>
      <xdr:rowOff>20475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195BB-B676-4016-A9F4-3AD6D614B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44957" y="282634"/>
          <a:ext cx="391236" cy="471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358613</xdr:colOff>
      <xdr:row>0</xdr:row>
      <xdr:rowOff>165301</xdr:rowOff>
    </xdr:from>
    <xdr:to>
      <xdr:col>4</xdr:col>
      <xdr:colOff>640216</xdr:colOff>
      <xdr:row>2</xdr:row>
      <xdr:rowOff>135597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9DD930A-B90B-4095-9D71-BB0A298569D1}"/>
            </a:ext>
          </a:extLst>
        </xdr:cNvPr>
        <xdr:cNvSpPr/>
      </xdr:nvSpPr>
      <xdr:spPr>
        <a:xfrm>
          <a:off x="587213" y="165301"/>
          <a:ext cx="2596178" cy="47512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57150</xdr:rowOff>
    </xdr:from>
    <xdr:to>
      <xdr:col>13</xdr:col>
      <xdr:colOff>1438275</xdr:colOff>
      <xdr:row>8</xdr:row>
      <xdr:rowOff>1884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08674-863E-4B2A-96DE-FF30DA25F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13525500" cy="142110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1814300</xdr:colOff>
      <xdr:row>1</xdr:row>
      <xdr:rowOff>47154</xdr:rowOff>
    </xdr:from>
    <xdr:to>
      <xdr:col>12</xdr:col>
      <xdr:colOff>508335</xdr:colOff>
      <xdr:row>4</xdr:row>
      <xdr:rowOff>18168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6AEB995-44F4-4078-B0EB-DE8D54EF52B8}"/>
            </a:ext>
          </a:extLst>
        </xdr:cNvPr>
        <xdr:cNvSpPr/>
      </xdr:nvSpPr>
      <xdr:spPr>
        <a:xfrm>
          <a:off x="2042900" y="323379"/>
          <a:ext cx="9533485" cy="65681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Incentive Rate-setting Mechanism Rate Generator </a:t>
          </a:r>
          <a:b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</a:br>
          <a:r>
            <a:rPr lang="en-CA" sz="28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for 2023 Filers</a:t>
          </a:r>
        </a:p>
        <a:p>
          <a:pPr algn="ctr" rtl="0"/>
          <a:endParaRPr lang="en-CA" sz="28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3</xdr:col>
      <xdr:colOff>16357</xdr:colOff>
      <xdr:row>1</xdr:row>
      <xdr:rowOff>6409</xdr:rowOff>
    </xdr:from>
    <xdr:to>
      <xdr:col>3</xdr:col>
      <xdr:colOff>407593</xdr:colOff>
      <xdr:row>3</xdr:row>
      <xdr:rowOff>20475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402F13-2C7C-4757-88D8-9CA37EF5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44957" y="282634"/>
          <a:ext cx="391236" cy="471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358613</xdr:colOff>
      <xdr:row>0</xdr:row>
      <xdr:rowOff>165301</xdr:rowOff>
    </xdr:from>
    <xdr:to>
      <xdr:col>4</xdr:col>
      <xdr:colOff>640216</xdr:colOff>
      <xdr:row>2</xdr:row>
      <xdr:rowOff>135597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8E4F3DC-0DF3-4EC8-9B6D-F3A39528380A}"/>
            </a:ext>
          </a:extLst>
        </xdr:cNvPr>
        <xdr:cNvSpPr/>
      </xdr:nvSpPr>
      <xdr:spPr>
        <a:xfrm>
          <a:off x="587213" y="165301"/>
          <a:ext cx="2596178" cy="47512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ata\Finance\Rates\_Alectra\Rate%20Applications\EDR%20Rate%20Applications\2023%20EDR%20Application\0.%20Application%20and%20Adjudication%20Process\C.%20Interrogatories_IRM\3.%20IR%20Responses%20and%20Support\Alectra_APPL_Attach%2011%20RGM%20Model%20GRZ_Staff%206%20a.xlsb?99BEC12F" TargetMode="External"/><Relationship Id="rId1" Type="http://schemas.openxmlformats.org/officeDocument/2006/relationships/externalLinkPath" Target="file:///\\99BEC12F\Alectra_APPL_Attach%2011%20RGM%20Model%20GRZ_Staff%206%20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4">
          <cell r="D14">
            <v>44562</v>
          </cell>
        </row>
        <row r="23">
          <cell r="D23">
            <v>8.2000000000000003E-2</v>
          </cell>
        </row>
        <row r="24">
          <cell r="D24">
            <v>0.113</v>
          </cell>
        </row>
        <row r="25">
          <cell r="D25">
            <v>0.17</v>
          </cell>
        </row>
        <row r="33">
          <cell r="D33">
            <v>0.43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0E28-1F17-4789-BCAB-4FBAAA4E57CD}">
  <dimension ref="A1:K31"/>
  <sheetViews>
    <sheetView workbookViewId="0">
      <selection activeCell="G21" sqref="G21"/>
    </sheetView>
  </sheetViews>
  <sheetFormatPr defaultColWidth="9.28515625" defaultRowHeight="15" x14ac:dyDescent="0.25"/>
  <cols>
    <col min="1" max="1" width="54.7109375" customWidth="1"/>
    <col min="2" max="2" width="5" bestFit="1" customWidth="1"/>
    <col min="3" max="3" width="13.7109375" bestFit="1" customWidth="1"/>
    <col min="4" max="4" width="11.85546875" bestFit="1" customWidth="1"/>
    <col min="5" max="5" width="14.42578125" customWidth="1"/>
    <col min="6" max="6" width="17.7109375" customWidth="1"/>
    <col min="7" max="7" width="20.42578125" bestFit="1" customWidth="1"/>
    <col min="8" max="8" width="22.140625" customWidth="1"/>
    <col min="9" max="10" width="12.85546875" bestFit="1" customWidth="1"/>
    <col min="11" max="11" width="10.140625" bestFit="1" customWidth="1"/>
  </cols>
  <sheetData>
    <row r="1" spans="1:11" x14ac:dyDescent="0.25">
      <c r="A1" t="s">
        <v>0</v>
      </c>
    </row>
    <row r="11" spans="1:11" ht="39.75" customHeight="1" x14ac:dyDescent="0.25">
      <c r="A11" s="146" t="s">
        <v>1</v>
      </c>
      <c r="B11" s="146"/>
      <c r="C11" s="146"/>
      <c r="D11" s="146"/>
      <c r="E11" s="146"/>
      <c r="F11" s="146"/>
      <c r="G11" s="146"/>
      <c r="H11" s="146"/>
    </row>
    <row r="12" spans="1:11" ht="15" customHeight="1" x14ac:dyDescent="0.25">
      <c r="A12" s="147" t="s">
        <v>2</v>
      </c>
      <c r="B12" s="148"/>
      <c r="C12" s="1">
        <v>12</v>
      </c>
      <c r="D12" s="1">
        <v>12</v>
      </c>
      <c r="E12" s="1">
        <v>12</v>
      </c>
      <c r="F12" s="2"/>
      <c r="H12" s="2"/>
      <c r="I12" s="2"/>
    </row>
    <row r="13" spans="1:11" x14ac:dyDescent="0.25">
      <c r="A13" s="147" t="s">
        <v>3</v>
      </c>
      <c r="B13" s="148"/>
      <c r="C13" s="3"/>
      <c r="D13" s="3"/>
      <c r="E13" s="3"/>
      <c r="F13" s="4" t="str">
        <f>IF(C13&gt;0, "Rate Rider Recovery to be used below", "If no rate rider recovery period is proposed then the default recovery period of 12 months will be used")</f>
        <v>If no rate rider recovery period is proposed then the default recovery period of 12 months will be used</v>
      </c>
    </row>
    <row r="14" spans="1:11" ht="15" customHeight="1" x14ac:dyDescent="0.25">
      <c r="A14" s="147" t="s">
        <v>26</v>
      </c>
      <c r="B14" s="148"/>
      <c r="C14" s="3">
        <v>12</v>
      </c>
      <c r="D14" s="3">
        <v>24</v>
      </c>
      <c r="E14" s="3">
        <v>36</v>
      </c>
      <c r="F14" s="142" t="str">
        <f>IF(C14&gt;0, "Rate Rider Recovery to be used below", "If no rate rider recovery period is proposed then the default recovery period of 12 months will be used")</f>
        <v>Rate Rider Recovery to be used below</v>
      </c>
      <c r="H14" s="5"/>
      <c r="I14" s="5" t="s">
        <v>87</v>
      </c>
      <c r="J14" t="s">
        <v>88</v>
      </c>
      <c r="K14" t="s">
        <v>89</v>
      </c>
    </row>
    <row r="15" spans="1:11" ht="42" customHeight="1" x14ac:dyDescent="0.25">
      <c r="B15" s="6"/>
      <c r="C15" s="149" t="s">
        <v>4</v>
      </c>
      <c r="D15" s="150" t="s">
        <v>5</v>
      </c>
      <c r="E15" s="150" t="s">
        <v>6</v>
      </c>
      <c r="F15" s="150" t="s">
        <v>7</v>
      </c>
      <c r="G15" s="151" t="s">
        <v>8</v>
      </c>
      <c r="H15" s="151" t="s">
        <v>9</v>
      </c>
      <c r="I15" s="143" t="s">
        <v>10</v>
      </c>
      <c r="J15" s="143" t="s">
        <v>10</v>
      </c>
      <c r="K15" s="143" t="s">
        <v>10</v>
      </c>
    </row>
    <row r="16" spans="1:11" x14ac:dyDescent="0.25">
      <c r="A16" s="7" t="s">
        <v>11</v>
      </c>
      <c r="B16" s="8" t="s">
        <v>12</v>
      </c>
      <c r="C16" s="149"/>
      <c r="D16" s="150"/>
      <c r="E16" s="150"/>
      <c r="F16" s="150"/>
      <c r="G16" s="151"/>
      <c r="H16" s="151"/>
      <c r="I16" s="143"/>
      <c r="J16" s="143"/>
      <c r="K16" s="143"/>
    </row>
    <row r="17" spans="1:11" x14ac:dyDescent="0.25">
      <c r="A17" s="9" t="s">
        <v>13</v>
      </c>
      <c r="B17" s="10" t="s">
        <v>14</v>
      </c>
      <c r="C17" s="11">
        <v>394416459</v>
      </c>
      <c r="D17" s="11">
        <v>0</v>
      </c>
      <c r="E17" s="11">
        <v>394416459</v>
      </c>
      <c r="F17" s="11">
        <v>0</v>
      </c>
      <c r="G17" s="12">
        <v>1369163.3913880608</v>
      </c>
      <c r="I17" s="13">
        <f>ROUND(IF(ISERROR(0/C17), 0, IF(OR(ISBLANK(C14), OR(C14=0, C14="")), (0/C17)/(C12/12), (0/C17)/(C14/12))),4)</f>
        <v>0</v>
      </c>
      <c r="J17" s="13">
        <f>+I17</f>
        <v>0</v>
      </c>
      <c r="K17" s="13">
        <f>+J17</f>
        <v>0</v>
      </c>
    </row>
    <row r="18" spans="1:11" ht="30" x14ac:dyDescent="0.25">
      <c r="A18" s="9" t="s">
        <v>15</v>
      </c>
      <c r="B18" s="10" t="s">
        <v>14</v>
      </c>
      <c r="C18" s="11">
        <v>131028017</v>
      </c>
      <c r="D18" s="11">
        <v>0</v>
      </c>
      <c r="E18" s="11">
        <v>131028017</v>
      </c>
      <c r="F18" s="11">
        <v>0</v>
      </c>
      <c r="G18" s="12">
        <v>464367.82298461848</v>
      </c>
      <c r="I18" s="13">
        <f>ROUND(IF(ISERROR(171141.2188556/C18), 0, IF(OR(ISBLANK(C14), OR(C14=0, C14="")), (171141.2188556/C18)/(C12/12), (171141.2188556/C18)/(C14/12))),4)</f>
        <v>1.2999999999999999E-3</v>
      </c>
      <c r="J18" s="13">
        <f t="shared" ref="J18:J24" si="0">+I18</f>
        <v>1.2999999999999999E-3</v>
      </c>
      <c r="K18" s="13">
        <f t="shared" ref="K18:K24" si="1">+J18</f>
        <v>1.2999999999999999E-3</v>
      </c>
    </row>
    <row r="19" spans="1:11" x14ac:dyDescent="0.25">
      <c r="A19" s="9" t="s">
        <v>16</v>
      </c>
      <c r="B19" s="10" t="s">
        <v>17</v>
      </c>
      <c r="C19" s="11">
        <v>367004051</v>
      </c>
      <c r="D19" s="11">
        <v>989097</v>
      </c>
      <c r="E19" s="11">
        <v>361203058</v>
      </c>
      <c r="F19" s="11">
        <v>976784</v>
      </c>
      <c r="G19" s="12">
        <v>811690.57036640099</v>
      </c>
      <c r="H19" s="12">
        <v>485491.61348877905</v>
      </c>
      <c r="I19" s="13">
        <f>ROUND(IF(ISERROR(307290.705351867/D19), 0, IF(OR(ISBLANK(C14), OR(C14=0, C14="")), (307290.705351867/D19)/(C12/12), (307290.705351867/D19)/(C14/12))),4)</f>
        <v>0.31069999999999998</v>
      </c>
      <c r="J19" s="13">
        <f t="shared" si="0"/>
        <v>0.31069999999999998</v>
      </c>
      <c r="K19" s="13">
        <f t="shared" si="1"/>
        <v>0.31069999999999998</v>
      </c>
    </row>
    <row r="20" spans="1:11" ht="30" x14ac:dyDescent="0.25">
      <c r="A20" s="9" t="s">
        <v>18</v>
      </c>
      <c r="B20" s="10" t="s">
        <v>17</v>
      </c>
      <c r="C20" s="11">
        <v>469907881</v>
      </c>
      <c r="D20" s="11">
        <v>1049644</v>
      </c>
      <c r="E20" s="11">
        <v>469907881</v>
      </c>
      <c r="F20" s="11">
        <v>1049644</v>
      </c>
      <c r="G20" s="12">
        <v>1674928.0812712349</v>
      </c>
      <c r="I20" s="13">
        <f>ROUND(IF(ISERROR(375985.065901043/D20), 0, IF(OR(ISBLANK(C14), OR(C14=0, C14="")), (375985.065901043/D20)/(C12/12), (375985.065901043/D20)/(C14/12))),4)</f>
        <v>0.35820000000000002</v>
      </c>
      <c r="J20" s="13">
        <f t="shared" si="0"/>
        <v>0.35820000000000002</v>
      </c>
      <c r="K20" s="13">
        <f t="shared" si="1"/>
        <v>0.35820000000000002</v>
      </c>
    </row>
    <row r="21" spans="1:11" x14ac:dyDescent="0.25">
      <c r="A21" s="9" t="s">
        <v>19</v>
      </c>
      <c r="B21" s="10" t="s">
        <v>17</v>
      </c>
      <c r="C21" s="11">
        <v>204838574</v>
      </c>
      <c r="D21" s="11">
        <v>421555</v>
      </c>
      <c r="E21" s="11">
        <v>204838574</v>
      </c>
      <c r="F21" s="11">
        <v>421555</v>
      </c>
      <c r="G21" s="12">
        <v>725846.59677368612</v>
      </c>
      <c r="I21" s="13">
        <f>ROUND(IF(ISERROR(691886.737790454/D21), 0, IF(OR(ISBLANK(C14), OR(C14=0, C14="")), (691886.737790454/D21)/(C12/12), (691886.737790454/D21)/(C14/12))),4)</f>
        <v>1.6413</v>
      </c>
      <c r="J21" s="13">
        <f t="shared" si="0"/>
        <v>1.6413</v>
      </c>
      <c r="K21" s="13">
        <f t="shared" si="1"/>
        <v>1.6413</v>
      </c>
    </row>
    <row r="22" spans="1:11" x14ac:dyDescent="0.25">
      <c r="A22" s="9" t="s">
        <v>20</v>
      </c>
      <c r="B22" s="10" t="s">
        <v>14</v>
      </c>
      <c r="C22" s="11">
        <v>2094915</v>
      </c>
      <c r="D22" s="11">
        <v>0</v>
      </c>
      <c r="E22" s="11">
        <v>2094915</v>
      </c>
      <c r="F22" s="11">
        <v>0</v>
      </c>
      <c r="G22" s="12">
        <v>7448.1129205391044</v>
      </c>
      <c r="I22" s="13">
        <f>ROUND(IF(ISERROR(0/C22), 0, IF(OR(ISBLANK(C14), OR(C14=0, C14="")), (0/C22)/(C12/12), (0/C22)/(C14/12))),4)</f>
        <v>0</v>
      </c>
      <c r="J22" s="13">
        <f t="shared" si="0"/>
        <v>0</v>
      </c>
      <c r="K22" s="13">
        <f t="shared" si="1"/>
        <v>0</v>
      </c>
    </row>
    <row r="23" spans="1:11" x14ac:dyDescent="0.25">
      <c r="A23" s="9" t="s">
        <v>21</v>
      </c>
      <c r="B23" s="10" t="s">
        <v>17</v>
      </c>
      <c r="C23" s="11">
        <v>0</v>
      </c>
      <c r="D23" s="11">
        <v>0</v>
      </c>
      <c r="E23" s="11">
        <v>0</v>
      </c>
      <c r="F23" s="11">
        <v>0</v>
      </c>
      <c r="G23" s="12">
        <v>0</v>
      </c>
      <c r="I23" s="13">
        <f>ROUND(IF(ISERROR(0/D23), 0, IF(OR(ISBLANK(C14), OR(C14=0, C14="")), (0/D23)/(C12/12), (0/D23)/(C14/12))),4)</f>
        <v>0</v>
      </c>
      <c r="J23" s="13">
        <f t="shared" si="0"/>
        <v>0</v>
      </c>
      <c r="K23" s="13">
        <f t="shared" si="1"/>
        <v>0</v>
      </c>
    </row>
    <row r="24" spans="1:11" x14ac:dyDescent="0.25">
      <c r="A24" s="9" t="s">
        <v>22</v>
      </c>
      <c r="B24" s="10" t="s">
        <v>17</v>
      </c>
      <c r="C24" s="11">
        <v>8890</v>
      </c>
      <c r="D24" s="11">
        <v>25</v>
      </c>
      <c r="E24" s="11">
        <v>8890</v>
      </c>
      <c r="F24" s="11">
        <v>25</v>
      </c>
      <c r="G24" s="12">
        <v>32.644409648325691</v>
      </c>
      <c r="I24" s="13">
        <f>ROUND(IF(ISERROR(0/D24), 0, IF(OR(ISBLANK(C14), OR(C14=0, C14="")), (0/D24)/(C12/12), (0/D24)/(C14/12))),4)</f>
        <v>0</v>
      </c>
      <c r="J24" s="13">
        <f t="shared" si="0"/>
        <v>0</v>
      </c>
      <c r="K24" s="13">
        <f t="shared" si="1"/>
        <v>0</v>
      </c>
    </row>
    <row r="25" spans="1:11" x14ac:dyDescent="0.25">
      <c r="A25" s="9" t="s">
        <v>23</v>
      </c>
      <c r="B25" s="10" t="s">
        <v>17</v>
      </c>
      <c r="C25" s="11">
        <v>3490952</v>
      </c>
      <c r="D25" s="11">
        <v>10148</v>
      </c>
      <c r="E25" s="11">
        <v>3490952</v>
      </c>
      <c r="F25" s="11">
        <v>10148</v>
      </c>
      <c r="G25" s="12">
        <v>13091.734617395648</v>
      </c>
      <c r="I25" s="13">
        <f>ROUND(IF(ISERROR(360532.619815011/D25), 0, IF(OR(ISBLANK(C14), OR(C14=0, C14="")), (360532.619815011/D25)/(C12/12), (360532.619815011/D25)/(C14/12))),4)</f>
        <v>35.527500000000003</v>
      </c>
      <c r="J25" s="13">
        <f>ROUND(IF(ISERROR(360532.619815011/D25), 0, IF(OR(ISBLANK(D14), OR(D14=0, D14="")), (360532.619815011/D25)/(D12/12), (360532.619815011/D25)/(D14/12))),4)</f>
        <v>17.7637</v>
      </c>
      <c r="K25" s="13">
        <f>ROUND(IF(ISERROR(360532.619815011/D25), 0, IF(OR(ISBLANK(E14), OR(E14=0, E14="")), (360532.619815011/D25)/(E12/12), (360532.619815011/D25)/(E14/12))),4)</f>
        <v>11.842499999999999</v>
      </c>
    </row>
    <row r="30" spans="1:11" ht="17.25" x14ac:dyDescent="0.25">
      <c r="A30" s="14" t="s">
        <v>24</v>
      </c>
    </row>
    <row r="31" spans="1:11" ht="30" customHeight="1" x14ac:dyDescent="0.25">
      <c r="A31" s="144" t="s">
        <v>25</v>
      </c>
      <c r="B31" s="145"/>
      <c r="C31" s="145"/>
      <c r="D31" s="145"/>
      <c r="E31" s="145"/>
      <c r="F31" s="145"/>
      <c r="G31" s="145"/>
      <c r="H31" s="145"/>
      <c r="I31" s="145"/>
    </row>
  </sheetData>
  <mergeCells count="14">
    <mergeCell ref="I15:I16"/>
    <mergeCell ref="A31:I31"/>
    <mergeCell ref="J15:J16"/>
    <mergeCell ref="K15:K16"/>
    <mergeCell ref="A11:H11"/>
    <mergeCell ref="A12:B12"/>
    <mergeCell ref="A13:B13"/>
    <mergeCell ref="A14:B14"/>
    <mergeCell ref="C15:C16"/>
    <mergeCell ref="D15:D16"/>
    <mergeCell ref="E15:E16"/>
    <mergeCell ref="F15:F16"/>
    <mergeCell ref="G15:G16"/>
    <mergeCell ref="H15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F074-24D5-447A-95F3-51E68F192FB8}">
  <dimension ref="A1:CA165"/>
  <sheetViews>
    <sheetView tabSelected="1" topLeftCell="C120" zoomScale="85" zoomScaleNormal="85" workbookViewId="0">
      <selection activeCell="J147" sqref="J147"/>
    </sheetView>
  </sheetViews>
  <sheetFormatPr defaultColWidth="9.28515625" defaultRowHeight="12.75" x14ac:dyDescent="0.2"/>
  <cols>
    <col min="1" max="1" width="9" style="28" hidden="1" customWidth="1"/>
    <col min="2" max="2" width="4.7109375" style="28" hidden="1" customWidth="1"/>
    <col min="3" max="3" width="3.42578125" style="29" customWidth="1"/>
    <col min="4" max="4" width="34.7109375" style="28" customWidth="1"/>
    <col min="5" max="5" width="13.28515625" style="28" customWidth="1"/>
    <col min="6" max="6" width="26.7109375" style="28" customWidth="1"/>
    <col min="7" max="7" width="10.28515625" style="28" bestFit="1" customWidth="1"/>
    <col min="8" max="8" width="18.28515625" style="28" customWidth="1"/>
    <col min="9" max="9" width="12.7109375" style="28" customWidth="1"/>
    <col min="10" max="10" width="14.28515625" style="28" bestFit="1" customWidth="1"/>
    <col min="11" max="11" width="18.7109375" style="28" bestFit="1" customWidth="1"/>
    <col min="12" max="12" width="13.5703125" style="28" bestFit="1" customWidth="1"/>
    <col min="13" max="13" width="15.7109375" style="28" customWidth="1"/>
    <col min="14" max="14" width="22.28515625" style="28" customWidth="1"/>
    <col min="15" max="15" width="14.42578125" style="28" customWidth="1"/>
    <col min="16" max="16" width="3.7109375" style="28" customWidth="1"/>
    <col min="17" max="17" width="11.28515625" style="28" customWidth="1"/>
    <col min="18" max="19" width="9.28515625" style="28"/>
    <col min="20" max="20" width="9.28515625" style="28" hidden="1" customWidth="1"/>
    <col min="21" max="16384" width="9.28515625" style="28"/>
  </cols>
  <sheetData>
    <row r="1" spans="3:79" s="19" customFormat="1" ht="21.75" x14ac:dyDescent="0.2">
      <c r="C1" s="15"/>
      <c r="D1" s="16"/>
      <c r="E1" s="16"/>
      <c r="F1" s="16"/>
      <c r="G1" s="16"/>
      <c r="H1" s="16"/>
      <c r="I1" s="16"/>
      <c r="J1" s="16"/>
      <c r="K1" s="16"/>
      <c r="L1" s="17"/>
      <c r="M1" s="18"/>
      <c r="P1" s="20"/>
      <c r="AZ1" s="19" t="s">
        <v>27</v>
      </c>
      <c r="CA1" s="19">
        <v>1</v>
      </c>
    </row>
    <row r="2" spans="3:79" s="19" customFormat="1" ht="18" x14ac:dyDescent="0.25">
      <c r="C2" s="21"/>
      <c r="D2" s="22"/>
      <c r="E2" s="22"/>
      <c r="F2" s="22"/>
      <c r="G2" s="22"/>
      <c r="H2" s="22"/>
      <c r="I2" s="22"/>
      <c r="J2" s="22"/>
      <c r="K2" s="22"/>
      <c r="L2" s="17"/>
      <c r="M2" s="18"/>
      <c r="P2" s="20"/>
    </row>
    <row r="3" spans="3:79" s="19" customFormat="1" ht="18" x14ac:dyDescent="0.25">
      <c r="C3" s="165"/>
      <c r="D3" s="165"/>
      <c r="E3" s="165"/>
      <c r="F3" s="165"/>
      <c r="G3" s="165"/>
      <c r="H3" s="165"/>
      <c r="I3" s="165"/>
      <c r="J3" s="165"/>
      <c r="K3" s="165"/>
      <c r="L3" s="17"/>
      <c r="M3" s="18"/>
      <c r="P3" s="20"/>
    </row>
    <row r="4" spans="3:79" s="19" customFormat="1" ht="18" x14ac:dyDescent="0.25">
      <c r="C4" s="21"/>
      <c r="D4" s="22"/>
      <c r="E4" s="22"/>
      <c r="F4" s="22"/>
      <c r="G4" s="22"/>
      <c r="H4" s="22"/>
      <c r="I4" s="23"/>
      <c r="J4" s="23"/>
      <c r="K4" s="23"/>
      <c r="L4" s="17"/>
      <c r="M4" s="18"/>
      <c r="P4" s="20"/>
    </row>
    <row r="5" spans="3:79" s="19" customFormat="1" ht="15.75" x14ac:dyDescent="0.25">
      <c r="C5" s="24"/>
      <c r="E5" s="25"/>
      <c r="L5" s="17"/>
      <c r="M5" s="18"/>
      <c r="P5" s="20"/>
    </row>
    <row r="6" spans="3:79" s="19" customFormat="1" x14ac:dyDescent="0.2">
      <c r="C6" s="24"/>
      <c r="L6" s="17"/>
      <c r="M6" s="18"/>
      <c r="P6" s="20"/>
    </row>
    <row r="7" spans="3:79" s="19" customFormat="1" ht="9.75" customHeight="1" x14ac:dyDescent="0.2">
      <c r="C7" s="24"/>
      <c r="L7" s="17"/>
      <c r="M7" s="18"/>
      <c r="P7" s="20"/>
    </row>
    <row r="8" spans="3:79" s="19" customFormat="1" ht="2.25" customHeight="1" x14ac:dyDescent="0.2">
      <c r="C8" s="24"/>
      <c r="M8" s="18"/>
      <c r="N8" s="20"/>
      <c r="O8" s="20"/>
      <c r="P8" s="20"/>
    </row>
    <row r="9" spans="3:79" s="20" customFormat="1" ht="2.25" customHeight="1" x14ac:dyDescent="0.2">
      <c r="C9" s="26"/>
    </row>
    <row r="10" spans="3:79" s="20" customFormat="1" ht="2.25" customHeight="1" x14ac:dyDescent="0.25">
      <c r="C10" s="26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27"/>
      <c r="O10" s="27"/>
    </row>
    <row r="11" spans="3:79" s="20" customFormat="1" ht="2.25" customHeight="1" x14ac:dyDescent="0.25">
      <c r="C11" s="26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</row>
    <row r="12" spans="3:79" x14ac:dyDescent="0.2">
      <c r="C12" s="28"/>
      <c r="D12" s="30" t="s">
        <v>32</v>
      </c>
      <c r="E12" s="163" t="s">
        <v>23</v>
      </c>
      <c r="F12" s="163"/>
      <c r="G12" s="163"/>
      <c r="H12" s="163"/>
      <c r="I12" s="163"/>
      <c r="J12" s="163"/>
      <c r="T12" s="28" t="s">
        <v>31</v>
      </c>
    </row>
    <row r="13" spans="3:79" x14ac:dyDescent="0.2">
      <c r="C13" s="28"/>
      <c r="D13" s="30" t="s">
        <v>33</v>
      </c>
      <c r="E13" s="164" t="s">
        <v>29</v>
      </c>
      <c r="F13" s="164"/>
      <c r="G13" s="164"/>
      <c r="H13" s="31"/>
      <c r="I13" s="31"/>
    </row>
    <row r="14" spans="3:79" ht="15.75" x14ac:dyDescent="0.2">
      <c r="C14" s="28"/>
      <c r="D14" s="30" t="s">
        <v>34</v>
      </c>
      <c r="E14" s="32">
        <v>289474.27833333332</v>
      </c>
      <c r="F14" s="33" t="s">
        <v>14</v>
      </c>
      <c r="J14" s="34"/>
      <c r="K14" s="34"/>
      <c r="L14" s="34"/>
      <c r="M14" s="34"/>
      <c r="N14" s="34"/>
    </row>
    <row r="15" spans="3:79" ht="15.75" x14ac:dyDescent="0.25">
      <c r="C15" s="28"/>
      <c r="D15" s="30" t="s">
        <v>35</v>
      </c>
      <c r="E15" s="32">
        <v>808.22500000000002</v>
      </c>
      <c r="F15" s="35" t="s">
        <v>17</v>
      </c>
      <c r="G15" s="36"/>
      <c r="H15" s="37"/>
      <c r="I15" s="37"/>
      <c r="J15" s="37"/>
    </row>
    <row r="16" spans="3:79" x14ac:dyDescent="0.2">
      <c r="C16" s="28"/>
      <c r="D16" s="30" t="s">
        <v>36</v>
      </c>
      <c r="E16" s="38">
        <v>1.026</v>
      </c>
    </row>
    <row r="17" spans="1:13" x14ac:dyDescent="0.2">
      <c r="C17" s="28"/>
      <c r="D17" s="30" t="s">
        <v>37</v>
      </c>
      <c r="E17" s="38">
        <v>1.026</v>
      </c>
    </row>
    <row r="18" spans="1:13" x14ac:dyDescent="0.2">
      <c r="C18" s="28"/>
    </row>
    <row r="19" spans="1:13" x14ac:dyDescent="0.2">
      <c r="C19" s="28"/>
      <c r="E19" s="33"/>
      <c r="F19" s="153" t="s">
        <v>38</v>
      </c>
      <c r="G19" s="154"/>
      <c r="H19" s="155"/>
      <c r="I19" s="153" t="s">
        <v>39</v>
      </c>
      <c r="J19" s="154"/>
      <c r="K19" s="155"/>
      <c r="L19" s="153" t="s">
        <v>40</v>
      </c>
      <c r="M19" s="155"/>
    </row>
    <row r="20" spans="1:13" x14ac:dyDescent="0.2">
      <c r="C20" s="28"/>
      <c r="E20" s="156"/>
      <c r="F20" s="39" t="s">
        <v>41</v>
      </c>
      <c r="G20" s="39" t="s">
        <v>42</v>
      </c>
      <c r="H20" s="40" t="s">
        <v>43</v>
      </c>
      <c r="I20" s="39" t="s">
        <v>41</v>
      </c>
      <c r="J20" s="41" t="s">
        <v>42</v>
      </c>
      <c r="K20" s="40" t="s">
        <v>43</v>
      </c>
      <c r="L20" s="158" t="s">
        <v>44</v>
      </c>
      <c r="M20" s="160" t="s">
        <v>45</v>
      </c>
    </row>
    <row r="21" spans="1:13" x14ac:dyDescent="0.2">
      <c r="C21" s="28"/>
      <c r="E21" s="157"/>
      <c r="F21" s="42" t="s">
        <v>46</v>
      </c>
      <c r="G21" s="42"/>
      <c r="H21" s="43" t="s">
        <v>46</v>
      </c>
      <c r="I21" s="42" t="s">
        <v>46</v>
      </c>
      <c r="J21" s="43"/>
      <c r="K21" s="43" t="s">
        <v>46</v>
      </c>
      <c r="L21" s="159"/>
      <c r="M21" s="161"/>
    </row>
    <row r="22" spans="1:13" x14ac:dyDescent="0.2">
      <c r="A22" s="28" t="str">
        <f>$E12</f>
        <v>STREET LIGHTING SERVICE CLASSIFICATION</v>
      </c>
      <c r="C22" s="44"/>
      <c r="D22" s="45" t="s">
        <v>47</v>
      </c>
      <c r="E22" s="46"/>
      <c r="F22" s="47">
        <v>0.47</v>
      </c>
      <c r="G22" s="48">
        <v>13780</v>
      </c>
      <c r="H22" s="49">
        <f>G22*F22</f>
        <v>6476.5999999999995</v>
      </c>
      <c r="I22" s="50">
        <v>0.48</v>
      </c>
      <c r="J22" s="166">
        <v>13780</v>
      </c>
      <c r="K22" s="52">
        <f>J22*I22</f>
        <v>6614.4</v>
      </c>
      <c r="L22" s="53">
        <f t="shared" ref="L22:L42" si="0">K22-H22</f>
        <v>137.80000000000018</v>
      </c>
      <c r="M22" s="54">
        <f>IF(ISERROR(L22/H22), "", L22/H22)</f>
        <v>2.1276595744680882E-2</v>
      </c>
    </row>
    <row r="23" spans="1:13" x14ac:dyDescent="0.2">
      <c r="A23" s="28" t="str">
        <f>A22</f>
        <v>STREET LIGHTING SERVICE CLASSIFICATION</v>
      </c>
      <c r="C23" s="44"/>
      <c r="D23" s="45" t="s">
        <v>48</v>
      </c>
      <c r="E23" s="46"/>
      <c r="F23" s="55">
        <v>11.1096</v>
      </c>
      <c r="G23" s="48">
        <f>IF($E15&gt;0, $E15, $E14)</f>
        <v>808.22500000000002</v>
      </c>
      <c r="H23" s="49">
        <f t="shared" ref="H23:H35" si="1">G23*F23</f>
        <v>8979.0564599999998</v>
      </c>
      <c r="I23" s="56">
        <v>11.4429</v>
      </c>
      <c r="J23" s="51">
        <f>IF($E15&gt;0, $E15, $E14)</f>
        <v>808.22500000000002</v>
      </c>
      <c r="K23" s="52">
        <f>J23*I23</f>
        <v>9248.4378524999993</v>
      </c>
      <c r="L23" s="53">
        <f t="shared" si="0"/>
        <v>269.38139249999949</v>
      </c>
      <c r="M23" s="54">
        <f t="shared" ref="M23:M33" si="2">IF(ISERROR(L23/H23), "", L23/H23)</f>
        <v>3.0001080146899922E-2</v>
      </c>
    </row>
    <row r="24" spans="1:13" hidden="1" x14ac:dyDescent="0.2">
      <c r="A24" s="28" t="str">
        <f t="shared" ref="A24:A65" si="3">A23</f>
        <v>STREET LIGHTING SERVICE CLASSIFICATION</v>
      </c>
      <c r="C24" s="44"/>
      <c r="D24" s="45" t="s">
        <v>49</v>
      </c>
      <c r="E24" s="46"/>
      <c r="F24" s="55"/>
      <c r="G24" s="48">
        <f>IF($E15&gt;0, $E15, $E14)</f>
        <v>808.22500000000002</v>
      </c>
      <c r="H24" s="49">
        <v>0</v>
      </c>
      <c r="I24" s="56"/>
      <c r="J24" s="51">
        <f>IF($E15&gt;0, $E15, $E14)</f>
        <v>808.22500000000002</v>
      </c>
      <c r="K24" s="52">
        <v>0</v>
      </c>
      <c r="L24" s="53"/>
      <c r="M24" s="54"/>
    </row>
    <row r="25" spans="1:13" hidden="1" x14ac:dyDescent="0.2">
      <c r="A25" s="28" t="str">
        <f t="shared" si="3"/>
        <v>STREET LIGHTING SERVICE CLASSIFICATION</v>
      </c>
      <c r="C25" s="44"/>
      <c r="D25" s="45" t="s">
        <v>50</v>
      </c>
      <c r="E25" s="46"/>
      <c r="F25" s="55"/>
      <c r="G25" s="48">
        <f>IF($E15&gt;0, $E15, $E14)</f>
        <v>808.22500000000002</v>
      </c>
      <c r="H25" s="49">
        <v>0</v>
      </c>
      <c r="I25" s="56"/>
      <c r="J25" s="57">
        <f>IF($E15&gt;0, $E15, $E14)</f>
        <v>808.22500000000002</v>
      </c>
      <c r="K25" s="52">
        <v>0</v>
      </c>
      <c r="L25" s="53">
        <f>K25-H25</f>
        <v>0</v>
      </c>
      <c r="M25" s="54" t="str">
        <f>IF(ISERROR(L25/H25), "", L25/H25)</f>
        <v/>
      </c>
    </row>
    <row r="26" spans="1:13" x14ac:dyDescent="0.2">
      <c r="A26" s="28" t="str">
        <f t="shared" si="3"/>
        <v>STREET LIGHTING SERVICE CLASSIFICATION</v>
      </c>
      <c r="C26" s="44"/>
      <c r="D26" s="45" t="s">
        <v>51</v>
      </c>
      <c r="E26" s="46"/>
      <c r="F26" s="47">
        <v>-0.01</v>
      </c>
      <c r="G26" s="167">
        <v>13780</v>
      </c>
      <c r="H26" s="49">
        <f t="shared" si="1"/>
        <v>-137.80000000000001</v>
      </c>
      <c r="I26" s="50">
        <v>-0.01</v>
      </c>
      <c r="J26" s="166">
        <v>13780</v>
      </c>
      <c r="K26" s="52">
        <f t="shared" ref="K26:K33" si="4">J26*I26</f>
        <v>-137.80000000000001</v>
      </c>
      <c r="L26" s="53">
        <f t="shared" si="0"/>
        <v>0</v>
      </c>
      <c r="M26" s="54">
        <f t="shared" si="2"/>
        <v>0</v>
      </c>
    </row>
    <row r="27" spans="1:13" x14ac:dyDescent="0.2">
      <c r="A27" s="28" t="str">
        <f t="shared" si="3"/>
        <v>STREET LIGHTING SERVICE CLASSIFICATION</v>
      </c>
      <c r="C27" s="44"/>
      <c r="D27" s="45" t="s">
        <v>52</v>
      </c>
      <c r="E27" s="46"/>
      <c r="F27" s="55">
        <v>-1.6225000000000001</v>
      </c>
      <c r="G27" s="48">
        <f>IF($E15&gt;0, $E15, $E14)</f>
        <v>808.22500000000002</v>
      </c>
      <c r="H27" s="49">
        <f t="shared" si="1"/>
        <v>-1311.3450625</v>
      </c>
      <c r="I27" s="56">
        <v>35.527500000000003</v>
      </c>
      <c r="J27" s="51">
        <f>IF($E15&gt;0, $E15, $E14)</f>
        <v>808.22500000000002</v>
      </c>
      <c r="K27" s="52">
        <f t="shared" si="4"/>
        <v>28714.213687500003</v>
      </c>
      <c r="L27" s="53">
        <f t="shared" si="0"/>
        <v>30025.558750000004</v>
      </c>
      <c r="M27" s="54">
        <f t="shared" si="2"/>
        <v>-22.896764252696457</v>
      </c>
    </row>
    <row r="28" spans="1:13" x14ac:dyDescent="0.2">
      <c r="A28" s="28" t="str">
        <f t="shared" si="3"/>
        <v>STREET LIGHTING SERVICE CLASSIFICATION</v>
      </c>
      <c r="B28" s="28" t="s">
        <v>53</v>
      </c>
      <c r="C28" s="44" t="e">
        <f>#REF!</f>
        <v>#REF!</v>
      </c>
      <c r="D28" s="58" t="s">
        <v>54</v>
      </c>
      <c r="E28" s="59"/>
      <c r="F28" s="60"/>
      <c r="G28" s="61"/>
      <c r="H28" s="62">
        <f>SUM(H22:H27)</f>
        <v>14006.511397499999</v>
      </c>
      <c r="I28" s="63"/>
      <c r="J28" s="64"/>
      <c r="K28" s="62">
        <f>SUM(K22:K27)</f>
        <v>44439.251540000005</v>
      </c>
      <c r="L28" s="65">
        <f t="shared" si="0"/>
        <v>30432.740142500006</v>
      </c>
      <c r="M28" s="66">
        <f>IF((H28)=0,"",(L28/H28))</f>
        <v>2.1727566043270348</v>
      </c>
    </row>
    <row r="29" spans="1:13" x14ac:dyDescent="0.2">
      <c r="A29" s="28" t="str">
        <f t="shared" si="3"/>
        <v>STREET LIGHTING SERVICE CLASSIFICATION</v>
      </c>
      <c r="C29" s="44"/>
      <c r="D29" s="67" t="s">
        <v>55</v>
      </c>
      <c r="E29" s="46"/>
      <c r="F29" s="55">
        <f>IF((E14*12&gt;=150000), 0, IF(E13="RPP",(F45*0.64+F46*0.18+F47*0.18),IF(E13="Non-RPP (Retailer)",F48,F49)))</f>
        <v>0</v>
      </c>
      <c r="G29" s="68">
        <f>IF(F29=0, 0, $E14*E16-E14)</f>
        <v>0</v>
      </c>
      <c r="H29" s="49">
        <f>G29*F29</f>
        <v>0</v>
      </c>
      <c r="I29" s="56">
        <f>IF((E14*12&gt;=150000), 0, IF(E13="RPP",(I45*0.64+I46*0.18+I47*0.18),IF(E13="Non-RPP (Retailer)",I48,I49)))</f>
        <v>0</v>
      </c>
      <c r="J29" s="69">
        <f>IF(I29=0, 0, E14*E17-E14)</f>
        <v>0</v>
      </c>
      <c r="K29" s="52">
        <f>J29*I29</f>
        <v>0</v>
      </c>
      <c r="L29" s="53">
        <f>K29-H29</f>
        <v>0</v>
      </c>
      <c r="M29" s="54" t="str">
        <f>IF(ISERROR(L29/H29), "", L29/H29)</f>
        <v/>
      </c>
    </row>
    <row r="30" spans="1:13" ht="25.5" x14ac:dyDescent="0.2">
      <c r="A30" s="28" t="str">
        <f t="shared" si="3"/>
        <v>STREET LIGHTING SERVICE CLASSIFICATION</v>
      </c>
      <c r="C30" s="44"/>
      <c r="D30" s="67" t="s">
        <v>56</v>
      </c>
      <c r="E30" s="46"/>
      <c r="F30" s="55">
        <v>0.18360000000000001</v>
      </c>
      <c r="G30" s="70">
        <f>IF($E15&gt;0, $E15, $E14)</f>
        <v>808.22500000000002</v>
      </c>
      <c r="H30" s="49">
        <f t="shared" si="1"/>
        <v>148.39011000000002</v>
      </c>
      <c r="I30" s="56">
        <v>1.2901</v>
      </c>
      <c r="J30" s="71">
        <f>IF($E15&gt;0, $E15, $E14)</f>
        <v>808.22500000000002</v>
      </c>
      <c r="K30" s="52">
        <f t="shared" si="4"/>
        <v>1042.6910725</v>
      </c>
      <c r="L30" s="53">
        <f t="shared" si="0"/>
        <v>894.30096249999997</v>
      </c>
      <c r="M30" s="54">
        <f t="shared" si="2"/>
        <v>6.0266884531590401</v>
      </c>
    </row>
    <row r="31" spans="1:13" x14ac:dyDescent="0.2">
      <c r="A31" s="28" t="str">
        <f t="shared" si="3"/>
        <v>STREET LIGHTING SERVICE CLASSIFICATION</v>
      </c>
      <c r="C31" s="44"/>
      <c r="D31" s="67" t="s">
        <v>57</v>
      </c>
      <c r="E31" s="46"/>
      <c r="F31" s="55">
        <v>0</v>
      </c>
      <c r="G31" s="70">
        <f>IF($E15&gt;0, $E15, $E14)</f>
        <v>808.22500000000002</v>
      </c>
      <c r="H31" s="49">
        <f>G31*F31</f>
        <v>0</v>
      </c>
      <c r="I31" s="56">
        <v>-4.3900000000000002E-2</v>
      </c>
      <c r="J31" s="71">
        <f>IF($E15&gt;0, $E15, $E14)</f>
        <v>808.22500000000002</v>
      </c>
      <c r="K31" s="52">
        <f>J31*I31</f>
        <v>-35.481077500000005</v>
      </c>
      <c r="L31" s="53">
        <f t="shared" si="0"/>
        <v>-35.481077500000005</v>
      </c>
      <c r="M31" s="54" t="str">
        <f t="shared" si="2"/>
        <v/>
      </c>
    </row>
    <row r="32" spans="1:13" x14ac:dyDescent="0.2">
      <c r="A32" s="28" t="str">
        <f t="shared" si="3"/>
        <v>STREET LIGHTING SERVICE CLASSIFICATION</v>
      </c>
      <c r="C32" s="44"/>
      <c r="D32" s="67" t="s">
        <v>58</v>
      </c>
      <c r="E32" s="46"/>
      <c r="F32" s="55">
        <v>-2.0999999999999999E-3</v>
      </c>
      <c r="G32" s="70">
        <f>E14</f>
        <v>289474.27833333332</v>
      </c>
      <c r="H32" s="49">
        <f>G32*F32</f>
        <v>-607.89598449999994</v>
      </c>
      <c r="I32" s="56">
        <v>4.7999999999999996E-3</v>
      </c>
      <c r="J32" s="71">
        <f>E14</f>
        <v>289474.27833333332</v>
      </c>
      <c r="K32" s="52">
        <f t="shared" si="4"/>
        <v>1389.4765359999999</v>
      </c>
      <c r="L32" s="53">
        <f t="shared" si="0"/>
        <v>1997.3725204999998</v>
      </c>
      <c r="M32" s="54">
        <f t="shared" si="2"/>
        <v>-3.2857142857142856</v>
      </c>
    </row>
    <row r="33" spans="1:14" x14ac:dyDescent="0.2">
      <c r="A33" s="28" t="str">
        <f t="shared" si="3"/>
        <v>STREET LIGHTING SERVICE CLASSIFICATION</v>
      </c>
      <c r="C33" s="44"/>
      <c r="D33" s="45" t="s">
        <v>59</v>
      </c>
      <c r="E33" s="46"/>
      <c r="F33" s="55">
        <v>1.0699999999999999E-2</v>
      </c>
      <c r="G33" s="70">
        <f>IF($E15&gt;0, $E15, $E14)</f>
        <v>808.22500000000002</v>
      </c>
      <c r="H33" s="49">
        <f t="shared" si="1"/>
        <v>8.6480075000000003</v>
      </c>
      <c r="I33" s="56">
        <v>1.0699999999999999E-2</v>
      </c>
      <c r="J33" s="71">
        <f>IF($E15&gt;0, $E15, $E14)</f>
        <v>808.22500000000002</v>
      </c>
      <c r="K33" s="52">
        <f t="shared" si="4"/>
        <v>8.6480075000000003</v>
      </c>
      <c r="L33" s="53">
        <f t="shared" si="0"/>
        <v>0</v>
      </c>
      <c r="M33" s="54">
        <f t="shared" si="2"/>
        <v>0</v>
      </c>
    </row>
    <row r="34" spans="1:14" ht="25.5" x14ac:dyDescent="0.2">
      <c r="A34" s="28" t="str">
        <f t="shared" si="3"/>
        <v>STREET LIGHTING SERVICE CLASSIFICATION</v>
      </c>
      <c r="C34" s="44"/>
      <c r="D34" s="67" t="s">
        <v>60</v>
      </c>
      <c r="E34" s="46"/>
      <c r="F34" s="72">
        <v>0</v>
      </c>
      <c r="G34" s="167">
        <v>13780</v>
      </c>
      <c r="H34" s="49">
        <f>G34*F34</f>
        <v>0</v>
      </c>
      <c r="I34" s="73">
        <v>0</v>
      </c>
      <c r="J34" s="168">
        <v>13780</v>
      </c>
      <c r="K34" s="52">
        <f>J34*I34</f>
        <v>0</v>
      </c>
      <c r="L34" s="53">
        <f t="shared" si="0"/>
        <v>0</v>
      </c>
      <c r="M34" s="54" t="str">
        <f>IF(ISERROR(L34/H34), "", L34/H34)</f>
        <v/>
      </c>
    </row>
    <row r="35" spans="1:14" x14ac:dyDescent="0.2">
      <c r="A35" s="28" t="str">
        <f t="shared" si="3"/>
        <v>STREET LIGHTING SERVICE CLASSIFICATION</v>
      </c>
      <c r="C35" s="44"/>
      <c r="D35" s="45" t="s">
        <v>61</v>
      </c>
      <c r="E35" s="46"/>
      <c r="F35" s="47">
        <v>0</v>
      </c>
      <c r="G35" s="167">
        <v>13780</v>
      </c>
      <c r="H35" s="49">
        <f t="shared" si="1"/>
        <v>0</v>
      </c>
      <c r="I35" s="50">
        <v>0</v>
      </c>
      <c r="J35" s="168">
        <v>13780</v>
      </c>
      <c r="K35" s="52">
        <f>J35*I35</f>
        <v>0</v>
      </c>
      <c r="L35" s="53">
        <f>K35-H35</f>
        <v>0</v>
      </c>
      <c r="M35" s="54" t="str">
        <f>IF(ISERROR(L35/H35), "", L35/H35)</f>
        <v/>
      </c>
    </row>
    <row r="36" spans="1:14" x14ac:dyDescent="0.2">
      <c r="A36" s="28" t="str">
        <f t="shared" si="3"/>
        <v>STREET LIGHTING SERVICE CLASSIFICATION</v>
      </c>
      <c r="C36" s="44"/>
      <c r="D36" s="45" t="s">
        <v>62</v>
      </c>
      <c r="E36" s="46"/>
      <c r="F36" s="55">
        <v>0</v>
      </c>
      <c r="G36" s="70">
        <f>IF($E15&gt;0, $E15, $E14)</f>
        <v>808.22500000000002</v>
      </c>
      <c r="H36" s="49">
        <f>G36*F36</f>
        <v>0</v>
      </c>
      <c r="I36" s="56">
        <v>0</v>
      </c>
      <c r="J36" s="71">
        <f>IF($E15&gt;0, $E15, $E14)</f>
        <v>808.22500000000002</v>
      </c>
      <c r="K36" s="52">
        <f>J36*I36</f>
        <v>0</v>
      </c>
      <c r="L36" s="53">
        <f t="shared" si="0"/>
        <v>0</v>
      </c>
      <c r="M36" s="54" t="str">
        <f>IF(ISERROR(L36/H36), "", L36/H36)</f>
        <v/>
      </c>
    </row>
    <row r="37" spans="1:14" ht="25.5" x14ac:dyDescent="0.2">
      <c r="A37" s="28" t="str">
        <f t="shared" si="3"/>
        <v>STREET LIGHTING SERVICE CLASSIFICATION</v>
      </c>
      <c r="B37" s="28" t="s">
        <v>63</v>
      </c>
      <c r="C37" s="44" t="e">
        <f>#REF!</f>
        <v>#REF!</v>
      </c>
      <c r="D37" s="74" t="s">
        <v>64</v>
      </c>
      <c r="E37" s="75"/>
      <c r="F37" s="76"/>
      <c r="G37" s="77"/>
      <c r="H37" s="78">
        <f>SUM(H28:H36)</f>
        <v>13555.6535305</v>
      </c>
      <c r="I37" s="79"/>
      <c r="J37" s="80"/>
      <c r="K37" s="78">
        <f>SUM(K28:K36)</f>
        <v>46844.586078500004</v>
      </c>
      <c r="L37" s="65">
        <f t="shared" si="0"/>
        <v>33288.932548000004</v>
      </c>
      <c r="M37" s="66">
        <f>IF((H37)=0,"",(L37/H37))</f>
        <v>2.45572317654036</v>
      </c>
    </row>
    <row r="38" spans="1:14" x14ac:dyDescent="0.2">
      <c r="A38" s="28" t="str">
        <f t="shared" si="3"/>
        <v>STREET LIGHTING SERVICE CLASSIFICATION</v>
      </c>
      <c r="C38" s="44"/>
      <c r="D38" s="81" t="s">
        <v>65</v>
      </c>
      <c r="E38" s="46"/>
      <c r="F38" s="55">
        <v>3.2023000000000001</v>
      </c>
      <c r="G38" s="68">
        <f>IF($E15&gt;0, $E15, $E14*$E16)</f>
        <v>808.22500000000002</v>
      </c>
      <c r="H38" s="49">
        <f>G38*F38</f>
        <v>2588.1789175000004</v>
      </c>
      <c r="I38" s="82">
        <v>3.5754000000000001</v>
      </c>
      <c r="J38" s="69">
        <f>IF($E15&gt;0, $E15, $E14*$E17)</f>
        <v>808.22500000000002</v>
      </c>
      <c r="K38" s="52">
        <f>J38*I38</f>
        <v>2889.7276650000003</v>
      </c>
      <c r="L38" s="53">
        <f t="shared" si="0"/>
        <v>301.54874749999999</v>
      </c>
      <c r="M38" s="54">
        <f>IF(ISERROR(L38/H38), "", L38/H38)</f>
        <v>0.11651000843143988</v>
      </c>
      <c r="N38" s="83" t="str">
        <f>IF(ISERROR(ABS(M38)), "", IF(ABS(M38)&gt;=4%, "In the manager's summary, discuss the reasoning for the change in RTSR rates", ""))</f>
        <v>In the manager's summary, discuss the reasoning for the change in RTSR rates</v>
      </c>
    </row>
    <row r="39" spans="1:14" ht="25.5" x14ac:dyDescent="0.2">
      <c r="A39" s="28" t="str">
        <f t="shared" si="3"/>
        <v>STREET LIGHTING SERVICE CLASSIFICATION</v>
      </c>
      <c r="C39" s="44"/>
      <c r="D39" s="84" t="s">
        <v>66</v>
      </c>
      <c r="E39" s="46"/>
      <c r="F39" s="55">
        <v>2.2728000000000002</v>
      </c>
      <c r="G39" s="68">
        <f>IF($E15&gt;0, $E15, $E14*$E16)</f>
        <v>808.22500000000002</v>
      </c>
      <c r="H39" s="49">
        <f>G39*F39</f>
        <v>1836.9337800000001</v>
      </c>
      <c r="I39" s="82">
        <v>2.3759999999999999</v>
      </c>
      <c r="J39" s="69">
        <f>IF($E15&gt;0, $E15, $E14*$E17)</f>
        <v>808.22500000000002</v>
      </c>
      <c r="K39" s="52">
        <f>J39*I39</f>
        <v>1920.3425999999999</v>
      </c>
      <c r="L39" s="53">
        <f t="shared" si="0"/>
        <v>83.408819999999878</v>
      </c>
      <c r="M39" s="54">
        <f>IF(ISERROR(L39/H39), "", L39/H39)</f>
        <v>4.5406546990496233E-2</v>
      </c>
      <c r="N39" s="83" t="str">
        <f>IF(ISERROR(ABS(M39)), "", IF(ABS(M39)&gt;=4%, "In the manager's summary, discuss the reasoning for the change in RTSR rates", ""))</f>
        <v>In the manager's summary, discuss the reasoning for the change in RTSR rates</v>
      </c>
    </row>
    <row r="40" spans="1:14" ht="25.5" x14ac:dyDescent="0.2">
      <c r="A40" s="28" t="str">
        <f t="shared" si="3"/>
        <v>STREET LIGHTING SERVICE CLASSIFICATION</v>
      </c>
      <c r="B40" s="28" t="s">
        <v>67</v>
      </c>
      <c r="C40" s="44" t="e">
        <f>#REF!</f>
        <v>#REF!</v>
      </c>
      <c r="D40" s="74" t="s">
        <v>68</v>
      </c>
      <c r="E40" s="59"/>
      <c r="F40" s="76"/>
      <c r="G40" s="77"/>
      <c r="H40" s="78">
        <f>SUM(H37:H39)</f>
        <v>17980.766228</v>
      </c>
      <c r="I40" s="79"/>
      <c r="J40" s="64"/>
      <c r="K40" s="78">
        <f>SUM(K37:K39)</f>
        <v>51654.656343499999</v>
      </c>
      <c r="L40" s="65">
        <f t="shared" si="0"/>
        <v>33673.890115499999</v>
      </c>
      <c r="M40" s="66">
        <f>IF((H40)=0,"",(L40/H40))</f>
        <v>1.8727728111531954</v>
      </c>
    </row>
    <row r="41" spans="1:14" ht="25.5" x14ac:dyDescent="0.2">
      <c r="A41" s="28" t="str">
        <f t="shared" si="3"/>
        <v>STREET LIGHTING SERVICE CLASSIFICATION</v>
      </c>
      <c r="C41" s="44"/>
      <c r="D41" s="85" t="s">
        <v>69</v>
      </c>
      <c r="E41" s="46"/>
      <c r="F41" s="55">
        <v>3.4000000000000002E-3</v>
      </c>
      <c r="G41" s="68">
        <f>E14*E16</f>
        <v>297000.60956999997</v>
      </c>
      <c r="H41" s="86">
        <f t="shared" ref="H41:H47" si="5">G41*F41</f>
        <v>1009.8020725379999</v>
      </c>
      <c r="I41" s="56">
        <v>3.4000000000000002E-3</v>
      </c>
      <c r="J41" s="69">
        <f>E14*E17</f>
        <v>297000.60956999997</v>
      </c>
      <c r="K41" s="52">
        <f t="shared" ref="K41:K47" si="6">J41*I41</f>
        <v>1009.8020725379999</v>
      </c>
      <c r="L41" s="53">
        <f t="shared" si="0"/>
        <v>0</v>
      </c>
      <c r="M41" s="54">
        <f t="shared" ref="M41:M49" si="7">IF(ISERROR(L41/H41), "", L41/H41)</f>
        <v>0</v>
      </c>
    </row>
    <row r="42" spans="1:14" ht="25.5" x14ac:dyDescent="0.2">
      <c r="A42" s="28" t="str">
        <f t="shared" si="3"/>
        <v>STREET LIGHTING SERVICE CLASSIFICATION</v>
      </c>
      <c r="C42" s="44"/>
      <c r="D42" s="85" t="s">
        <v>70</v>
      </c>
      <c r="E42" s="46"/>
      <c r="F42" s="55">
        <v>5.0000000000000001E-4</v>
      </c>
      <c r="G42" s="68">
        <f>E14*E16</f>
        <v>297000.60956999997</v>
      </c>
      <c r="H42" s="86">
        <f t="shared" si="5"/>
        <v>148.500304785</v>
      </c>
      <c r="I42" s="56">
        <v>5.0000000000000001E-4</v>
      </c>
      <c r="J42" s="69">
        <f>E14*E17</f>
        <v>297000.60956999997</v>
      </c>
      <c r="K42" s="52">
        <f t="shared" si="6"/>
        <v>148.500304785</v>
      </c>
      <c r="L42" s="53">
        <f t="shared" si="0"/>
        <v>0</v>
      </c>
      <c r="M42" s="54">
        <f t="shared" si="7"/>
        <v>0</v>
      </c>
    </row>
    <row r="43" spans="1:14" x14ac:dyDescent="0.2">
      <c r="A43" s="28" t="str">
        <f t="shared" si="3"/>
        <v>STREET LIGHTING SERVICE CLASSIFICATION</v>
      </c>
      <c r="C43" s="44"/>
      <c r="D43" s="87" t="s">
        <v>71</v>
      </c>
      <c r="E43" s="46"/>
      <c r="F43" s="72">
        <v>0.25</v>
      </c>
      <c r="G43" s="48">
        <v>13780</v>
      </c>
      <c r="H43" s="86">
        <f t="shared" si="5"/>
        <v>3445</v>
      </c>
      <c r="I43" s="72">
        <v>0.25</v>
      </c>
      <c r="J43" s="48">
        <v>13780</v>
      </c>
      <c r="K43" s="86">
        <f t="shared" si="6"/>
        <v>3445</v>
      </c>
      <c r="L43" s="53">
        <f t="shared" ref="L43" si="8">K43-H43</f>
        <v>0</v>
      </c>
      <c r="M43" s="54">
        <f t="shared" ref="M43" si="9">IF(ISERROR(L43/H43), "", L43/H43)</f>
        <v>0</v>
      </c>
    </row>
    <row r="44" spans="1:14" ht="25.5" hidden="1" x14ac:dyDescent="0.2">
      <c r="A44" s="28" t="str">
        <f t="shared" si="3"/>
        <v>STREET LIGHTING SERVICE CLASSIFICATION</v>
      </c>
      <c r="C44" s="44"/>
      <c r="D44" s="85" t="s">
        <v>72</v>
      </c>
      <c r="E44" s="46"/>
      <c r="F44" s="55"/>
      <c r="G44" s="68"/>
      <c r="H44" s="86"/>
      <c r="I44" s="56"/>
      <c r="J44" s="69"/>
      <c r="K44" s="52"/>
      <c r="L44" s="53"/>
      <c r="M44" s="54"/>
    </row>
    <row r="45" spans="1:14" hidden="1" x14ac:dyDescent="0.2">
      <c r="A45" s="28" t="str">
        <f t="shared" si="3"/>
        <v>STREET LIGHTING SERVICE CLASSIFICATION</v>
      </c>
      <c r="B45" s="28" t="s">
        <v>28</v>
      </c>
      <c r="C45" s="44"/>
      <c r="D45" s="87" t="s">
        <v>73</v>
      </c>
      <c r="E45" s="46"/>
      <c r="F45" s="88">
        <v>8.2000000000000003E-2</v>
      </c>
      <c r="G45" s="89">
        <f>IF(AND(E14*12&gt;=150000),0.64*E14*E16,0.64*E14)</f>
        <v>190080.3901248</v>
      </c>
      <c r="H45" s="86">
        <f t="shared" si="5"/>
        <v>15586.591990233601</v>
      </c>
      <c r="I45" s="90">
        <v>8.2000000000000003E-2</v>
      </c>
      <c r="J45" s="91">
        <f>IF(AND(E14*12&gt;=150000),0.64*E14*E17,0.64*E14)</f>
        <v>190080.3901248</v>
      </c>
      <c r="K45" s="52">
        <f t="shared" si="6"/>
        <v>15586.591990233601</v>
      </c>
      <c r="L45" s="53">
        <f>K45-H45</f>
        <v>0</v>
      </c>
      <c r="M45" s="54">
        <f t="shared" si="7"/>
        <v>0</v>
      </c>
    </row>
    <row r="46" spans="1:14" hidden="1" x14ac:dyDescent="0.2">
      <c r="A46" s="28" t="str">
        <f t="shared" si="3"/>
        <v>STREET LIGHTING SERVICE CLASSIFICATION</v>
      </c>
      <c r="B46" s="28" t="s">
        <v>28</v>
      </c>
      <c r="C46" s="44"/>
      <c r="D46" s="87" t="s">
        <v>74</v>
      </c>
      <c r="E46" s="46"/>
      <c r="F46" s="88">
        <v>0.113</v>
      </c>
      <c r="G46" s="89">
        <f>IF(AND(E14*12&gt;=150000),0.18*E14*E16,0.18*E14)</f>
        <v>53460.109722599991</v>
      </c>
      <c r="H46" s="86">
        <f t="shared" si="5"/>
        <v>6040.9923986537988</v>
      </c>
      <c r="I46" s="90">
        <v>0.113</v>
      </c>
      <c r="J46" s="91">
        <f>IF(AND(E14*12&gt;=150000),0.18*E14*E17,0.18*E14)</f>
        <v>53460.109722599991</v>
      </c>
      <c r="K46" s="52">
        <f t="shared" si="6"/>
        <v>6040.9923986537988</v>
      </c>
      <c r="L46" s="53">
        <f>K46-H46</f>
        <v>0</v>
      </c>
      <c r="M46" s="54">
        <f t="shared" si="7"/>
        <v>0</v>
      </c>
    </row>
    <row r="47" spans="1:14" hidden="1" x14ac:dyDescent="0.2">
      <c r="A47" s="28" t="str">
        <f t="shared" si="3"/>
        <v>STREET LIGHTING SERVICE CLASSIFICATION</v>
      </c>
      <c r="B47" s="28" t="s">
        <v>28</v>
      </c>
      <c r="C47" s="44"/>
      <c r="D47" s="28" t="s">
        <v>75</v>
      </c>
      <c r="E47" s="46"/>
      <c r="F47" s="88">
        <v>0.17</v>
      </c>
      <c r="G47" s="89">
        <f>IF(AND(E14*12&gt;=150000),0.18*E14*E16,0.18*E14)</f>
        <v>53460.109722599991</v>
      </c>
      <c r="H47" s="86">
        <f t="shared" si="5"/>
        <v>9088.2186528419988</v>
      </c>
      <c r="I47" s="90">
        <v>0.17</v>
      </c>
      <c r="J47" s="91">
        <f>IF(AND(E14*12&gt;=150000),0.18*E14*E17,0.18*E14)</f>
        <v>53460.109722599991</v>
      </c>
      <c r="K47" s="52">
        <f t="shared" si="6"/>
        <v>9088.2186528419988</v>
      </c>
      <c r="L47" s="53">
        <f>K47-H47</f>
        <v>0</v>
      </c>
      <c r="M47" s="54">
        <f t="shared" si="7"/>
        <v>0</v>
      </c>
    </row>
    <row r="48" spans="1:14" ht="13.5" thickBot="1" x14ac:dyDescent="0.25">
      <c r="A48" s="28" t="str">
        <f t="shared" si="3"/>
        <v>STREET LIGHTING SERVICE CLASSIFICATION</v>
      </c>
      <c r="B48" s="28" t="s">
        <v>30</v>
      </c>
      <c r="C48" s="44"/>
      <c r="D48" s="87" t="s">
        <v>76</v>
      </c>
      <c r="E48" s="46"/>
      <c r="F48" s="92">
        <v>9.6699999999999994E-2</v>
      </c>
      <c r="G48" s="89">
        <f>IF(AND(E14*12&gt;=150000),E14*E16,E14)</f>
        <v>297000.60956999997</v>
      </c>
      <c r="H48" s="86">
        <f>G48*F48</f>
        <v>28719.958945418995</v>
      </c>
      <c r="I48" s="93">
        <f>F48</f>
        <v>9.6699999999999994E-2</v>
      </c>
      <c r="J48" s="91">
        <f>IF(AND(E14*12&gt;=150000),E14*E17,E14)</f>
        <v>297000.60956999997</v>
      </c>
      <c r="K48" s="52">
        <f>J48*I48</f>
        <v>28719.958945418995</v>
      </c>
      <c r="L48" s="53">
        <f>K48-H48</f>
        <v>0</v>
      </c>
      <c r="M48" s="54">
        <f t="shared" si="7"/>
        <v>0</v>
      </c>
    </row>
    <row r="49" spans="1:13" ht="13.5" hidden="1" thickBot="1" x14ac:dyDescent="0.25">
      <c r="A49" s="28" t="str">
        <f t="shared" si="3"/>
        <v>STREET LIGHTING SERVICE CLASSIFICATION</v>
      </c>
      <c r="B49" s="28" t="s">
        <v>29</v>
      </c>
      <c r="C49" s="44"/>
      <c r="D49" s="87" t="s">
        <v>77</v>
      </c>
      <c r="E49" s="46"/>
      <c r="F49" s="92">
        <v>9.6699999999999994E-2</v>
      </c>
      <c r="G49" s="89">
        <f>IF(AND(E14*12&gt;=150000),E14*E16,E14)</f>
        <v>297000.60956999997</v>
      </c>
      <c r="H49" s="86">
        <f>G49*F49</f>
        <v>28719.958945418995</v>
      </c>
      <c r="I49" s="93">
        <f>F49</f>
        <v>9.6699999999999994E-2</v>
      </c>
      <c r="J49" s="91">
        <f>IF(AND(E14*12&gt;=150000),E14*E17,E14)</f>
        <v>297000.60956999997</v>
      </c>
      <c r="K49" s="52">
        <f>J49*I49</f>
        <v>28719.958945418995</v>
      </c>
      <c r="L49" s="53">
        <f>K49-H49</f>
        <v>0</v>
      </c>
      <c r="M49" s="54">
        <f t="shared" si="7"/>
        <v>0</v>
      </c>
    </row>
    <row r="50" spans="1:13" ht="13.5" thickBot="1" x14ac:dyDescent="0.25">
      <c r="A50" s="28" t="str">
        <f t="shared" si="3"/>
        <v>STREET LIGHTING SERVICE CLASSIFICATION</v>
      </c>
      <c r="C50" s="44"/>
      <c r="D50" s="94"/>
      <c r="E50" s="95"/>
      <c r="F50" s="96"/>
      <c r="G50" s="97"/>
      <c r="H50" s="98"/>
      <c r="I50" s="96"/>
      <c r="J50" s="99"/>
      <c r="K50" s="98"/>
      <c r="L50" s="100"/>
      <c r="M50" s="101"/>
    </row>
    <row r="51" spans="1:13" hidden="1" x14ac:dyDescent="0.2">
      <c r="A51" s="28" t="str">
        <f t="shared" si="3"/>
        <v>STREET LIGHTING SERVICE CLASSIFICATION</v>
      </c>
      <c r="B51" s="28" t="s">
        <v>28</v>
      </c>
      <c r="C51" s="44"/>
      <c r="D51" s="102" t="s">
        <v>78</v>
      </c>
      <c r="E51" s="87"/>
      <c r="F51" s="103"/>
      <c r="G51" s="104"/>
      <c r="H51" s="105">
        <f>SUM(H41:H47,H40)</f>
        <v>53299.871647052401</v>
      </c>
      <c r="I51" s="106"/>
      <c r="J51" s="106"/>
      <c r="K51" s="105">
        <f>SUM(K41:K47,K40)</f>
        <v>86973.7617625524</v>
      </c>
      <c r="L51" s="107">
        <f>K51-H51</f>
        <v>33673.890115499999</v>
      </c>
      <c r="M51" s="108">
        <f>IF((H51)=0,"",(L51/H51))</f>
        <v>0.63178182376283898</v>
      </c>
    </row>
    <row r="52" spans="1:13" hidden="1" x14ac:dyDescent="0.2">
      <c r="A52" s="28" t="str">
        <f t="shared" si="3"/>
        <v>STREET LIGHTING SERVICE CLASSIFICATION</v>
      </c>
      <c r="B52" s="28" t="s">
        <v>28</v>
      </c>
      <c r="C52" s="44"/>
      <c r="D52" s="109" t="s">
        <v>79</v>
      </c>
      <c r="E52" s="87"/>
      <c r="F52" s="103">
        <v>0.13</v>
      </c>
      <c r="G52" s="110"/>
      <c r="H52" s="111">
        <f>H51*F52</f>
        <v>6928.9833141168128</v>
      </c>
      <c r="I52" s="112">
        <v>0.13</v>
      </c>
      <c r="J52" s="48"/>
      <c r="K52" s="111">
        <f>K51*I52</f>
        <v>11306.589029131812</v>
      </c>
      <c r="L52" s="53">
        <f>K52-H52</f>
        <v>4377.6057150149991</v>
      </c>
      <c r="M52" s="113">
        <f>IF((H52)=0,"",(L52/H52))</f>
        <v>0.63178182376283887</v>
      </c>
    </row>
    <row r="53" spans="1:13" ht="15" hidden="1" x14ac:dyDescent="0.25">
      <c r="A53" s="28" t="str">
        <f t="shared" si="3"/>
        <v>STREET LIGHTING SERVICE CLASSIFICATION</v>
      </c>
      <c r="B53" s="28" t="s">
        <v>28</v>
      </c>
      <c r="C53" s="44"/>
      <c r="D53" s="109" t="s">
        <v>80</v>
      </c>
      <c r="E53"/>
      <c r="F53" s="114">
        <v>0.17</v>
      </c>
      <c r="G53" s="110"/>
      <c r="H53" s="111">
        <f>IF(OR(ISNUMBER(SEARCH("[DGEN]", E12))=TRUE, ISNUMBER(SEARCH("STREET LIGHT", E12))=TRUE), 0, IF(AND(E14=0, E15=0),0, IF(AND(E15=0, E14*12&gt;250000), 0, IF(AND(E14=0, E15&gt;=50), 0, IF(E14*12&lt;=250000, F53*H51*-1, IF(E15&lt;50, F53*H51*-1, 0))))))</f>
        <v>0</v>
      </c>
      <c r="I53" s="114">
        <v>0.17</v>
      </c>
      <c r="J53" s="48"/>
      <c r="K53" s="111">
        <f>IF(OR(ISNUMBER(SEARCH("[DGEN]", E12))=TRUE, ISNUMBER(SEARCH("STREET LIGHT", E12))=TRUE), 0, IF(AND(E14=0, E15=0),0, IF(AND(E15=0, E14*12&gt;250000), 0, IF(AND(E14=0, E15&gt;=50), 0, IF(E14*12&lt;=250000, I53*K51*-1, IF(E15&lt;50, I53*K51*-1, 0))))))</f>
        <v>0</v>
      </c>
      <c r="L53" s="53">
        <f>K53-H53</f>
        <v>0</v>
      </c>
      <c r="M53" s="113"/>
    </row>
    <row r="54" spans="1:13" hidden="1" x14ac:dyDescent="0.2">
      <c r="A54" s="28" t="str">
        <f t="shared" si="3"/>
        <v>STREET LIGHTING SERVICE CLASSIFICATION</v>
      </c>
      <c r="B54" s="28" t="s">
        <v>81</v>
      </c>
      <c r="C54" s="44"/>
      <c r="D54" s="152" t="s">
        <v>82</v>
      </c>
      <c r="E54" s="152"/>
      <c r="F54" s="115"/>
      <c r="G54" s="116"/>
      <c r="H54" s="117">
        <f>H51+H52+H53</f>
        <v>60228.854961169214</v>
      </c>
      <c r="I54" s="118"/>
      <c r="J54" s="118"/>
      <c r="K54" s="119">
        <f>K51+K52+K53</f>
        <v>98280.350791684206</v>
      </c>
      <c r="L54" s="120">
        <f>K54-H54</f>
        <v>38051.495830514992</v>
      </c>
      <c r="M54" s="121">
        <f>IF((H54)=0,"",(L54/H54))</f>
        <v>0.63178182376283887</v>
      </c>
    </row>
    <row r="55" spans="1:13" ht="13.5" hidden="1" thickBot="1" x14ac:dyDescent="0.25">
      <c r="A55" s="28" t="str">
        <f t="shared" si="3"/>
        <v>STREET LIGHTING SERVICE CLASSIFICATION</v>
      </c>
      <c r="B55" s="28" t="s">
        <v>28</v>
      </c>
      <c r="C55" s="44"/>
      <c r="D55" s="94"/>
      <c r="E55" s="95"/>
      <c r="F55" s="96"/>
      <c r="G55" s="97"/>
      <c r="H55" s="98"/>
      <c r="I55" s="96"/>
      <c r="J55" s="99"/>
      <c r="K55" s="98"/>
      <c r="L55" s="100"/>
      <c r="M55" s="101"/>
    </row>
    <row r="56" spans="1:13" x14ac:dyDescent="0.2">
      <c r="A56" s="28" t="str">
        <f t="shared" si="3"/>
        <v>STREET LIGHTING SERVICE CLASSIFICATION</v>
      </c>
      <c r="B56" s="28" t="s">
        <v>30</v>
      </c>
      <c r="C56" s="44"/>
      <c r="D56" s="102" t="s">
        <v>83</v>
      </c>
      <c r="E56" s="87"/>
      <c r="F56" s="103"/>
      <c r="G56" s="104"/>
      <c r="H56" s="105">
        <f>SUM(H48,H41:H44,H40)</f>
        <v>51304.027550741994</v>
      </c>
      <c r="I56" s="106"/>
      <c r="J56" s="106"/>
      <c r="K56" s="105">
        <f>SUM(K48,K41:K44,K40)</f>
        <v>84977.917666241992</v>
      </c>
      <c r="L56" s="107">
        <f>K56-H56</f>
        <v>33673.890115499999</v>
      </c>
      <c r="M56" s="108">
        <f>IF((H56)=0,"",(L56/H56))</f>
        <v>0.65635958272856854</v>
      </c>
    </row>
    <row r="57" spans="1:13" x14ac:dyDescent="0.2">
      <c r="A57" s="28" t="str">
        <f t="shared" si="3"/>
        <v>STREET LIGHTING SERVICE CLASSIFICATION</v>
      </c>
      <c r="B57" s="28" t="s">
        <v>30</v>
      </c>
      <c r="C57" s="44"/>
      <c r="D57" s="109" t="s">
        <v>79</v>
      </c>
      <c r="E57" s="87"/>
      <c r="F57" s="103">
        <v>0.13</v>
      </c>
      <c r="G57" s="104"/>
      <c r="H57" s="111">
        <f>H56*F57</f>
        <v>6669.5235815964597</v>
      </c>
      <c r="I57" s="103">
        <v>0.13</v>
      </c>
      <c r="J57" s="112"/>
      <c r="K57" s="111">
        <f>K56*I57</f>
        <v>11047.12929661146</v>
      </c>
      <c r="L57" s="53">
        <f>K57-H57</f>
        <v>4377.605715015</v>
      </c>
      <c r="M57" s="113">
        <f>IF((H57)=0,"",(L57/H57))</f>
        <v>0.65635958272856854</v>
      </c>
    </row>
    <row r="58" spans="1:13" ht="15" x14ac:dyDescent="0.25">
      <c r="A58" s="28" t="str">
        <f t="shared" si="3"/>
        <v>STREET LIGHTING SERVICE CLASSIFICATION</v>
      </c>
      <c r="B58" s="28" t="s">
        <v>30</v>
      </c>
      <c r="C58" s="44"/>
      <c r="D58" s="109" t="s">
        <v>80</v>
      </c>
      <c r="E58"/>
      <c r="F58" s="114">
        <v>0.17</v>
      </c>
      <c r="G58" s="104"/>
      <c r="H58" s="111">
        <f>IF(OR(ISNUMBER(SEARCH("[DGEN]", E12))=TRUE, ISNUMBER(SEARCH("STREET LIGHT", E12))=TRUE), 0, IF(AND(E14=0, E15=0),0, IF(AND(E15=0, E14*12&gt;250000), 0, IF(AND(E14=0, E15&gt;=50), 0, IF(E14*12&lt;=250000, F58*H56*-1, IF(E15&lt;50, F58*H56*-1, 0))))))</f>
        <v>0</v>
      </c>
      <c r="I58" s="114">
        <v>0.17</v>
      </c>
      <c r="J58" s="112"/>
      <c r="K58" s="111">
        <f>IF(OR(ISNUMBER(SEARCH("[DGEN]", E12))=TRUE, ISNUMBER(SEARCH("STREET LIGHT", E12))=TRUE), 0, IF(AND(E14=0, E15=0),0, IF(AND(E15=0, E14*12&gt;250000), 0, IF(AND(E14=0, E15&gt;=50), 0, IF(E14*12&lt;=250000, I58*K56*-1, IF(E15&lt;50, I58*K56*-1, 0))))))</f>
        <v>0</v>
      </c>
      <c r="L58" s="53"/>
      <c r="M58" s="113"/>
    </row>
    <row r="59" spans="1:13" ht="13.5" thickBot="1" x14ac:dyDescent="0.25">
      <c r="A59" s="28" t="str">
        <f t="shared" si="3"/>
        <v>STREET LIGHTING SERVICE CLASSIFICATION</v>
      </c>
      <c r="B59" s="28" t="s">
        <v>84</v>
      </c>
      <c r="C59" s="44" t="e">
        <f>#REF!</f>
        <v>#REF!</v>
      </c>
      <c r="D59" s="152" t="s">
        <v>83</v>
      </c>
      <c r="E59" s="152"/>
      <c r="F59" s="122"/>
      <c r="G59" s="123"/>
      <c r="H59" s="117">
        <f>SUM(H56,H57)</f>
        <v>57973.551132338456</v>
      </c>
      <c r="I59" s="124"/>
      <c r="J59" s="124"/>
      <c r="K59" s="117">
        <f>SUM(K56,K57)</f>
        <v>96025.046962853448</v>
      </c>
      <c r="L59" s="125">
        <f>K59-H59</f>
        <v>38051.495830514992</v>
      </c>
      <c r="M59" s="126">
        <f>IF((H59)=0,"",(L59/H59))</f>
        <v>0.65635958272856842</v>
      </c>
    </row>
    <row r="60" spans="1:13" ht="13.5" thickBot="1" x14ac:dyDescent="0.25">
      <c r="A60" s="28" t="str">
        <f t="shared" si="3"/>
        <v>STREET LIGHTING SERVICE CLASSIFICATION</v>
      </c>
      <c r="B60" s="28" t="s">
        <v>30</v>
      </c>
      <c r="C60" s="44"/>
      <c r="D60" s="94"/>
      <c r="E60" s="95"/>
      <c r="F60" s="127"/>
      <c r="G60" s="128"/>
      <c r="H60" s="129"/>
      <c r="I60" s="127"/>
      <c r="J60" s="97"/>
      <c r="K60" s="129"/>
      <c r="L60" s="130"/>
      <c r="M60" s="101"/>
    </row>
    <row r="61" spans="1:13" hidden="1" x14ac:dyDescent="0.2">
      <c r="A61" s="28" t="str">
        <f t="shared" si="3"/>
        <v>STREET LIGHTING SERVICE CLASSIFICATION</v>
      </c>
      <c r="B61" s="28" t="s">
        <v>29</v>
      </c>
      <c r="C61" s="44"/>
      <c r="D61" s="102" t="s">
        <v>85</v>
      </c>
      <c r="E61" s="87"/>
      <c r="F61" s="103"/>
      <c r="G61" s="104"/>
      <c r="H61" s="105">
        <f>SUM(H49,H41:H44,H40)</f>
        <v>51304.027550741994</v>
      </c>
      <c r="I61" s="106"/>
      <c r="J61" s="106"/>
      <c r="K61" s="105">
        <f>SUM(K49,K41:K44,K40)</f>
        <v>84977.917666241992</v>
      </c>
      <c r="L61" s="107">
        <f>K61-H61</f>
        <v>33673.890115499999</v>
      </c>
      <c r="M61" s="108">
        <f>IF((H61)=0,"",(L61/H61))</f>
        <v>0.65635958272856854</v>
      </c>
    </row>
    <row r="62" spans="1:13" hidden="1" x14ac:dyDescent="0.2">
      <c r="A62" s="28" t="str">
        <f t="shared" si="3"/>
        <v>STREET LIGHTING SERVICE CLASSIFICATION</v>
      </c>
      <c r="B62" s="28" t="s">
        <v>29</v>
      </c>
      <c r="C62" s="44"/>
      <c r="D62" s="109" t="s">
        <v>79</v>
      </c>
      <c r="E62" s="87"/>
      <c r="F62" s="103">
        <v>0.13</v>
      </c>
      <c r="G62" s="104"/>
      <c r="H62" s="111">
        <f>H61*F62</f>
        <v>6669.5235815964597</v>
      </c>
      <c r="I62" s="103">
        <v>0.13</v>
      </c>
      <c r="J62" s="112"/>
      <c r="K62" s="111">
        <f>K61*I62</f>
        <v>11047.12929661146</v>
      </c>
      <c r="L62" s="53">
        <f>K62-H62</f>
        <v>4377.605715015</v>
      </c>
      <c r="M62" s="113">
        <f>IF((H62)=0,"",(L62/H62))</f>
        <v>0.65635958272856854</v>
      </c>
    </row>
    <row r="63" spans="1:13" ht="15" hidden="1" x14ac:dyDescent="0.25">
      <c r="A63" s="28" t="str">
        <f t="shared" si="3"/>
        <v>STREET LIGHTING SERVICE CLASSIFICATION</v>
      </c>
      <c r="B63" s="28" t="s">
        <v>29</v>
      </c>
      <c r="C63" s="44"/>
      <c r="D63" s="109" t="s">
        <v>80</v>
      </c>
      <c r="E63"/>
      <c r="F63" s="114">
        <v>0.17</v>
      </c>
      <c r="G63" s="104"/>
      <c r="H63" s="111">
        <f>IF(OR(ISNUMBER(SEARCH("[DGEN]", E12))=TRUE, ISNUMBER(SEARCH("STREET LIGHT", E12))=TRUE), 0, IF(AND(E14=0, E15=0),0, IF(AND(E15=0, E14*12&gt;250000), 0, IF(AND(E14=0, E15&gt;=50), 0, IF(E14*12&lt;=250000, F63*H61*-1, IF(E15&lt;50, F63*H61*-1, 0))))))</f>
        <v>0</v>
      </c>
      <c r="I63" s="114">
        <v>0.17</v>
      </c>
      <c r="J63" s="112"/>
      <c r="K63" s="111">
        <f>IF(OR(ISNUMBER(SEARCH("[DGEN]", E12))=TRUE, ISNUMBER(SEARCH("STREET LIGHT", E12))=TRUE), 0, IF(AND(E14=0, E15=0),0, IF(AND(E15=0, E14*12&gt;250000), 0, IF(AND(E14=0, E15&gt;=50), 0, IF(E14*12&lt;=250000, I63*K61*-1, IF(E15&lt;50, I63*K61*-1, 0))))))</f>
        <v>0</v>
      </c>
      <c r="L63" s="53"/>
      <c r="M63" s="113"/>
    </row>
    <row r="64" spans="1:13" hidden="1" x14ac:dyDescent="0.2">
      <c r="A64" s="28" t="str">
        <f t="shared" si="3"/>
        <v>STREET LIGHTING SERVICE CLASSIFICATION</v>
      </c>
      <c r="B64" s="28" t="s">
        <v>86</v>
      </c>
      <c r="C64" s="44"/>
      <c r="D64" s="152" t="s">
        <v>85</v>
      </c>
      <c r="E64" s="152"/>
      <c r="F64" s="122"/>
      <c r="G64" s="123"/>
      <c r="H64" s="117">
        <f>SUM(H61,H62)</f>
        <v>57973.551132338456</v>
      </c>
      <c r="I64" s="124"/>
      <c r="J64" s="124"/>
      <c r="K64" s="117">
        <f>SUM(K61,K62)</f>
        <v>96025.046962853448</v>
      </c>
      <c r="L64" s="125">
        <f>K64-H64</f>
        <v>38051.495830514992</v>
      </c>
      <c r="M64" s="126">
        <f>IF((H64)=0,"",(L64/H64))</f>
        <v>0.65635958272856842</v>
      </c>
    </row>
    <row r="65" spans="1:20" ht="13.5" hidden="1" thickBot="1" x14ac:dyDescent="0.25">
      <c r="A65" s="28" t="str">
        <f t="shared" si="3"/>
        <v>STREET LIGHTING SERVICE CLASSIFICATION</v>
      </c>
      <c r="B65" s="28" t="s">
        <v>29</v>
      </c>
      <c r="C65" s="44"/>
      <c r="D65" s="94"/>
      <c r="E65" s="95"/>
      <c r="F65" s="131"/>
      <c r="G65" s="128"/>
      <c r="H65" s="132"/>
      <c r="I65" s="131"/>
      <c r="J65" s="97"/>
      <c r="K65" s="132"/>
      <c r="L65" s="130"/>
      <c r="M65" s="133"/>
    </row>
    <row r="67" spans="1:20" x14ac:dyDescent="0.2">
      <c r="C67" s="28"/>
      <c r="D67" s="30" t="s">
        <v>32</v>
      </c>
      <c r="E67" s="163" t="str">
        <f>E12</f>
        <v>STREET LIGHTING SERVICE CLASSIFICATION</v>
      </c>
      <c r="F67" s="163"/>
      <c r="G67" s="163"/>
      <c r="H67" s="163"/>
      <c r="I67" s="163"/>
      <c r="J67" s="163"/>
      <c r="T67" s="28" t="s">
        <v>31</v>
      </c>
    </row>
    <row r="68" spans="1:20" x14ac:dyDescent="0.2">
      <c r="C68" s="28"/>
      <c r="D68" s="30" t="s">
        <v>33</v>
      </c>
      <c r="E68" s="164" t="str">
        <f>E13</f>
        <v>Non-RPP (Other)</v>
      </c>
      <c r="F68" s="164"/>
      <c r="G68" s="164"/>
      <c r="H68" s="31"/>
      <c r="I68" s="31"/>
    </row>
    <row r="69" spans="1:20" ht="15.75" x14ac:dyDescent="0.2">
      <c r="C69" s="28"/>
      <c r="D69" s="30" t="s">
        <v>34</v>
      </c>
      <c r="E69" s="32">
        <f>E14</f>
        <v>289474.27833333332</v>
      </c>
      <c r="F69" s="33" t="s">
        <v>14</v>
      </c>
      <c r="J69" s="34"/>
      <c r="K69" s="34"/>
      <c r="L69" s="34"/>
      <c r="M69" s="34"/>
      <c r="N69" s="34"/>
    </row>
    <row r="70" spans="1:20" ht="15.75" x14ac:dyDescent="0.25">
      <c r="C70" s="28"/>
      <c r="D70" s="30" t="s">
        <v>35</v>
      </c>
      <c r="E70" s="32">
        <f>E15</f>
        <v>808.22500000000002</v>
      </c>
      <c r="F70" s="35" t="s">
        <v>17</v>
      </c>
      <c r="G70" s="36"/>
      <c r="H70" s="37"/>
      <c r="I70" s="37"/>
      <c r="J70" s="37"/>
    </row>
    <row r="71" spans="1:20" x14ac:dyDescent="0.2">
      <c r="C71" s="28"/>
      <c r="D71" s="30" t="s">
        <v>36</v>
      </c>
      <c r="E71" s="38">
        <f t="shared" ref="E71:E72" si="10">E16</f>
        <v>1.026</v>
      </c>
    </row>
    <row r="72" spans="1:20" x14ac:dyDescent="0.2">
      <c r="C72" s="28"/>
      <c r="D72" s="30" t="s">
        <v>37</v>
      </c>
      <c r="E72" s="38">
        <f t="shared" si="10"/>
        <v>1.026</v>
      </c>
    </row>
    <row r="73" spans="1:20" x14ac:dyDescent="0.2">
      <c r="C73" s="28"/>
    </row>
    <row r="74" spans="1:20" x14ac:dyDescent="0.2">
      <c r="C74" s="28"/>
      <c r="E74" s="33"/>
      <c r="F74" s="153" t="s">
        <v>38</v>
      </c>
      <c r="G74" s="154"/>
      <c r="H74" s="155"/>
      <c r="I74" s="153" t="s">
        <v>39</v>
      </c>
      <c r="J74" s="154"/>
      <c r="K74" s="155"/>
      <c r="L74" s="153" t="s">
        <v>40</v>
      </c>
      <c r="M74" s="155"/>
    </row>
    <row r="75" spans="1:20" x14ac:dyDescent="0.2">
      <c r="C75" s="28"/>
      <c r="E75" s="156"/>
      <c r="F75" s="39" t="s">
        <v>41</v>
      </c>
      <c r="G75" s="39" t="s">
        <v>42</v>
      </c>
      <c r="H75" s="40" t="s">
        <v>43</v>
      </c>
      <c r="I75" s="39" t="s">
        <v>41</v>
      </c>
      <c r="J75" s="41" t="s">
        <v>42</v>
      </c>
      <c r="K75" s="40" t="s">
        <v>43</v>
      </c>
      <c r="L75" s="158" t="s">
        <v>44</v>
      </c>
      <c r="M75" s="160" t="s">
        <v>45</v>
      </c>
    </row>
    <row r="76" spans="1:20" x14ac:dyDescent="0.2">
      <c r="C76" s="28"/>
      <c r="E76" s="157"/>
      <c r="F76" s="42" t="s">
        <v>46</v>
      </c>
      <c r="G76" s="42"/>
      <c r="H76" s="43" t="s">
        <v>46</v>
      </c>
      <c r="I76" s="42" t="s">
        <v>46</v>
      </c>
      <c r="J76" s="43"/>
      <c r="K76" s="43" t="s">
        <v>46</v>
      </c>
      <c r="L76" s="159"/>
      <c r="M76" s="161"/>
    </row>
    <row r="77" spans="1:20" x14ac:dyDescent="0.2">
      <c r="A77" s="28" t="str">
        <f>$E67</f>
        <v>STREET LIGHTING SERVICE CLASSIFICATION</v>
      </c>
      <c r="C77" s="44"/>
      <c r="D77" s="45" t="s">
        <v>47</v>
      </c>
      <c r="E77" s="46"/>
      <c r="F77" s="47">
        <v>0.47</v>
      </c>
      <c r="G77" s="167">
        <v>13780</v>
      </c>
      <c r="H77" s="49">
        <f>G77*F77</f>
        <v>6476.5999999999995</v>
      </c>
      <c r="I77" s="50">
        <v>0.48</v>
      </c>
      <c r="J77" s="166">
        <v>13780</v>
      </c>
      <c r="K77" s="52">
        <f>J77*I77</f>
        <v>6614.4</v>
      </c>
      <c r="L77" s="53">
        <f t="shared" ref="L77:L78" si="11">K77-H77</f>
        <v>137.80000000000018</v>
      </c>
      <c r="M77" s="54">
        <f>IF(ISERROR(L77/H77), "", L77/H77)</f>
        <v>2.1276595744680882E-2</v>
      </c>
    </row>
    <row r="78" spans="1:20" x14ac:dyDescent="0.2">
      <c r="A78" s="28" t="str">
        <f>A77</f>
        <v>STREET LIGHTING SERVICE CLASSIFICATION</v>
      </c>
      <c r="C78" s="44"/>
      <c r="D78" s="45" t="s">
        <v>48</v>
      </c>
      <c r="E78" s="46"/>
      <c r="F78" s="55">
        <v>11.1096</v>
      </c>
      <c r="G78" s="48">
        <f>IF($E70&gt;0, $E70, $E69)</f>
        <v>808.22500000000002</v>
      </c>
      <c r="H78" s="49">
        <f t="shared" ref="H78" si="12">G78*F78</f>
        <v>8979.0564599999998</v>
      </c>
      <c r="I78" s="56">
        <v>11.4429</v>
      </c>
      <c r="J78" s="51">
        <f>IF($E70&gt;0, $E70, $E69)</f>
        <v>808.22500000000002</v>
      </c>
      <c r="K78" s="52">
        <f>J78*I78</f>
        <v>9248.4378524999993</v>
      </c>
      <c r="L78" s="53">
        <f t="shared" si="11"/>
        <v>269.38139249999949</v>
      </c>
      <c r="M78" s="54">
        <f t="shared" ref="M78" si="13">IF(ISERROR(L78/H78), "", L78/H78)</f>
        <v>3.0001080146899922E-2</v>
      </c>
    </row>
    <row r="79" spans="1:20" hidden="1" x14ac:dyDescent="0.2">
      <c r="A79" s="28" t="str">
        <f t="shared" ref="A79:A115" si="14">A78</f>
        <v>STREET LIGHTING SERVICE CLASSIFICATION</v>
      </c>
      <c r="C79" s="44"/>
      <c r="D79" s="45" t="s">
        <v>49</v>
      </c>
      <c r="E79" s="46"/>
      <c r="F79" s="55"/>
      <c r="G79" s="48">
        <f>IF($E70&gt;0, $E70, $E69)</f>
        <v>808.22500000000002</v>
      </c>
      <c r="H79" s="49">
        <v>0</v>
      </c>
      <c r="I79" s="56"/>
      <c r="J79" s="51">
        <f>IF($E70&gt;0, $E70, $E69)</f>
        <v>808.22500000000002</v>
      </c>
      <c r="K79" s="52">
        <v>0</v>
      </c>
      <c r="L79" s="53"/>
      <c r="M79" s="54"/>
    </row>
    <row r="80" spans="1:20" hidden="1" x14ac:dyDescent="0.2">
      <c r="A80" s="28" t="str">
        <f t="shared" si="14"/>
        <v>STREET LIGHTING SERVICE CLASSIFICATION</v>
      </c>
      <c r="C80" s="44"/>
      <c r="D80" s="45" t="s">
        <v>50</v>
      </c>
      <c r="E80" s="46"/>
      <c r="F80" s="55"/>
      <c r="G80" s="48">
        <f>IF($E70&gt;0, $E70, $E69)</f>
        <v>808.22500000000002</v>
      </c>
      <c r="H80" s="49">
        <v>0</v>
      </c>
      <c r="I80" s="56"/>
      <c r="J80" s="57">
        <f>IF($E70&gt;0, $E70, $E69)</f>
        <v>808.22500000000002</v>
      </c>
      <c r="K80" s="52">
        <v>0</v>
      </c>
      <c r="L80" s="53">
        <f>K80-H80</f>
        <v>0</v>
      </c>
      <c r="M80" s="54" t="str">
        <f>IF(ISERROR(L80/H80), "", L80/H80)</f>
        <v/>
      </c>
    </row>
    <row r="81" spans="1:14" x14ac:dyDescent="0.2">
      <c r="A81" s="28" t="str">
        <f t="shared" si="14"/>
        <v>STREET LIGHTING SERVICE CLASSIFICATION</v>
      </c>
      <c r="C81" s="44"/>
      <c r="D81" s="45" t="s">
        <v>51</v>
      </c>
      <c r="E81" s="46"/>
      <c r="F81" s="47">
        <v>-0.01</v>
      </c>
      <c r="G81" s="167">
        <v>13780</v>
      </c>
      <c r="H81" s="49">
        <f t="shared" ref="H81:H82" si="15">G81*F81</f>
        <v>-137.80000000000001</v>
      </c>
      <c r="I81" s="50">
        <v>-0.01</v>
      </c>
      <c r="J81" s="166">
        <v>13780</v>
      </c>
      <c r="K81" s="52">
        <f t="shared" ref="K81:K82" si="16">J81*I81</f>
        <v>-137.80000000000001</v>
      </c>
      <c r="L81" s="53">
        <f t="shared" ref="L81:L83" si="17">K81-H81</f>
        <v>0</v>
      </c>
      <c r="M81" s="54">
        <f t="shared" ref="M81:M82" si="18">IF(ISERROR(L81/H81), "", L81/H81)</f>
        <v>0</v>
      </c>
    </row>
    <row r="82" spans="1:14" x14ac:dyDescent="0.2">
      <c r="A82" s="28" t="str">
        <f t="shared" si="14"/>
        <v>STREET LIGHTING SERVICE CLASSIFICATION</v>
      </c>
      <c r="C82" s="44"/>
      <c r="D82" s="45" t="s">
        <v>52</v>
      </c>
      <c r="E82" s="46"/>
      <c r="F82" s="55">
        <v>-1.6225000000000001</v>
      </c>
      <c r="G82" s="48">
        <f>IF($E70&gt;0, $E70, $E69)</f>
        <v>808.22500000000002</v>
      </c>
      <c r="H82" s="49">
        <f t="shared" si="15"/>
        <v>-1311.3450625</v>
      </c>
      <c r="I82" s="56">
        <f>+'7. Calculation of Def-Var RR'!J25</f>
        <v>17.7637</v>
      </c>
      <c r="J82" s="51">
        <f>IF($E70&gt;0, $E70, $E69)</f>
        <v>808.22500000000002</v>
      </c>
      <c r="K82" s="52">
        <f t="shared" si="16"/>
        <v>14357.0664325</v>
      </c>
      <c r="L82" s="53">
        <f t="shared" si="17"/>
        <v>15668.411495</v>
      </c>
      <c r="M82" s="54">
        <f t="shared" si="18"/>
        <v>-11.948351309707242</v>
      </c>
    </row>
    <row r="83" spans="1:14" x14ac:dyDescent="0.2">
      <c r="A83" s="28" t="str">
        <f t="shared" si="14"/>
        <v>STREET LIGHTING SERVICE CLASSIFICATION</v>
      </c>
      <c r="B83" s="28" t="s">
        <v>53</v>
      </c>
      <c r="C83" s="44" t="e">
        <f>#REF!</f>
        <v>#REF!</v>
      </c>
      <c r="D83" s="58" t="s">
        <v>54</v>
      </c>
      <c r="E83" s="59"/>
      <c r="F83" s="60"/>
      <c r="G83" s="61"/>
      <c r="H83" s="62">
        <f>SUM(H77:H82)</f>
        <v>14006.511397499999</v>
      </c>
      <c r="I83" s="63"/>
      <c r="J83" s="64"/>
      <c r="K83" s="62">
        <f>SUM(K77:K82)</f>
        <v>30082.104285000001</v>
      </c>
      <c r="L83" s="65">
        <f t="shared" si="17"/>
        <v>16075.592887500003</v>
      </c>
      <c r="M83" s="66">
        <f>IF((H83)=0,"",(L83/H83))</f>
        <v>1.1477228291385471</v>
      </c>
    </row>
    <row r="84" spans="1:14" x14ac:dyDescent="0.2">
      <c r="A84" s="28" t="str">
        <f t="shared" si="14"/>
        <v>STREET LIGHTING SERVICE CLASSIFICATION</v>
      </c>
      <c r="C84" s="44"/>
      <c r="D84" s="67" t="s">
        <v>55</v>
      </c>
      <c r="E84" s="46"/>
      <c r="F84" s="55">
        <f>IF((E69*12&gt;=150000), 0, IF(E68="RPP",(F100*0.64+F101*0.18+F102*0.18),IF(E68="Non-RPP (Retailer)",F103,F104)))</f>
        <v>0</v>
      </c>
      <c r="G84" s="68">
        <f>IF(F84=0, 0, $E69*E71-E69)</f>
        <v>0</v>
      </c>
      <c r="H84" s="49">
        <f>G84*F84</f>
        <v>0</v>
      </c>
      <c r="I84" s="56">
        <f>IF((E69*12&gt;=150000), 0, IF(E68="RPP",(I100*0.64+I101*0.18+I102*0.18),IF(E68="Non-RPP (Retailer)",I103,I104)))</f>
        <v>0</v>
      </c>
      <c r="J84" s="69">
        <f>IF(I84=0, 0, E69*E72-E69)</f>
        <v>0</v>
      </c>
      <c r="K84" s="52">
        <f>J84*I84</f>
        <v>0</v>
      </c>
      <c r="L84" s="53">
        <f>K84-H84</f>
        <v>0</v>
      </c>
      <c r="M84" s="54" t="str">
        <f>IF(ISERROR(L84/H84), "", L84/H84)</f>
        <v/>
      </c>
    </row>
    <row r="85" spans="1:14" ht="25.5" x14ac:dyDescent="0.2">
      <c r="A85" s="28" t="str">
        <f t="shared" si="14"/>
        <v>STREET LIGHTING SERVICE CLASSIFICATION</v>
      </c>
      <c r="C85" s="44"/>
      <c r="D85" s="67" t="s">
        <v>56</v>
      </c>
      <c r="E85" s="46"/>
      <c r="F85" s="55">
        <v>0.18360000000000001</v>
      </c>
      <c r="G85" s="70">
        <f>IF($E70&gt;0, $E70, $E69)</f>
        <v>808.22500000000002</v>
      </c>
      <c r="H85" s="49">
        <f t="shared" ref="H85" si="19">G85*F85</f>
        <v>148.39011000000002</v>
      </c>
      <c r="I85" s="56">
        <v>1.2901</v>
      </c>
      <c r="J85" s="71">
        <f>IF($E70&gt;0, $E70, $E69)</f>
        <v>808.22500000000002</v>
      </c>
      <c r="K85" s="52">
        <f t="shared" ref="K85" si="20">J85*I85</f>
        <v>1042.6910725</v>
      </c>
      <c r="L85" s="53">
        <f t="shared" ref="L85:L89" si="21">K85-H85</f>
        <v>894.30096249999997</v>
      </c>
      <c r="M85" s="54">
        <f t="shared" ref="M85:M88" si="22">IF(ISERROR(L85/H85), "", L85/H85)</f>
        <v>6.0266884531590401</v>
      </c>
    </row>
    <row r="86" spans="1:14" x14ac:dyDescent="0.2">
      <c r="A86" s="28" t="str">
        <f t="shared" si="14"/>
        <v>STREET LIGHTING SERVICE CLASSIFICATION</v>
      </c>
      <c r="C86" s="44"/>
      <c r="D86" s="67" t="s">
        <v>57</v>
      </c>
      <c r="E86" s="46"/>
      <c r="F86" s="55">
        <v>0</v>
      </c>
      <c r="G86" s="70">
        <f>IF($E70&gt;0, $E70, $E69)</f>
        <v>808.22500000000002</v>
      </c>
      <c r="H86" s="49">
        <f>G86*F86</f>
        <v>0</v>
      </c>
      <c r="I86" s="56">
        <v>-4.3900000000000002E-2</v>
      </c>
      <c r="J86" s="71">
        <f>IF($E70&gt;0, $E70, $E69)</f>
        <v>808.22500000000002</v>
      </c>
      <c r="K86" s="52">
        <f>J86*I86</f>
        <v>-35.481077500000005</v>
      </c>
      <c r="L86" s="53">
        <f t="shared" si="21"/>
        <v>-35.481077500000005</v>
      </c>
      <c r="M86" s="54" t="str">
        <f t="shared" si="22"/>
        <v/>
      </c>
    </row>
    <row r="87" spans="1:14" x14ac:dyDescent="0.2">
      <c r="A87" s="28" t="str">
        <f t="shared" si="14"/>
        <v>STREET LIGHTING SERVICE CLASSIFICATION</v>
      </c>
      <c r="C87" s="44"/>
      <c r="D87" s="67" t="s">
        <v>58</v>
      </c>
      <c r="E87" s="46"/>
      <c r="F87" s="55">
        <v>-2.0999999999999999E-3</v>
      </c>
      <c r="G87" s="70">
        <f>E69</f>
        <v>289474.27833333332</v>
      </c>
      <c r="H87" s="49">
        <f>G87*F87</f>
        <v>-607.89598449999994</v>
      </c>
      <c r="I87" s="56">
        <v>4.7999999999999996E-3</v>
      </c>
      <c r="J87" s="71">
        <f>E69</f>
        <v>289474.27833333332</v>
      </c>
      <c r="K87" s="52">
        <f t="shared" ref="K87:K88" si="23">J87*I87</f>
        <v>1389.4765359999999</v>
      </c>
      <c r="L87" s="53">
        <f t="shared" si="21"/>
        <v>1997.3725204999998</v>
      </c>
      <c r="M87" s="54">
        <f t="shared" si="22"/>
        <v>-3.2857142857142856</v>
      </c>
    </row>
    <row r="88" spans="1:14" x14ac:dyDescent="0.2">
      <c r="A88" s="28" t="str">
        <f t="shared" si="14"/>
        <v>STREET LIGHTING SERVICE CLASSIFICATION</v>
      </c>
      <c r="C88" s="44"/>
      <c r="D88" s="45" t="s">
        <v>59</v>
      </c>
      <c r="E88" s="46"/>
      <c r="F88" s="55">
        <v>1.0699999999999999E-2</v>
      </c>
      <c r="G88" s="70">
        <f>IF($E70&gt;0, $E70, $E69)</f>
        <v>808.22500000000002</v>
      </c>
      <c r="H88" s="49">
        <f t="shared" ref="H88" si="24">G88*F88</f>
        <v>8.6480075000000003</v>
      </c>
      <c r="I88" s="56">
        <v>1.0699999999999999E-2</v>
      </c>
      <c r="J88" s="71">
        <f>IF($E70&gt;0, $E70, $E69)</f>
        <v>808.22500000000002</v>
      </c>
      <c r="K88" s="52">
        <f t="shared" si="23"/>
        <v>8.6480075000000003</v>
      </c>
      <c r="L88" s="53">
        <f t="shared" si="21"/>
        <v>0</v>
      </c>
      <c r="M88" s="54">
        <f t="shared" si="22"/>
        <v>0</v>
      </c>
    </row>
    <row r="89" spans="1:14" ht="25.5" x14ac:dyDescent="0.2">
      <c r="A89" s="28" t="str">
        <f t="shared" si="14"/>
        <v>STREET LIGHTING SERVICE CLASSIFICATION</v>
      </c>
      <c r="C89" s="44"/>
      <c r="D89" s="67" t="s">
        <v>60</v>
      </c>
      <c r="E89" s="46"/>
      <c r="F89" s="72">
        <v>0</v>
      </c>
      <c r="G89" s="167">
        <v>13780</v>
      </c>
      <c r="H89" s="49">
        <f>G89*F89</f>
        <v>0</v>
      </c>
      <c r="I89" s="73">
        <v>0</v>
      </c>
      <c r="J89" s="168">
        <v>13780</v>
      </c>
      <c r="K89" s="52">
        <f>J89*I89</f>
        <v>0</v>
      </c>
      <c r="L89" s="53">
        <f t="shared" si="21"/>
        <v>0</v>
      </c>
      <c r="M89" s="54" t="str">
        <f>IF(ISERROR(L89/H89), "", L89/H89)</f>
        <v/>
      </c>
    </row>
    <row r="90" spans="1:14" x14ac:dyDescent="0.2">
      <c r="A90" s="28" t="str">
        <f t="shared" si="14"/>
        <v>STREET LIGHTING SERVICE CLASSIFICATION</v>
      </c>
      <c r="C90" s="44"/>
      <c r="D90" s="45" t="s">
        <v>61</v>
      </c>
      <c r="E90" s="46"/>
      <c r="F90" s="47">
        <v>0</v>
      </c>
      <c r="G90" s="167">
        <v>13780</v>
      </c>
      <c r="H90" s="49">
        <f t="shared" ref="H90" si="25">G90*F90</f>
        <v>0</v>
      </c>
      <c r="I90" s="50">
        <v>0</v>
      </c>
      <c r="J90" s="168">
        <v>13780</v>
      </c>
      <c r="K90" s="52">
        <f>J90*I90</f>
        <v>0</v>
      </c>
      <c r="L90" s="53">
        <f>K90-H90</f>
        <v>0</v>
      </c>
      <c r="M90" s="54" t="str">
        <f>IF(ISERROR(L90/H90), "", L90/H90)</f>
        <v/>
      </c>
    </row>
    <row r="91" spans="1:14" x14ac:dyDescent="0.2">
      <c r="A91" s="28" t="str">
        <f t="shared" si="14"/>
        <v>STREET LIGHTING SERVICE CLASSIFICATION</v>
      </c>
      <c r="C91" s="44"/>
      <c r="D91" s="45" t="s">
        <v>62</v>
      </c>
      <c r="E91" s="46"/>
      <c r="F91" s="55">
        <v>0</v>
      </c>
      <c r="G91" s="70">
        <f>IF($E70&gt;0, $E70, $E69)</f>
        <v>808.22500000000002</v>
      </c>
      <c r="H91" s="49">
        <f>G91*F91</f>
        <v>0</v>
      </c>
      <c r="I91" s="56">
        <v>0</v>
      </c>
      <c r="J91" s="71">
        <f>IF($E70&gt;0, $E70, $E69)</f>
        <v>808.22500000000002</v>
      </c>
      <c r="K91" s="52">
        <f>J91*I91</f>
        <v>0</v>
      </c>
      <c r="L91" s="53">
        <f t="shared" ref="L91:L97" si="26">K91-H91</f>
        <v>0</v>
      </c>
      <c r="M91" s="54" t="str">
        <f>IF(ISERROR(L91/H91), "", L91/H91)</f>
        <v/>
      </c>
    </row>
    <row r="92" spans="1:14" ht="25.5" x14ac:dyDescent="0.2">
      <c r="A92" s="28" t="str">
        <f t="shared" si="14"/>
        <v>STREET LIGHTING SERVICE CLASSIFICATION</v>
      </c>
      <c r="B92" s="28" t="s">
        <v>63</v>
      </c>
      <c r="C92" s="44" t="e">
        <f>#REF!</f>
        <v>#REF!</v>
      </c>
      <c r="D92" s="74" t="s">
        <v>64</v>
      </c>
      <c r="E92" s="75"/>
      <c r="F92" s="76"/>
      <c r="G92" s="77"/>
      <c r="H92" s="78">
        <f>SUM(H83:H91)</f>
        <v>13555.6535305</v>
      </c>
      <c r="I92" s="79"/>
      <c r="J92" s="80"/>
      <c r="K92" s="78">
        <f>SUM(K83:K91)</f>
        <v>32487.438823500001</v>
      </c>
      <c r="L92" s="65">
        <f t="shared" si="26"/>
        <v>18931.785293000001</v>
      </c>
      <c r="M92" s="66">
        <f>IF((H92)=0,"",(L92/H92))</f>
        <v>1.3965970176505169</v>
      </c>
    </row>
    <row r="93" spans="1:14" x14ac:dyDescent="0.2">
      <c r="A93" s="28" t="str">
        <f t="shared" si="14"/>
        <v>STREET LIGHTING SERVICE CLASSIFICATION</v>
      </c>
      <c r="C93" s="44"/>
      <c r="D93" s="81" t="s">
        <v>65</v>
      </c>
      <c r="E93" s="46"/>
      <c r="F93" s="55">
        <v>3.2023000000000001</v>
      </c>
      <c r="G93" s="68">
        <f>IF($E70&gt;0, $E70, $E69*$E71)</f>
        <v>808.22500000000002</v>
      </c>
      <c r="H93" s="49">
        <f>G93*F93</f>
        <v>2588.1789175000004</v>
      </c>
      <c r="I93" s="82">
        <v>3.5754000000000001</v>
      </c>
      <c r="J93" s="69">
        <f>IF($E70&gt;0, $E70, $E69*$E72)</f>
        <v>808.22500000000002</v>
      </c>
      <c r="K93" s="52">
        <f>J93*I93</f>
        <v>2889.7276650000003</v>
      </c>
      <c r="L93" s="53">
        <f t="shared" si="26"/>
        <v>301.54874749999999</v>
      </c>
      <c r="M93" s="54">
        <f>IF(ISERROR(L93/H93), "", L93/H93)</f>
        <v>0.11651000843143988</v>
      </c>
      <c r="N93" s="83" t="str">
        <f>IF(ISERROR(ABS(M93)), "", IF(ABS(M93)&gt;=4%, "In the manager's summary, discuss the reasoning for the change in RTSR rates", ""))</f>
        <v>In the manager's summary, discuss the reasoning for the change in RTSR rates</v>
      </c>
    </row>
    <row r="94" spans="1:14" ht="25.5" x14ac:dyDescent="0.2">
      <c r="A94" s="28" t="str">
        <f t="shared" si="14"/>
        <v>STREET LIGHTING SERVICE CLASSIFICATION</v>
      </c>
      <c r="C94" s="44"/>
      <c r="D94" s="84" t="s">
        <v>66</v>
      </c>
      <c r="E94" s="46"/>
      <c r="F94" s="55">
        <v>2.2728000000000002</v>
      </c>
      <c r="G94" s="68">
        <f>IF($E70&gt;0, $E70, $E69*$E71)</f>
        <v>808.22500000000002</v>
      </c>
      <c r="H94" s="49">
        <f>G94*F94</f>
        <v>1836.9337800000001</v>
      </c>
      <c r="I94" s="82">
        <v>2.3759999999999999</v>
      </c>
      <c r="J94" s="69">
        <f>IF($E70&gt;0, $E70, $E69*$E72)</f>
        <v>808.22500000000002</v>
      </c>
      <c r="K94" s="52">
        <f>J94*I94</f>
        <v>1920.3425999999999</v>
      </c>
      <c r="L94" s="53">
        <f t="shared" si="26"/>
        <v>83.408819999999878</v>
      </c>
      <c r="M94" s="54">
        <f>IF(ISERROR(L94/H94), "", L94/H94)</f>
        <v>4.5406546990496233E-2</v>
      </c>
      <c r="N94" s="83" t="str">
        <f>IF(ISERROR(ABS(M94)), "", IF(ABS(M94)&gt;=4%, "In the manager's summary, discuss the reasoning for the change in RTSR rates", ""))</f>
        <v>In the manager's summary, discuss the reasoning for the change in RTSR rates</v>
      </c>
    </row>
    <row r="95" spans="1:14" ht="25.5" x14ac:dyDescent="0.2">
      <c r="A95" s="28" t="str">
        <f t="shared" si="14"/>
        <v>STREET LIGHTING SERVICE CLASSIFICATION</v>
      </c>
      <c r="B95" s="28" t="s">
        <v>67</v>
      </c>
      <c r="C95" s="44" t="e">
        <f>#REF!</f>
        <v>#REF!</v>
      </c>
      <c r="D95" s="74" t="s">
        <v>68</v>
      </c>
      <c r="E95" s="59"/>
      <c r="F95" s="76"/>
      <c r="G95" s="77"/>
      <c r="H95" s="78">
        <f>SUM(H92:H94)</f>
        <v>17980.766228</v>
      </c>
      <c r="I95" s="79"/>
      <c r="J95" s="64"/>
      <c r="K95" s="78">
        <f>SUM(K92:K94)</f>
        <v>37297.509088499995</v>
      </c>
      <c r="L95" s="65">
        <f t="shared" si="26"/>
        <v>19316.742860499995</v>
      </c>
      <c r="M95" s="66">
        <f>IF((H95)=0,"",(L95/H95))</f>
        <v>1.0743003171032603</v>
      </c>
    </row>
    <row r="96" spans="1:14" ht="25.5" x14ac:dyDescent="0.2">
      <c r="A96" s="28" t="str">
        <f t="shared" si="14"/>
        <v>STREET LIGHTING SERVICE CLASSIFICATION</v>
      </c>
      <c r="C96" s="44"/>
      <c r="D96" s="85" t="s">
        <v>69</v>
      </c>
      <c r="E96" s="46"/>
      <c r="F96" s="55">
        <v>3.4000000000000002E-3</v>
      </c>
      <c r="G96" s="68">
        <f>E69*E71</f>
        <v>297000.60956999997</v>
      </c>
      <c r="H96" s="86">
        <f t="shared" ref="H96:H98" si="27">G96*F96</f>
        <v>1009.8020725379999</v>
      </c>
      <c r="I96" s="55">
        <v>3.4000000000000002E-3</v>
      </c>
      <c r="J96" s="69">
        <f>E69*E72</f>
        <v>297000.60956999997</v>
      </c>
      <c r="K96" s="52">
        <f t="shared" ref="K96:K98" si="28">J96*I96</f>
        <v>1009.8020725379999</v>
      </c>
      <c r="L96" s="53">
        <f t="shared" si="26"/>
        <v>0</v>
      </c>
      <c r="M96" s="54">
        <f t="shared" ref="M96:M97" si="29">IF(ISERROR(L96/H96), "", L96/H96)</f>
        <v>0</v>
      </c>
    </row>
    <row r="97" spans="1:13" ht="25.5" x14ac:dyDescent="0.2">
      <c r="A97" s="28" t="str">
        <f t="shared" si="14"/>
        <v>STREET LIGHTING SERVICE CLASSIFICATION</v>
      </c>
      <c r="C97" s="44"/>
      <c r="D97" s="85" t="s">
        <v>70</v>
      </c>
      <c r="E97" s="46"/>
      <c r="F97" s="55">
        <v>5.0000000000000001E-4</v>
      </c>
      <c r="G97" s="68">
        <f>E69*E71</f>
        <v>297000.60956999997</v>
      </c>
      <c r="H97" s="86">
        <f t="shared" si="27"/>
        <v>148.500304785</v>
      </c>
      <c r="I97" s="55">
        <v>5.0000000000000001E-4</v>
      </c>
      <c r="J97" s="69">
        <f>E69*E72</f>
        <v>297000.60956999997</v>
      </c>
      <c r="K97" s="52">
        <f t="shared" si="28"/>
        <v>148.500304785</v>
      </c>
      <c r="L97" s="53">
        <f t="shared" si="26"/>
        <v>0</v>
      </c>
      <c r="M97" s="54">
        <f t="shared" si="29"/>
        <v>0</v>
      </c>
    </row>
    <row r="98" spans="1:13" x14ac:dyDescent="0.2">
      <c r="A98" s="28" t="str">
        <f t="shared" si="14"/>
        <v>STREET LIGHTING SERVICE CLASSIFICATION</v>
      </c>
      <c r="C98" s="44"/>
      <c r="D98" s="87" t="s">
        <v>71</v>
      </c>
      <c r="E98" s="46"/>
      <c r="F98" s="72">
        <v>0.25</v>
      </c>
      <c r="G98" s="48">
        <v>13780</v>
      </c>
      <c r="H98" s="86">
        <f t="shared" si="27"/>
        <v>3445</v>
      </c>
      <c r="I98" s="72">
        <v>0.25</v>
      </c>
      <c r="J98" s="48">
        <v>13780</v>
      </c>
      <c r="K98" s="86">
        <f t="shared" si="28"/>
        <v>3445</v>
      </c>
      <c r="L98" s="53">
        <f t="shared" ref="L98" si="30">K98-H98</f>
        <v>0</v>
      </c>
      <c r="M98" s="54">
        <f t="shared" ref="M98" si="31">IF(ISERROR(L98/H98), "", L98/H98)</f>
        <v>0</v>
      </c>
    </row>
    <row r="99" spans="1:13" ht="25.5" hidden="1" x14ac:dyDescent="0.2">
      <c r="A99" s="28" t="str">
        <f t="shared" si="14"/>
        <v>STREET LIGHTING SERVICE CLASSIFICATION</v>
      </c>
      <c r="C99" s="44"/>
      <c r="D99" s="85" t="s">
        <v>72</v>
      </c>
      <c r="E99" s="46"/>
      <c r="F99" s="55"/>
      <c r="G99" s="68"/>
      <c r="H99" s="86"/>
      <c r="I99" s="56"/>
      <c r="J99" s="69"/>
      <c r="K99" s="52"/>
      <c r="L99" s="53"/>
      <c r="M99" s="54"/>
    </row>
    <row r="100" spans="1:13" hidden="1" x14ac:dyDescent="0.2">
      <c r="A100" s="28" t="str">
        <f t="shared" si="14"/>
        <v>STREET LIGHTING SERVICE CLASSIFICATION</v>
      </c>
      <c r="B100" s="28" t="s">
        <v>28</v>
      </c>
      <c r="C100" s="44"/>
      <c r="D100" s="87" t="s">
        <v>73</v>
      </c>
      <c r="E100" s="46"/>
      <c r="F100" s="88">
        <v>8.2000000000000003E-2</v>
      </c>
      <c r="G100" s="89">
        <f>IF(AND(E69*12&gt;=150000),0.64*E69*E71,0.64*E69)</f>
        <v>190080.3901248</v>
      </c>
      <c r="H100" s="86">
        <f t="shared" ref="H100:H102" si="32">G100*F100</f>
        <v>15586.591990233601</v>
      </c>
      <c r="I100" s="90">
        <v>8.2000000000000003E-2</v>
      </c>
      <c r="J100" s="91">
        <f>IF(AND(E69*12&gt;=150000),0.64*E69*E72,0.64*E69)</f>
        <v>190080.3901248</v>
      </c>
      <c r="K100" s="52">
        <f t="shared" ref="K100:K102" si="33">J100*I100</f>
        <v>15586.591990233601</v>
      </c>
      <c r="L100" s="53">
        <f>K100-H100</f>
        <v>0</v>
      </c>
      <c r="M100" s="54">
        <f t="shared" ref="M100:M104" si="34">IF(ISERROR(L100/H100), "", L100/H100)</f>
        <v>0</v>
      </c>
    </row>
    <row r="101" spans="1:13" hidden="1" x14ac:dyDescent="0.2">
      <c r="A101" s="28" t="str">
        <f t="shared" si="14"/>
        <v>STREET LIGHTING SERVICE CLASSIFICATION</v>
      </c>
      <c r="B101" s="28" t="s">
        <v>28</v>
      </c>
      <c r="C101" s="44"/>
      <c r="D101" s="87" t="s">
        <v>74</v>
      </c>
      <c r="E101" s="46"/>
      <c r="F101" s="88">
        <v>0.113</v>
      </c>
      <c r="G101" s="89">
        <f>IF(AND(E69*12&gt;=150000),0.18*E69*E71,0.18*E69)</f>
        <v>53460.109722599991</v>
      </c>
      <c r="H101" s="86">
        <f t="shared" si="32"/>
        <v>6040.9923986537988</v>
      </c>
      <c r="I101" s="90">
        <v>0.113</v>
      </c>
      <c r="J101" s="91">
        <f>IF(AND(E69*12&gt;=150000),0.18*E69*E72,0.18*E69)</f>
        <v>53460.109722599991</v>
      </c>
      <c r="K101" s="52">
        <f t="shared" si="33"/>
        <v>6040.9923986537988</v>
      </c>
      <c r="L101" s="53">
        <f>K101-H101</f>
        <v>0</v>
      </c>
      <c r="M101" s="54">
        <f t="shared" si="34"/>
        <v>0</v>
      </c>
    </row>
    <row r="102" spans="1:13" hidden="1" x14ac:dyDescent="0.2">
      <c r="A102" s="28" t="str">
        <f t="shared" si="14"/>
        <v>STREET LIGHTING SERVICE CLASSIFICATION</v>
      </c>
      <c r="B102" s="28" t="s">
        <v>28</v>
      </c>
      <c r="C102" s="44"/>
      <c r="D102" s="28" t="s">
        <v>75</v>
      </c>
      <c r="E102" s="46"/>
      <c r="F102" s="88">
        <v>0.17</v>
      </c>
      <c r="G102" s="89">
        <f>IF(AND(E69*12&gt;=150000),0.18*E69*E71,0.18*E69)</f>
        <v>53460.109722599991</v>
      </c>
      <c r="H102" s="86">
        <f t="shared" si="32"/>
        <v>9088.2186528419988</v>
      </c>
      <c r="I102" s="90">
        <v>0.17</v>
      </c>
      <c r="J102" s="91">
        <f>IF(AND(E69*12&gt;=150000),0.18*E69*E72,0.18*E69)</f>
        <v>53460.109722599991</v>
      </c>
      <c r="K102" s="52">
        <f t="shared" si="33"/>
        <v>9088.2186528419988</v>
      </c>
      <c r="L102" s="53">
        <f>K102-H102</f>
        <v>0</v>
      </c>
      <c r="M102" s="54">
        <f t="shared" si="34"/>
        <v>0</v>
      </c>
    </row>
    <row r="103" spans="1:13" ht="13.5" thickBot="1" x14ac:dyDescent="0.25">
      <c r="A103" s="28" t="str">
        <f t="shared" si="14"/>
        <v>STREET LIGHTING SERVICE CLASSIFICATION</v>
      </c>
      <c r="B103" s="28" t="s">
        <v>30</v>
      </c>
      <c r="C103" s="44"/>
      <c r="D103" s="87" t="s">
        <v>76</v>
      </c>
      <c r="E103" s="46"/>
      <c r="F103" s="92">
        <v>9.6699999999999994E-2</v>
      </c>
      <c r="G103" s="89">
        <f>IF(AND(E69*12&gt;=150000),E69*E71,E69)</f>
        <v>297000.60956999997</v>
      </c>
      <c r="H103" s="86">
        <f>G103*F103</f>
        <v>28719.958945418995</v>
      </c>
      <c r="I103" s="93">
        <f>F103</f>
        <v>9.6699999999999994E-2</v>
      </c>
      <c r="J103" s="91">
        <f>IF(AND(E69*12&gt;=150000),E69*E72,E69)</f>
        <v>297000.60956999997</v>
      </c>
      <c r="K103" s="52">
        <f>J103*I103</f>
        <v>28719.958945418995</v>
      </c>
      <c r="L103" s="53">
        <f>K103-H103</f>
        <v>0</v>
      </c>
      <c r="M103" s="54">
        <f t="shared" si="34"/>
        <v>0</v>
      </c>
    </row>
    <row r="104" spans="1:13" ht="13.5" hidden="1" thickBot="1" x14ac:dyDescent="0.25">
      <c r="A104" s="28" t="str">
        <f t="shared" si="14"/>
        <v>STREET LIGHTING SERVICE CLASSIFICATION</v>
      </c>
      <c r="B104" s="28" t="s">
        <v>29</v>
      </c>
      <c r="C104" s="44"/>
      <c r="D104" s="87" t="s">
        <v>77</v>
      </c>
      <c r="E104" s="46"/>
      <c r="F104" s="92">
        <v>9.6699999999999994E-2</v>
      </c>
      <c r="G104" s="89">
        <f>IF(AND(E69*12&gt;=150000),E69*E71,E69)</f>
        <v>297000.60956999997</v>
      </c>
      <c r="H104" s="86">
        <f>G104*F104</f>
        <v>28719.958945418995</v>
      </c>
      <c r="I104" s="93">
        <f>F104</f>
        <v>9.6699999999999994E-2</v>
      </c>
      <c r="J104" s="91">
        <f>IF(AND(E69*12&gt;=150000),E69*E72,E69)</f>
        <v>297000.60956999997</v>
      </c>
      <c r="K104" s="52">
        <f>J104*I104</f>
        <v>28719.958945418995</v>
      </c>
      <c r="L104" s="53">
        <f>K104-H104</f>
        <v>0</v>
      </c>
      <c r="M104" s="54">
        <f t="shared" si="34"/>
        <v>0</v>
      </c>
    </row>
    <row r="105" spans="1:13" ht="13.5" thickBot="1" x14ac:dyDescent="0.25">
      <c r="A105" s="28" t="str">
        <f t="shared" si="14"/>
        <v>STREET LIGHTING SERVICE CLASSIFICATION</v>
      </c>
      <c r="C105" s="44"/>
      <c r="D105" s="94"/>
      <c r="E105" s="95"/>
      <c r="F105" s="96"/>
      <c r="G105" s="97"/>
      <c r="H105" s="98"/>
      <c r="I105" s="96"/>
      <c r="J105" s="99"/>
      <c r="K105" s="98"/>
      <c r="L105" s="100"/>
      <c r="M105" s="101"/>
    </row>
    <row r="106" spans="1:13" hidden="1" x14ac:dyDescent="0.2">
      <c r="A106" s="28" t="str">
        <f t="shared" si="14"/>
        <v>STREET LIGHTING SERVICE CLASSIFICATION</v>
      </c>
      <c r="B106" s="28" t="s">
        <v>28</v>
      </c>
      <c r="C106" s="44"/>
      <c r="D106" s="102" t="s">
        <v>78</v>
      </c>
      <c r="E106" s="87"/>
      <c r="F106" s="103"/>
      <c r="G106" s="104"/>
      <c r="H106" s="105">
        <f>SUM(H96:H102,H95)</f>
        <v>53299.871647052401</v>
      </c>
      <c r="I106" s="106"/>
      <c r="J106" s="106"/>
      <c r="K106" s="105">
        <f>SUM(K96:K102,K95)</f>
        <v>72616.614507552396</v>
      </c>
      <c r="L106" s="107">
        <f>K106-H106</f>
        <v>19316.742860499995</v>
      </c>
      <c r="M106" s="108">
        <f>IF((H106)=0,"",(L106/H106))</f>
        <v>0.36241631102629968</v>
      </c>
    </row>
    <row r="107" spans="1:13" hidden="1" x14ac:dyDescent="0.2">
      <c r="A107" s="28" t="str">
        <f t="shared" si="14"/>
        <v>STREET LIGHTING SERVICE CLASSIFICATION</v>
      </c>
      <c r="B107" s="28" t="s">
        <v>28</v>
      </c>
      <c r="C107" s="44"/>
      <c r="D107" s="109" t="s">
        <v>79</v>
      </c>
      <c r="E107" s="87"/>
      <c r="F107" s="103">
        <v>0.13</v>
      </c>
      <c r="G107" s="110"/>
      <c r="H107" s="111">
        <f>H106*F107</f>
        <v>6928.9833141168128</v>
      </c>
      <c r="I107" s="112">
        <v>0.13</v>
      </c>
      <c r="J107" s="48"/>
      <c r="K107" s="111">
        <f>K106*I107</f>
        <v>9440.1598859818114</v>
      </c>
      <c r="L107" s="53">
        <f>K107-H107</f>
        <v>2511.1765718649986</v>
      </c>
      <c r="M107" s="113">
        <f>IF((H107)=0,"",(L107/H107))</f>
        <v>0.36241631102629951</v>
      </c>
    </row>
    <row r="108" spans="1:13" ht="15" hidden="1" x14ac:dyDescent="0.25">
      <c r="A108" s="28" t="str">
        <f t="shared" si="14"/>
        <v>STREET LIGHTING SERVICE CLASSIFICATION</v>
      </c>
      <c r="B108" s="28" t="s">
        <v>28</v>
      </c>
      <c r="C108" s="44"/>
      <c r="D108" s="109" t="s">
        <v>80</v>
      </c>
      <c r="E108"/>
      <c r="F108" s="114">
        <v>0.17</v>
      </c>
      <c r="G108" s="110"/>
      <c r="H108" s="111">
        <f>IF(OR(ISNUMBER(SEARCH("[DGEN]", E67))=TRUE, ISNUMBER(SEARCH("STREET LIGHT", E67))=TRUE), 0, IF(AND(E69=0, E70=0),0, IF(AND(E70=0, E69*12&gt;250000), 0, IF(AND(E69=0, E70&gt;=50), 0, IF(E69*12&lt;=250000, F108*H106*-1, IF(E70&lt;50, F108*H106*-1, 0))))))</f>
        <v>0</v>
      </c>
      <c r="I108" s="114">
        <v>0.17</v>
      </c>
      <c r="J108" s="48"/>
      <c r="K108" s="111">
        <f>IF(OR(ISNUMBER(SEARCH("[DGEN]", E67))=TRUE, ISNUMBER(SEARCH("STREET LIGHT", E67))=TRUE), 0, IF(AND(E69=0, E70=0),0, IF(AND(E70=0, E69*12&gt;250000), 0, IF(AND(E69=0, E70&gt;=50), 0, IF(E69*12&lt;=250000, I108*K106*-1, IF(E70&lt;50, I108*K106*-1, 0))))))</f>
        <v>0</v>
      </c>
      <c r="L108" s="53">
        <f>K108-H108</f>
        <v>0</v>
      </c>
      <c r="M108" s="113"/>
    </row>
    <row r="109" spans="1:13" hidden="1" x14ac:dyDescent="0.2">
      <c r="A109" s="28" t="str">
        <f t="shared" si="14"/>
        <v>STREET LIGHTING SERVICE CLASSIFICATION</v>
      </c>
      <c r="B109" s="28" t="s">
        <v>81</v>
      </c>
      <c r="C109" s="44"/>
      <c r="D109" s="152" t="s">
        <v>82</v>
      </c>
      <c r="E109" s="152"/>
      <c r="F109" s="115"/>
      <c r="G109" s="116"/>
      <c r="H109" s="117">
        <f>H106+H107+H108</f>
        <v>60228.854961169214</v>
      </c>
      <c r="I109" s="118"/>
      <c r="J109" s="118"/>
      <c r="K109" s="119">
        <f>K106+K107+K108</f>
        <v>82056.7743935342</v>
      </c>
      <c r="L109" s="120">
        <f>K109-H109</f>
        <v>21827.919432364986</v>
      </c>
      <c r="M109" s="121">
        <f>IF((H109)=0,"",(L109/H109))</f>
        <v>0.36241631102629956</v>
      </c>
    </row>
    <row r="110" spans="1:13" ht="13.5" hidden="1" thickBot="1" x14ac:dyDescent="0.25">
      <c r="A110" s="28" t="str">
        <f t="shared" si="14"/>
        <v>STREET LIGHTING SERVICE CLASSIFICATION</v>
      </c>
      <c r="B110" s="28" t="s">
        <v>28</v>
      </c>
      <c r="C110" s="44"/>
      <c r="D110" s="94"/>
      <c r="E110" s="95"/>
      <c r="F110" s="96"/>
      <c r="G110" s="97"/>
      <c r="H110" s="98"/>
      <c r="I110" s="96"/>
      <c r="J110" s="99"/>
      <c r="K110" s="98"/>
      <c r="L110" s="100"/>
      <c r="M110" s="101"/>
    </row>
    <row r="111" spans="1:13" x14ac:dyDescent="0.2">
      <c r="A111" s="28" t="str">
        <f t="shared" si="14"/>
        <v>STREET LIGHTING SERVICE CLASSIFICATION</v>
      </c>
      <c r="B111" s="28" t="s">
        <v>30</v>
      </c>
      <c r="C111" s="44"/>
      <c r="D111" s="102" t="s">
        <v>83</v>
      </c>
      <c r="E111" s="87"/>
      <c r="F111" s="103"/>
      <c r="G111" s="104"/>
      <c r="H111" s="105">
        <f>SUM(H103,H96:H99,H95)</f>
        <v>51304.027550741994</v>
      </c>
      <c r="I111" s="106"/>
      <c r="J111" s="106"/>
      <c r="K111" s="105">
        <f>SUM(K103,K96:K99,K95)</f>
        <v>70620.770411241989</v>
      </c>
      <c r="L111" s="107">
        <f>K111-H111</f>
        <v>19316.742860499995</v>
      </c>
      <c r="M111" s="108">
        <f>IF((H111)=0,"",(L111/H111))</f>
        <v>0.3765151350231688</v>
      </c>
    </row>
    <row r="112" spans="1:13" x14ac:dyDescent="0.2">
      <c r="A112" s="28" t="str">
        <f t="shared" si="14"/>
        <v>STREET LIGHTING SERVICE CLASSIFICATION</v>
      </c>
      <c r="B112" s="28" t="s">
        <v>30</v>
      </c>
      <c r="C112" s="44"/>
      <c r="D112" s="109" t="s">
        <v>79</v>
      </c>
      <c r="E112" s="87"/>
      <c r="F112" s="103">
        <v>0.13</v>
      </c>
      <c r="G112" s="104"/>
      <c r="H112" s="111">
        <f>H111*F112</f>
        <v>6669.5235815964597</v>
      </c>
      <c r="I112" s="103">
        <v>0.13</v>
      </c>
      <c r="J112" s="112"/>
      <c r="K112" s="111">
        <f>K111*I112</f>
        <v>9180.7001534614592</v>
      </c>
      <c r="L112" s="53">
        <f>K112-H112</f>
        <v>2511.1765718649995</v>
      </c>
      <c r="M112" s="113">
        <f>IF((H112)=0,"",(L112/H112))</f>
        <v>0.3765151350231688</v>
      </c>
    </row>
    <row r="113" spans="1:20" ht="15" x14ac:dyDescent="0.25">
      <c r="A113" s="28" t="str">
        <f t="shared" si="14"/>
        <v>STREET LIGHTING SERVICE CLASSIFICATION</v>
      </c>
      <c r="B113" s="28" t="s">
        <v>30</v>
      </c>
      <c r="C113" s="44"/>
      <c r="D113" s="109" t="s">
        <v>80</v>
      </c>
      <c r="E113"/>
      <c r="F113" s="114">
        <v>0.17</v>
      </c>
      <c r="G113" s="104"/>
      <c r="H113" s="111">
        <f>IF(OR(ISNUMBER(SEARCH("[DGEN]", E67))=TRUE, ISNUMBER(SEARCH("STREET LIGHT", E67))=TRUE), 0, IF(AND(E69=0, E70=0),0, IF(AND(E70=0, E69*12&gt;250000), 0, IF(AND(E69=0, E70&gt;=50), 0, IF(E69*12&lt;=250000, F113*H111*-1, IF(E70&lt;50, F113*H111*-1, 0))))))</f>
        <v>0</v>
      </c>
      <c r="I113" s="114">
        <v>0.17</v>
      </c>
      <c r="J113" s="112"/>
      <c r="K113" s="111">
        <f>IF(OR(ISNUMBER(SEARCH("[DGEN]", E67))=TRUE, ISNUMBER(SEARCH("STREET LIGHT", E67))=TRUE), 0, IF(AND(E69=0, E70=0),0, IF(AND(E70=0, E69*12&gt;250000), 0, IF(AND(E69=0, E70&gt;=50), 0, IF(E69*12&lt;=250000, I113*K111*-1, IF(E70&lt;50, I113*K111*-1, 0))))))</f>
        <v>0</v>
      </c>
      <c r="L113" s="53"/>
      <c r="M113" s="113"/>
    </row>
    <row r="114" spans="1:20" ht="13.5" thickBot="1" x14ac:dyDescent="0.25">
      <c r="A114" s="28" t="str">
        <f t="shared" si="14"/>
        <v>STREET LIGHTING SERVICE CLASSIFICATION</v>
      </c>
      <c r="B114" s="28" t="s">
        <v>84</v>
      </c>
      <c r="C114" s="44" t="e">
        <f>#REF!</f>
        <v>#REF!</v>
      </c>
      <c r="D114" s="152" t="s">
        <v>83</v>
      </c>
      <c r="E114" s="152"/>
      <c r="F114" s="122"/>
      <c r="G114" s="123"/>
      <c r="H114" s="117">
        <f>SUM(H111,H112)</f>
        <v>57973.551132338456</v>
      </c>
      <c r="I114" s="124"/>
      <c r="J114" s="124"/>
      <c r="K114" s="117">
        <f>SUM(K111,K112)</f>
        <v>79801.470564703443</v>
      </c>
      <c r="L114" s="125">
        <f>K114-H114</f>
        <v>21827.919432364986</v>
      </c>
      <c r="M114" s="126">
        <f>IF((H114)=0,"",(L114/H114))</f>
        <v>0.37651513502316863</v>
      </c>
    </row>
    <row r="115" spans="1:20" ht="13.5" thickBot="1" x14ac:dyDescent="0.25">
      <c r="A115" s="28" t="str">
        <f t="shared" si="14"/>
        <v>STREET LIGHTING SERVICE CLASSIFICATION</v>
      </c>
      <c r="B115" s="28" t="s">
        <v>30</v>
      </c>
      <c r="C115" s="44"/>
      <c r="D115" s="94"/>
      <c r="E115" s="95"/>
      <c r="F115" s="127"/>
      <c r="G115" s="128"/>
      <c r="H115" s="129"/>
      <c r="I115" s="127"/>
      <c r="J115" s="97"/>
      <c r="K115" s="129"/>
      <c r="L115" s="130"/>
      <c r="M115" s="101"/>
    </row>
    <row r="117" spans="1:20" x14ac:dyDescent="0.2">
      <c r="C117" s="28"/>
      <c r="D117" s="30" t="s">
        <v>32</v>
      </c>
      <c r="E117" s="163" t="str">
        <f t="shared" ref="E117:E122" si="35">+E67</f>
        <v>STREET LIGHTING SERVICE CLASSIFICATION</v>
      </c>
      <c r="F117" s="163"/>
      <c r="G117" s="163"/>
      <c r="H117" s="163"/>
      <c r="I117" s="163"/>
      <c r="J117" s="163"/>
      <c r="K117" s="28" t="str">
        <f>IF(N21="DEMAND - INTERVAL","RTSR - INTERVAL METERED","")</f>
        <v/>
      </c>
      <c r="T117" s="28" t="s">
        <v>31</v>
      </c>
    </row>
    <row r="118" spans="1:20" x14ac:dyDescent="0.2">
      <c r="C118" s="28"/>
      <c r="D118" s="30" t="s">
        <v>33</v>
      </c>
      <c r="E118" s="164" t="str">
        <f t="shared" si="35"/>
        <v>Non-RPP (Other)</v>
      </c>
      <c r="F118" s="164"/>
      <c r="G118" s="164"/>
      <c r="H118" s="31"/>
      <c r="I118" s="31"/>
    </row>
    <row r="119" spans="1:20" ht="15.75" x14ac:dyDescent="0.2">
      <c r="C119" s="28"/>
      <c r="D119" s="30" t="s">
        <v>34</v>
      </c>
      <c r="E119" s="32">
        <f t="shared" si="35"/>
        <v>289474.27833333332</v>
      </c>
      <c r="F119" s="33" t="s">
        <v>14</v>
      </c>
      <c r="J119" s="34"/>
      <c r="K119" s="34"/>
      <c r="L119" s="34"/>
      <c r="M119" s="34"/>
      <c r="N119" s="34"/>
    </row>
    <row r="120" spans="1:20" ht="15.75" x14ac:dyDescent="0.25">
      <c r="C120" s="28"/>
      <c r="D120" s="30" t="s">
        <v>35</v>
      </c>
      <c r="E120" s="32">
        <f t="shared" si="35"/>
        <v>808.22500000000002</v>
      </c>
      <c r="F120" s="35" t="s">
        <v>17</v>
      </c>
      <c r="G120" s="36"/>
      <c r="H120" s="37"/>
      <c r="I120" s="37"/>
      <c r="J120" s="37"/>
    </row>
    <row r="121" spans="1:20" x14ac:dyDescent="0.2">
      <c r="C121" s="28"/>
      <c r="D121" s="30" t="s">
        <v>36</v>
      </c>
      <c r="E121" s="38">
        <f t="shared" si="35"/>
        <v>1.026</v>
      </c>
    </row>
    <row r="122" spans="1:20" x14ac:dyDescent="0.2">
      <c r="C122" s="28"/>
      <c r="D122" s="30" t="s">
        <v>37</v>
      </c>
      <c r="E122" s="38">
        <f t="shared" si="35"/>
        <v>1.026</v>
      </c>
    </row>
    <row r="123" spans="1:20" x14ac:dyDescent="0.2">
      <c r="C123" s="28"/>
    </row>
    <row r="124" spans="1:20" x14ac:dyDescent="0.2">
      <c r="C124" s="28"/>
      <c r="E124" s="33"/>
      <c r="F124" s="153" t="s">
        <v>38</v>
      </c>
      <c r="G124" s="154"/>
      <c r="H124" s="155"/>
      <c r="I124" s="153" t="s">
        <v>39</v>
      </c>
      <c r="J124" s="154"/>
      <c r="K124" s="155"/>
      <c r="L124" s="153" t="s">
        <v>40</v>
      </c>
      <c r="M124" s="155"/>
    </row>
    <row r="125" spans="1:20" x14ac:dyDescent="0.2">
      <c r="C125" s="28"/>
      <c r="E125" s="156"/>
      <c r="F125" s="39" t="s">
        <v>41</v>
      </c>
      <c r="G125" s="39" t="s">
        <v>42</v>
      </c>
      <c r="H125" s="40" t="s">
        <v>43</v>
      </c>
      <c r="I125" s="39" t="s">
        <v>41</v>
      </c>
      <c r="J125" s="41" t="s">
        <v>42</v>
      </c>
      <c r="K125" s="40" t="s">
        <v>43</v>
      </c>
      <c r="L125" s="158" t="s">
        <v>44</v>
      </c>
      <c r="M125" s="160" t="s">
        <v>45</v>
      </c>
    </row>
    <row r="126" spans="1:20" x14ac:dyDescent="0.2">
      <c r="C126" s="28"/>
      <c r="E126" s="157"/>
      <c r="F126" s="42" t="s">
        <v>46</v>
      </c>
      <c r="G126" s="42"/>
      <c r="H126" s="43" t="s">
        <v>46</v>
      </c>
      <c r="I126" s="42" t="s">
        <v>46</v>
      </c>
      <c r="J126" s="43"/>
      <c r="K126" s="43" t="s">
        <v>46</v>
      </c>
      <c r="L126" s="159"/>
      <c r="M126" s="161"/>
    </row>
    <row r="127" spans="1:20" x14ac:dyDescent="0.2">
      <c r="A127" s="28" t="str">
        <f>$E117</f>
        <v>STREET LIGHTING SERVICE CLASSIFICATION</v>
      </c>
      <c r="C127" s="44"/>
      <c r="D127" s="45" t="s">
        <v>47</v>
      </c>
      <c r="E127" s="46"/>
      <c r="F127" s="47">
        <v>0.47</v>
      </c>
      <c r="G127" s="167">
        <v>13780</v>
      </c>
      <c r="H127" s="49">
        <f>G127*F127</f>
        <v>6476.5999999999995</v>
      </c>
      <c r="I127" s="50">
        <v>0.48</v>
      </c>
      <c r="J127" s="166">
        <v>13780</v>
      </c>
      <c r="K127" s="52">
        <f>J127*I127</f>
        <v>6614.4</v>
      </c>
      <c r="L127" s="53">
        <f t="shared" ref="L127:L128" si="36">K127-H127</f>
        <v>137.80000000000018</v>
      </c>
      <c r="M127" s="54">
        <f>IF(ISERROR(L127/H127), "", L127/H127)</f>
        <v>2.1276595744680882E-2</v>
      </c>
    </row>
    <row r="128" spans="1:20" x14ac:dyDescent="0.2">
      <c r="A128" s="28" t="str">
        <f>A127</f>
        <v>STREET LIGHTING SERVICE CLASSIFICATION</v>
      </c>
      <c r="C128" s="44"/>
      <c r="D128" s="45" t="s">
        <v>48</v>
      </c>
      <c r="E128" s="46"/>
      <c r="F128" s="55">
        <v>11.1096</v>
      </c>
      <c r="G128" s="48">
        <f>IF($E120&gt;0, $E120, $E119)</f>
        <v>808.22500000000002</v>
      </c>
      <c r="H128" s="49">
        <f t="shared" ref="H128" si="37">G128*F128</f>
        <v>8979.0564599999998</v>
      </c>
      <c r="I128" s="56">
        <v>11.4429</v>
      </c>
      <c r="J128" s="51">
        <f>IF($E120&gt;0, $E120, $E119)</f>
        <v>808.22500000000002</v>
      </c>
      <c r="K128" s="52">
        <f>J128*I128</f>
        <v>9248.4378524999993</v>
      </c>
      <c r="L128" s="53">
        <f t="shared" si="36"/>
        <v>269.38139249999949</v>
      </c>
      <c r="M128" s="54">
        <f t="shared" ref="M128" si="38">IF(ISERROR(L128/H128), "", L128/H128)</f>
        <v>3.0001080146899922E-2</v>
      </c>
    </row>
    <row r="129" spans="1:14" hidden="1" x14ac:dyDescent="0.2">
      <c r="A129" s="28" t="str">
        <f t="shared" ref="A129:A165" si="39">A128</f>
        <v>STREET LIGHTING SERVICE CLASSIFICATION</v>
      </c>
      <c r="C129" s="44"/>
      <c r="D129" s="45" t="s">
        <v>49</v>
      </c>
      <c r="E129" s="46"/>
      <c r="F129" s="55"/>
      <c r="G129" s="48">
        <f>IF($E120&gt;0, $E120, $E119)</f>
        <v>808.22500000000002</v>
      </c>
      <c r="H129" s="49">
        <v>0</v>
      </c>
      <c r="I129" s="56"/>
      <c r="J129" s="51">
        <f>IF($E120&gt;0, $E120, $E119)</f>
        <v>808.22500000000002</v>
      </c>
      <c r="K129" s="52">
        <v>0</v>
      </c>
      <c r="L129" s="53"/>
      <c r="M129" s="54"/>
    </row>
    <row r="130" spans="1:14" hidden="1" x14ac:dyDescent="0.2">
      <c r="A130" s="28" t="str">
        <f t="shared" si="39"/>
        <v>STREET LIGHTING SERVICE CLASSIFICATION</v>
      </c>
      <c r="C130" s="44"/>
      <c r="D130" s="45" t="s">
        <v>50</v>
      </c>
      <c r="E130" s="46"/>
      <c r="F130" s="55"/>
      <c r="G130" s="48">
        <f>IF($E120&gt;0, $E120, $E119)</f>
        <v>808.22500000000002</v>
      </c>
      <c r="H130" s="49">
        <v>0</v>
      </c>
      <c r="I130" s="56"/>
      <c r="J130" s="57">
        <f>IF($E120&gt;0, $E120, $E119)</f>
        <v>808.22500000000002</v>
      </c>
      <c r="K130" s="52">
        <v>0</v>
      </c>
      <c r="L130" s="53">
        <f>K130-H130</f>
        <v>0</v>
      </c>
      <c r="M130" s="54" t="str">
        <f>IF(ISERROR(L130/H130), "", L130/H130)</f>
        <v/>
      </c>
    </row>
    <row r="131" spans="1:14" x14ac:dyDescent="0.2">
      <c r="A131" s="28" t="str">
        <f t="shared" si="39"/>
        <v>STREET LIGHTING SERVICE CLASSIFICATION</v>
      </c>
      <c r="C131" s="44"/>
      <c r="D131" s="45" t="s">
        <v>51</v>
      </c>
      <c r="E131" s="46"/>
      <c r="F131" s="47">
        <v>-0.01</v>
      </c>
      <c r="G131" s="167">
        <v>13780</v>
      </c>
      <c r="H131" s="49">
        <f t="shared" ref="H131:H132" si="40">G131*F131</f>
        <v>-137.80000000000001</v>
      </c>
      <c r="I131" s="50">
        <v>-0.01</v>
      </c>
      <c r="J131" s="166">
        <v>13780</v>
      </c>
      <c r="K131" s="52">
        <f t="shared" ref="K131:K132" si="41">J131*I131</f>
        <v>-137.80000000000001</v>
      </c>
      <c r="L131" s="53">
        <f t="shared" ref="L131:L133" si="42">K131-H131</f>
        <v>0</v>
      </c>
      <c r="M131" s="54">
        <f t="shared" ref="M131:M132" si="43">IF(ISERROR(L131/H131), "", L131/H131)</f>
        <v>0</v>
      </c>
    </row>
    <row r="132" spans="1:14" x14ac:dyDescent="0.2">
      <c r="A132" s="28" t="str">
        <f t="shared" si="39"/>
        <v>STREET LIGHTING SERVICE CLASSIFICATION</v>
      </c>
      <c r="C132" s="44"/>
      <c r="D132" s="45" t="s">
        <v>52</v>
      </c>
      <c r="E132" s="46"/>
      <c r="F132" s="55">
        <v>-1.6225000000000001</v>
      </c>
      <c r="G132" s="48">
        <f>IF($E120&gt;0, $E120, $E119)</f>
        <v>808.22500000000002</v>
      </c>
      <c r="H132" s="49">
        <f t="shared" si="40"/>
        <v>-1311.3450625</v>
      </c>
      <c r="I132" s="56">
        <f>+'7. Calculation of Def-Var RR'!K25</f>
        <v>11.842499999999999</v>
      </c>
      <c r="J132" s="51">
        <f>IF($E120&gt;0, $E120, $E119)</f>
        <v>808.22500000000002</v>
      </c>
      <c r="K132" s="52">
        <f t="shared" si="41"/>
        <v>9571.4045624999999</v>
      </c>
      <c r="L132" s="53">
        <f t="shared" si="42"/>
        <v>10882.749625</v>
      </c>
      <c r="M132" s="54">
        <f t="shared" si="43"/>
        <v>-8.2989214175654862</v>
      </c>
    </row>
    <row r="133" spans="1:14" x14ac:dyDescent="0.2">
      <c r="A133" s="28" t="str">
        <f t="shared" si="39"/>
        <v>STREET LIGHTING SERVICE CLASSIFICATION</v>
      </c>
      <c r="B133" s="28" t="s">
        <v>53</v>
      </c>
      <c r="C133" s="44">
        <f>B21</f>
        <v>0</v>
      </c>
      <c r="D133" s="58" t="s">
        <v>54</v>
      </c>
      <c r="E133" s="59"/>
      <c r="F133" s="60"/>
      <c r="G133" s="61"/>
      <c r="H133" s="62">
        <f>SUM(H127:H132)</f>
        <v>14006.511397499999</v>
      </c>
      <c r="I133" s="63"/>
      <c r="J133" s="64"/>
      <c r="K133" s="62">
        <f>SUM(K127:K132)</f>
        <v>25296.442414999998</v>
      </c>
      <c r="L133" s="65">
        <f t="shared" si="42"/>
        <v>11289.931017499999</v>
      </c>
      <c r="M133" s="66">
        <f>IF((H133)=0,"",(L133/H133))</f>
        <v>0.80604875097700079</v>
      </c>
    </row>
    <row r="134" spans="1:14" x14ac:dyDescent="0.2">
      <c r="A134" s="28" t="str">
        <f t="shared" si="39"/>
        <v>STREET LIGHTING SERVICE CLASSIFICATION</v>
      </c>
      <c r="C134" s="44"/>
      <c r="D134" s="67" t="s">
        <v>55</v>
      </c>
      <c r="E134" s="46"/>
      <c r="F134" s="55">
        <f>IF((E119*12&gt;=150000), 0, IF(E118="RPP",(F150*0.64+F151*0.18+F152*0.18),IF(E118="Non-RPP (Retailer)",F153,F154)))</f>
        <v>0</v>
      </c>
      <c r="G134" s="68">
        <f>IF(F134=0, 0, $E119*E121-E119)</f>
        <v>0</v>
      </c>
      <c r="H134" s="49">
        <f>G134*F134</f>
        <v>0</v>
      </c>
      <c r="I134" s="56">
        <f>IF((E119*12&gt;=150000), 0, IF(E118="RPP",(I150*0.64+I151*0.18+I152*0.18),IF(E118="Non-RPP (Retailer)",I153,I154)))</f>
        <v>0</v>
      </c>
      <c r="J134" s="69">
        <f>IF(I134=0, 0, E119*E122-E119)</f>
        <v>0</v>
      </c>
      <c r="K134" s="52">
        <f>J134*I134</f>
        <v>0</v>
      </c>
      <c r="L134" s="53">
        <f>K134-H134</f>
        <v>0</v>
      </c>
      <c r="M134" s="54" t="str">
        <f>IF(ISERROR(L134/H134), "", L134/H134)</f>
        <v/>
      </c>
    </row>
    <row r="135" spans="1:14" ht="25.5" x14ac:dyDescent="0.2">
      <c r="A135" s="28" t="str">
        <f t="shared" si="39"/>
        <v>STREET LIGHTING SERVICE CLASSIFICATION</v>
      </c>
      <c r="C135" s="44"/>
      <c r="D135" s="67" t="s">
        <v>56</v>
      </c>
      <c r="E135" s="46"/>
      <c r="F135" s="55">
        <v>0.18360000000000001</v>
      </c>
      <c r="G135" s="70">
        <f>IF($E120&gt;0, $E120, $E119)</f>
        <v>808.22500000000002</v>
      </c>
      <c r="H135" s="49">
        <f t="shared" ref="H135" si="44">G135*F135</f>
        <v>148.39011000000002</v>
      </c>
      <c r="I135" s="56">
        <v>1.2901</v>
      </c>
      <c r="J135" s="71">
        <f>IF($E120&gt;0, $E120, $E119)</f>
        <v>808.22500000000002</v>
      </c>
      <c r="K135" s="52">
        <f t="shared" ref="K135" si="45">J135*I135</f>
        <v>1042.6910725</v>
      </c>
      <c r="L135" s="53">
        <f t="shared" ref="L135:L139" si="46">K135-H135</f>
        <v>894.30096249999997</v>
      </c>
      <c r="M135" s="54">
        <f t="shared" ref="M135:M138" si="47">IF(ISERROR(L135/H135), "", L135/H135)</f>
        <v>6.0266884531590401</v>
      </c>
    </row>
    <row r="136" spans="1:14" x14ac:dyDescent="0.2">
      <c r="A136" s="28" t="str">
        <f t="shared" si="39"/>
        <v>STREET LIGHTING SERVICE CLASSIFICATION</v>
      </c>
      <c r="C136" s="44"/>
      <c r="D136" s="67" t="s">
        <v>57</v>
      </c>
      <c r="E136" s="46"/>
      <c r="F136" s="55">
        <v>0</v>
      </c>
      <c r="G136" s="70">
        <f>IF($E120&gt;0, $E120, $E119)</f>
        <v>808.22500000000002</v>
      </c>
      <c r="H136" s="49">
        <f>G136*F136</f>
        <v>0</v>
      </c>
      <c r="I136" s="56">
        <v>-4.3900000000000002E-2</v>
      </c>
      <c r="J136" s="71">
        <f>IF($E120&gt;0, $E120, $E119)</f>
        <v>808.22500000000002</v>
      </c>
      <c r="K136" s="52">
        <f>J136*I136</f>
        <v>-35.481077500000005</v>
      </c>
      <c r="L136" s="53">
        <f t="shared" si="46"/>
        <v>-35.481077500000005</v>
      </c>
      <c r="M136" s="54" t="str">
        <f t="shared" si="47"/>
        <v/>
      </c>
    </row>
    <row r="137" spans="1:14" x14ac:dyDescent="0.2">
      <c r="A137" s="28" t="str">
        <f t="shared" si="39"/>
        <v>STREET LIGHTING SERVICE CLASSIFICATION</v>
      </c>
      <c r="C137" s="44"/>
      <c r="D137" s="67" t="s">
        <v>58</v>
      </c>
      <c r="E137" s="46"/>
      <c r="F137" s="55">
        <v>-2.0999999999999999E-3</v>
      </c>
      <c r="G137" s="70">
        <f>E119</f>
        <v>289474.27833333332</v>
      </c>
      <c r="H137" s="49">
        <f>G137*F137</f>
        <v>-607.89598449999994</v>
      </c>
      <c r="I137" s="56">
        <v>4.7999999999999996E-3</v>
      </c>
      <c r="J137" s="71">
        <f>E119</f>
        <v>289474.27833333332</v>
      </c>
      <c r="K137" s="52">
        <f t="shared" ref="K137:K138" si="48">J137*I137</f>
        <v>1389.4765359999999</v>
      </c>
      <c r="L137" s="53">
        <f t="shared" si="46"/>
        <v>1997.3725204999998</v>
      </c>
      <c r="M137" s="54">
        <f t="shared" si="47"/>
        <v>-3.2857142857142856</v>
      </c>
    </row>
    <row r="138" spans="1:14" x14ac:dyDescent="0.2">
      <c r="A138" s="28" t="str">
        <f t="shared" si="39"/>
        <v>STREET LIGHTING SERVICE CLASSIFICATION</v>
      </c>
      <c r="C138" s="44"/>
      <c r="D138" s="45" t="s">
        <v>59</v>
      </c>
      <c r="E138" s="46"/>
      <c r="F138" s="55">
        <v>1.0699999999999999E-2</v>
      </c>
      <c r="G138" s="70">
        <f>IF($E120&gt;0, $E120, $E119)</f>
        <v>808.22500000000002</v>
      </c>
      <c r="H138" s="49">
        <f t="shared" ref="H138" si="49">G138*F138</f>
        <v>8.6480075000000003</v>
      </c>
      <c r="I138" s="56">
        <v>1.0699999999999999E-2</v>
      </c>
      <c r="J138" s="71">
        <f>IF($E120&gt;0, $E120, $E119)</f>
        <v>808.22500000000002</v>
      </c>
      <c r="K138" s="52">
        <f t="shared" si="48"/>
        <v>8.6480075000000003</v>
      </c>
      <c r="L138" s="53">
        <f t="shared" si="46"/>
        <v>0</v>
      </c>
      <c r="M138" s="54">
        <f t="shared" si="47"/>
        <v>0</v>
      </c>
    </row>
    <row r="139" spans="1:14" ht="25.5" x14ac:dyDescent="0.2">
      <c r="A139" s="28" t="str">
        <f t="shared" si="39"/>
        <v>STREET LIGHTING SERVICE CLASSIFICATION</v>
      </c>
      <c r="C139" s="44"/>
      <c r="D139" s="67" t="s">
        <v>60</v>
      </c>
      <c r="E139" s="46"/>
      <c r="F139" s="72">
        <v>0</v>
      </c>
      <c r="G139" s="167">
        <v>13780</v>
      </c>
      <c r="H139" s="49">
        <f>G139*F139</f>
        <v>0</v>
      </c>
      <c r="I139" s="73">
        <v>0</v>
      </c>
      <c r="J139" s="168">
        <v>13780</v>
      </c>
      <c r="K139" s="52">
        <f>J139*I139</f>
        <v>0</v>
      </c>
      <c r="L139" s="53">
        <f t="shared" si="46"/>
        <v>0</v>
      </c>
      <c r="M139" s="54" t="str">
        <f>IF(ISERROR(L139/H139), "", L139/H139)</f>
        <v/>
      </c>
    </row>
    <row r="140" spans="1:14" x14ac:dyDescent="0.2">
      <c r="A140" s="28" t="str">
        <f t="shared" si="39"/>
        <v>STREET LIGHTING SERVICE CLASSIFICATION</v>
      </c>
      <c r="C140" s="44"/>
      <c r="D140" s="45" t="s">
        <v>61</v>
      </c>
      <c r="E140" s="46"/>
      <c r="F140" s="47">
        <v>0</v>
      </c>
      <c r="G140" s="167">
        <v>13780</v>
      </c>
      <c r="H140" s="49">
        <f t="shared" ref="H140" si="50">G140*F140</f>
        <v>0</v>
      </c>
      <c r="I140" s="50">
        <v>0</v>
      </c>
      <c r="J140" s="168">
        <v>13780</v>
      </c>
      <c r="K140" s="52">
        <f>J140*I140</f>
        <v>0</v>
      </c>
      <c r="L140" s="53">
        <f>K140-H140</f>
        <v>0</v>
      </c>
      <c r="M140" s="54" t="str">
        <f>IF(ISERROR(L140/H140), "", L140/H140)</f>
        <v/>
      </c>
    </row>
    <row r="141" spans="1:14" x14ac:dyDescent="0.2">
      <c r="A141" s="28" t="str">
        <f t="shared" si="39"/>
        <v>STREET LIGHTING SERVICE CLASSIFICATION</v>
      </c>
      <c r="C141" s="44"/>
      <c r="D141" s="45" t="s">
        <v>62</v>
      </c>
      <c r="E141" s="46"/>
      <c r="F141" s="55">
        <v>0</v>
      </c>
      <c r="G141" s="70">
        <f>IF($E120&gt;0, $E120, $E119)</f>
        <v>808.22500000000002</v>
      </c>
      <c r="H141" s="49">
        <f>G141*F141</f>
        <v>0</v>
      </c>
      <c r="I141" s="56">
        <v>0</v>
      </c>
      <c r="J141" s="71">
        <f>IF($E120&gt;0, $E120, $E119)</f>
        <v>808.22500000000002</v>
      </c>
      <c r="K141" s="52">
        <f>J141*I141</f>
        <v>0</v>
      </c>
      <c r="L141" s="53">
        <f t="shared" ref="L141:L147" si="51">K141-H141</f>
        <v>0</v>
      </c>
      <c r="M141" s="54" t="str">
        <f>IF(ISERROR(L141/H141), "", L141/H141)</f>
        <v/>
      </c>
    </row>
    <row r="142" spans="1:14" ht="25.5" x14ac:dyDescent="0.2">
      <c r="A142" s="28" t="str">
        <f t="shared" si="39"/>
        <v>STREET LIGHTING SERVICE CLASSIFICATION</v>
      </c>
      <c r="B142" s="28" t="s">
        <v>63</v>
      </c>
      <c r="C142" s="44">
        <f>B21</f>
        <v>0</v>
      </c>
      <c r="D142" s="74" t="s">
        <v>64</v>
      </c>
      <c r="E142" s="75"/>
      <c r="F142" s="76"/>
      <c r="G142" s="77"/>
      <c r="H142" s="78">
        <f>SUM(H133:H141)</f>
        <v>13555.6535305</v>
      </c>
      <c r="I142" s="79"/>
      <c r="J142" s="80"/>
      <c r="K142" s="78">
        <f>SUM(K133:K141)</f>
        <v>27701.776953499997</v>
      </c>
      <c r="L142" s="65">
        <f t="shared" si="51"/>
        <v>14146.123422999997</v>
      </c>
      <c r="M142" s="66">
        <f>IF((H142)=0,"",(L142/H142))</f>
        <v>1.0435589395355562</v>
      </c>
    </row>
    <row r="143" spans="1:14" x14ac:dyDescent="0.2">
      <c r="A143" s="28" t="str">
        <f t="shared" si="39"/>
        <v>STREET LIGHTING SERVICE CLASSIFICATION</v>
      </c>
      <c r="C143" s="44"/>
      <c r="D143" s="81" t="s">
        <v>65</v>
      </c>
      <c r="E143" s="46"/>
      <c r="F143" s="55">
        <v>3.2023000000000001</v>
      </c>
      <c r="G143" s="68">
        <f>IF($E120&gt;0, $E120, $E119*$E121)</f>
        <v>808.22500000000002</v>
      </c>
      <c r="H143" s="49">
        <f>G143*F143</f>
        <v>2588.1789175000004</v>
      </c>
      <c r="I143" s="82">
        <v>3.5754000000000001</v>
      </c>
      <c r="J143" s="69">
        <f>IF($E120&gt;0, $E120, $E119*$E122)</f>
        <v>808.22500000000002</v>
      </c>
      <c r="K143" s="52">
        <f>J143*I143</f>
        <v>2889.7276650000003</v>
      </c>
      <c r="L143" s="53">
        <f t="shared" si="51"/>
        <v>301.54874749999999</v>
      </c>
      <c r="M143" s="54">
        <f>IF(ISERROR(L143/H143), "", L143/H143)</f>
        <v>0.11651000843143988</v>
      </c>
      <c r="N143" s="83" t="str">
        <f>IF(ISERROR(ABS(M143)), "", IF(ABS(M143)&gt;=4%, "In the manager's summary, discuss the reasoning for the change in RTSR rates", ""))</f>
        <v>In the manager's summary, discuss the reasoning for the change in RTSR rates</v>
      </c>
    </row>
    <row r="144" spans="1:14" ht="25.5" x14ac:dyDescent="0.2">
      <c r="A144" s="28" t="str">
        <f t="shared" si="39"/>
        <v>STREET LIGHTING SERVICE CLASSIFICATION</v>
      </c>
      <c r="C144" s="44"/>
      <c r="D144" s="84" t="s">
        <v>66</v>
      </c>
      <c r="E144" s="46"/>
      <c r="F144" s="55">
        <v>2.2728000000000002</v>
      </c>
      <c r="G144" s="68">
        <f>IF($E120&gt;0, $E120, $E119*$E121)</f>
        <v>808.22500000000002</v>
      </c>
      <c r="H144" s="49">
        <f>G144*F144</f>
        <v>1836.9337800000001</v>
      </c>
      <c r="I144" s="82">
        <v>2.3759999999999999</v>
      </c>
      <c r="J144" s="69">
        <f>IF($E120&gt;0, $E120, $E119*$E122)</f>
        <v>808.22500000000002</v>
      </c>
      <c r="K144" s="52">
        <f>J144*I144</f>
        <v>1920.3425999999999</v>
      </c>
      <c r="L144" s="53">
        <f t="shared" si="51"/>
        <v>83.408819999999878</v>
      </c>
      <c r="M144" s="54">
        <f>IF(ISERROR(L144/H144), "", L144/H144)</f>
        <v>4.5406546990496233E-2</v>
      </c>
      <c r="N144" s="83" t="str">
        <f>IF(ISERROR(ABS(M144)), "", IF(ABS(M144)&gt;=4%, "In the manager's summary, discuss the reasoning for the change in RTSR rates", ""))</f>
        <v>In the manager's summary, discuss the reasoning for the change in RTSR rates</v>
      </c>
    </row>
    <row r="145" spans="1:13" ht="25.5" x14ac:dyDescent="0.2">
      <c r="A145" s="28" t="str">
        <f t="shared" si="39"/>
        <v>STREET LIGHTING SERVICE CLASSIFICATION</v>
      </c>
      <c r="B145" s="28" t="s">
        <v>67</v>
      </c>
      <c r="C145" s="44">
        <f>B21</f>
        <v>0</v>
      </c>
      <c r="D145" s="74" t="s">
        <v>68</v>
      </c>
      <c r="E145" s="59"/>
      <c r="F145" s="76"/>
      <c r="G145" s="77"/>
      <c r="H145" s="78">
        <f>SUM(H142:H144)</f>
        <v>17980.766228</v>
      </c>
      <c r="I145" s="79"/>
      <c r="J145" s="64"/>
      <c r="K145" s="78">
        <f>SUM(K142:K144)</f>
        <v>32511.847218499996</v>
      </c>
      <c r="L145" s="65">
        <f t="shared" si="51"/>
        <v>14531.080990499995</v>
      </c>
      <c r="M145" s="66">
        <f>IF((H145)=0,"",(L145/H145))</f>
        <v>0.80814581571456678</v>
      </c>
    </row>
    <row r="146" spans="1:13" ht="25.5" x14ac:dyDescent="0.2">
      <c r="A146" s="28" t="str">
        <f t="shared" si="39"/>
        <v>STREET LIGHTING SERVICE CLASSIFICATION</v>
      </c>
      <c r="C146" s="44"/>
      <c r="D146" s="85" t="s">
        <v>69</v>
      </c>
      <c r="E146" s="46"/>
      <c r="F146" s="55">
        <v>3.4000000000000002E-3</v>
      </c>
      <c r="G146" s="68">
        <f>E119*E121</f>
        <v>297000.60956999997</v>
      </c>
      <c r="H146" s="86">
        <f t="shared" ref="H146:H148" si="52">G146*F146</f>
        <v>1009.8020725379999</v>
      </c>
      <c r="I146" s="55">
        <v>3.4000000000000002E-3</v>
      </c>
      <c r="J146" s="69">
        <f>E119*E122</f>
        <v>297000.60956999997</v>
      </c>
      <c r="K146" s="52">
        <f t="shared" ref="K146:K148" si="53">J146*I146</f>
        <v>1009.8020725379999</v>
      </c>
      <c r="L146" s="53">
        <f t="shared" si="51"/>
        <v>0</v>
      </c>
      <c r="M146" s="54">
        <f t="shared" ref="M146:M147" si="54">IF(ISERROR(L146/H146), "", L146/H146)</f>
        <v>0</v>
      </c>
    </row>
    <row r="147" spans="1:13" ht="25.5" x14ac:dyDescent="0.2">
      <c r="A147" s="28" t="str">
        <f t="shared" si="39"/>
        <v>STREET LIGHTING SERVICE CLASSIFICATION</v>
      </c>
      <c r="C147" s="44"/>
      <c r="D147" s="85" t="s">
        <v>70</v>
      </c>
      <c r="E147" s="46"/>
      <c r="F147" s="55">
        <v>5.0000000000000001E-4</v>
      </c>
      <c r="G147" s="68">
        <f>E119*E121</f>
        <v>297000.60956999997</v>
      </c>
      <c r="H147" s="86">
        <f t="shared" si="52"/>
        <v>148.500304785</v>
      </c>
      <c r="I147" s="55">
        <v>5.0000000000000001E-4</v>
      </c>
      <c r="J147" s="69">
        <f>E119*E122</f>
        <v>297000.60956999997</v>
      </c>
      <c r="K147" s="52">
        <f t="shared" si="53"/>
        <v>148.500304785</v>
      </c>
      <c r="L147" s="53">
        <f t="shared" si="51"/>
        <v>0</v>
      </c>
      <c r="M147" s="54">
        <f t="shared" si="54"/>
        <v>0</v>
      </c>
    </row>
    <row r="148" spans="1:13" x14ac:dyDescent="0.2">
      <c r="A148" s="28" t="str">
        <f t="shared" si="39"/>
        <v>STREET LIGHTING SERVICE CLASSIFICATION</v>
      </c>
      <c r="C148" s="44"/>
      <c r="D148" s="87" t="s">
        <v>71</v>
      </c>
      <c r="E148" s="46"/>
      <c r="F148" s="72">
        <v>0.25</v>
      </c>
      <c r="G148" s="48">
        <v>13780</v>
      </c>
      <c r="H148" s="86">
        <f t="shared" si="52"/>
        <v>3445</v>
      </c>
      <c r="I148" s="72">
        <v>0.25</v>
      </c>
      <c r="J148" s="48">
        <v>13780</v>
      </c>
      <c r="K148" s="86">
        <f t="shared" si="53"/>
        <v>3445</v>
      </c>
      <c r="L148" s="53">
        <f t="shared" ref="L148" si="55">K148-H148</f>
        <v>0</v>
      </c>
      <c r="M148" s="54">
        <f t="shared" ref="M148" si="56">IF(ISERROR(L148/H148), "", L148/H148)</f>
        <v>0</v>
      </c>
    </row>
    <row r="149" spans="1:13" ht="25.5" hidden="1" x14ac:dyDescent="0.2">
      <c r="A149" s="28" t="str">
        <f t="shared" si="39"/>
        <v>STREET LIGHTING SERVICE CLASSIFICATION</v>
      </c>
      <c r="C149" s="44"/>
      <c r="D149" s="85" t="s">
        <v>72</v>
      </c>
      <c r="E149" s="46"/>
      <c r="F149" s="55"/>
      <c r="G149" s="68"/>
      <c r="H149" s="86"/>
      <c r="I149" s="56"/>
      <c r="J149" s="69"/>
      <c r="K149" s="52"/>
      <c r="L149" s="53"/>
      <c r="M149" s="54"/>
    </row>
    <row r="150" spans="1:13" hidden="1" x14ac:dyDescent="0.2">
      <c r="A150" s="28" t="str">
        <f t="shared" si="39"/>
        <v>STREET LIGHTING SERVICE CLASSIFICATION</v>
      </c>
      <c r="B150" s="28" t="s">
        <v>28</v>
      </c>
      <c r="C150" s="44"/>
      <c r="D150" s="87" t="s">
        <v>73</v>
      </c>
      <c r="E150" s="46"/>
      <c r="F150" s="88">
        <v>8.2000000000000003E-2</v>
      </c>
      <c r="G150" s="89">
        <f>IF(AND(E119*12&gt;=150000),0.64*E119*E121,0.64*E119)</f>
        <v>190080.3901248</v>
      </c>
      <c r="H150" s="86">
        <f t="shared" ref="H150:H152" si="57">G150*F150</f>
        <v>15586.591990233601</v>
      </c>
      <c r="I150" s="90">
        <v>8.2000000000000003E-2</v>
      </c>
      <c r="J150" s="91">
        <f>IF(AND(E119*12&gt;=150000),0.64*E119*E122,0.64*E119)</f>
        <v>190080.3901248</v>
      </c>
      <c r="K150" s="52">
        <f t="shared" ref="K150:K152" si="58">J150*I150</f>
        <v>15586.591990233601</v>
      </c>
      <c r="L150" s="53">
        <f>K150-H150</f>
        <v>0</v>
      </c>
      <c r="M150" s="54">
        <f t="shared" ref="M150:M154" si="59">IF(ISERROR(L150/H150), "", L150/H150)</f>
        <v>0</v>
      </c>
    </row>
    <row r="151" spans="1:13" hidden="1" x14ac:dyDescent="0.2">
      <c r="A151" s="28" t="str">
        <f t="shared" si="39"/>
        <v>STREET LIGHTING SERVICE CLASSIFICATION</v>
      </c>
      <c r="B151" s="28" t="s">
        <v>28</v>
      </c>
      <c r="C151" s="44"/>
      <c r="D151" s="87" t="s">
        <v>74</v>
      </c>
      <c r="E151" s="46"/>
      <c r="F151" s="88">
        <v>0.113</v>
      </c>
      <c r="G151" s="89">
        <f>IF(AND(E119*12&gt;=150000),0.18*E119*E121,0.18*E119)</f>
        <v>53460.109722599991</v>
      </c>
      <c r="H151" s="86">
        <f t="shared" si="57"/>
        <v>6040.9923986537988</v>
      </c>
      <c r="I151" s="90">
        <v>0.113</v>
      </c>
      <c r="J151" s="91">
        <f>IF(AND(E119*12&gt;=150000),0.18*E119*E122,0.18*E119)</f>
        <v>53460.109722599991</v>
      </c>
      <c r="K151" s="52">
        <f t="shared" si="58"/>
        <v>6040.9923986537988</v>
      </c>
      <c r="L151" s="53">
        <f>K151-H151</f>
        <v>0</v>
      </c>
      <c r="M151" s="54">
        <f t="shared" si="59"/>
        <v>0</v>
      </c>
    </row>
    <row r="152" spans="1:13" hidden="1" x14ac:dyDescent="0.2">
      <c r="A152" s="28" t="str">
        <f t="shared" si="39"/>
        <v>STREET LIGHTING SERVICE CLASSIFICATION</v>
      </c>
      <c r="B152" s="28" t="s">
        <v>28</v>
      </c>
      <c r="C152" s="44"/>
      <c r="D152" s="28" t="s">
        <v>75</v>
      </c>
      <c r="E152" s="46"/>
      <c r="F152" s="88">
        <v>0.17</v>
      </c>
      <c r="G152" s="89">
        <f>IF(AND(E119*12&gt;=150000),0.18*E119*E121,0.18*E119)</f>
        <v>53460.109722599991</v>
      </c>
      <c r="H152" s="86">
        <f t="shared" si="57"/>
        <v>9088.2186528419988</v>
      </c>
      <c r="I152" s="90">
        <v>0.17</v>
      </c>
      <c r="J152" s="91">
        <f>IF(AND(E119*12&gt;=150000),0.18*E119*E122,0.18*E119)</f>
        <v>53460.109722599991</v>
      </c>
      <c r="K152" s="52">
        <f t="shared" si="58"/>
        <v>9088.2186528419988</v>
      </c>
      <c r="L152" s="53">
        <f>K152-H152</f>
        <v>0</v>
      </c>
      <c r="M152" s="54">
        <f t="shared" si="59"/>
        <v>0</v>
      </c>
    </row>
    <row r="153" spans="1:13" ht="13.5" thickBot="1" x14ac:dyDescent="0.25">
      <c r="A153" s="28" t="str">
        <f t="shared" si="39"/>
        <v>STREET LIGHTING SERVICE CLASSIFICATION</v>
      </c>
      <c r="B153" s="28" t="s">
        <v>30</v>
      </c>
      <c r="C153" s="44"/>
      <c r="D153" s="87" t="s">
        <v>76</v>
      </c>
      <c r="E153" s="46"/>
      <c r="F153" s="92">
        <v>9.6699999999999994E-2</v>
      </c>
      <c r="G153" s="89">
        <f>IF(AND(E119*12&gt;=150000),E119*E121,E119)</f>
        <v>297000.60956999997</v>
      </c>
      <c r="H153" s="86">
        <f>G153*F153</f>
        <v>28719.958945418995</v>
      </c>
      <c r="I153" s="93">
        <f>F153</f>
        <v>9.6699999999999994E-2</v>
      </c>
      <c r="J153" s="91">
        <f>IF(AND(E119*12&gt;=150000),E119*E122,E119)</f>
        <v>297000.60956999997</v>
      </c>
      <c r="K153" s="52">
        <f>J153*I153</f>
        <v>28719.958945418995</v>
      </c>
      <c r="L153" s="53">
        <f>K153-H153</f>
        <v>0</v>
      </c>
      <c r="M153" s="54">
        <f t="shared" si="59"/>
        <v>0</v>
      </c>
    </row>
    <row r="154" spans="1:13" ht="13.5" hidden="1" thickBot="1" x14ac:dyDescent="0.25">
      <c r="A154" s="28" t="str">
        <f t="shared" si="39"/>
        <v>STREET LIGHTING SERVICE CLASSIFICATION</v>
      </c>
      <c r="B154" s="28" t="s">
        <v>29</v>
      </c>
      <c r="C154" s="44"/>
      <c r="D154" s="87" t="s">
        <v>77</v>
      </c>
      <c r="E154" s="46"/>
      <c r="F154" s="92">
        <v>9.6699999999999994E-2</v>
      </c>
      <c r="G154" s="89">
        <f>IF(AND(E119*12&gt;=150000),E119*E121,E119)</f>
        <v>297000.60956999997</v>
      </c>
      <c r="H154" s="86">
        <f>G154*F154</f>
        <v>28719.958945418995</v>
      </c>
      <c r="I154" s="93">
        <f>F154</f>
        <v>9.6699999999999994E-2</v>
      </c>
      <c r="J154" s="91">
        <f>IF(AND(E119*12&gt;=150000),E119*E122,E119)</f>
        <v>297000.60956999997</v>
      </c>
      <c r="K154" s="52">
        <f>J154*I154</f>
        <v>28719.958945418995</v>
      </c>
      <c r="L154" s="53">
        <f>K154-H154</f>
        <v>0</v>
      </c>
      <c r="M154" s="54">
        <f t="shared" si="59"/>
        <v>0</v>
      </c>
    </row>
    <row r="155" spans="1:13" ht="13.5" thickBot="1" x14ac:dyDescent="0.25">
      <c r="A155" s="28" t="str">
        <f t="shared" si="39"/>
        <v>STREET LIGHTING SERVICE CLASSIFICATION</v>
      </c>
      <c r="C155" s="44"/>
      <c r="D155" s="94"/>
      <c r="E155" s="95"/>
      <c r="F155" s="96"/>
      <c r="G155" s="97"/>
      <c r="H155" s="98"/>
      <c r="I155" s="96"/>
      <c r="J155" s="99"/>
      <c r="K155" s="98"/>
      <c r="L155" s="100"/>
      <c r="M155" s="101"/>
    </row>
    <row r="156" spans="1:13" hidden="1" x14ac:dyDescent="0.2">
      <c r="A156" s="28" t="str">
        <f t="shared" si="39"/>
        <v>STREET LIGHTING SERVICE CLASSIFICATION</v>
      </c>
      <c r="B156" s="28" t="s">
        <v>28</v>
      </c>
      <c r="C156" s="44"/>
      <c r="D156" s="102" t="s">
        <v>78</v>
      </c>
      <c r="E156" s="87"/>
      <c r="F156" s="103"/>
      <c r="G156" s="104"/>
      <c r="H156" s="105">
        <f>SUM(H146:H152,H145)</f>
        <v>53299.871647052401</v>
      </c>
      <c r="I156" s="106"/>
      <c r="J156" s="106"/>
      <c r="K156" s="105">
        <f>SUM(K146:K152,K145)</f>
        <v>67830.9526375524</v>
      </c>
      <c r="L156" s="107">
        <f>K156-H156</f>
        <v>14531.080990499999</v>
      </c>
      <c r="M156" s="108">
        <f>IF((H156)=0,"",(L156/H156))</f>
        <v>0.27262881769629177</v>
      </c>
    </row>
    <row r="157" spans="1:13" hidden="1" x14ac:dyDescent="0.2">
      <c r="A157" s="28" t="str">
        <f t="shared" si="39"/>
        <v>STREET LIGHTING SERVICE CLASSIFICATION</v>
      </c>
      <c r="B157" s="28" t="s">
        <v>28</v>
      </c>
      <c r="C157" s="44"/>
      <c r="D157" s="109" t="s">
        <v>79</v>
      </c>
      <c r="E157" s="87"/>
      <c r="F157" s="103">
        <v>0.13</v>
      </c>
      <c r="G157" s="110"/>
      <c r="H157" s="111">
        <f>H156*F157</f>
        <v>6928.9833141168128</v>
      </c>
      <c r="I157" s="112">
        <v>0.13</v>
      </c>
      <c r="J157" s="48"/>
      <c r="K157" s="111">
        <f>K156*I157</f>
        <v>8818.023842881812</v>
      </c>
      <c r="L157" s="53">
        <f>K157-H157</f>
        <v>1889.0405287649992</v>
      </c>
      <c r="M157" s="113">
        <f>IF((H157)=0,"",(L157/H157))</f>
        <v>0.27262881769629166</v>
      </c>
    </row>
    <row r="158" spans="1:13" ht="15" hidden="1" x14ac:dyDescent="0.25">
      <c r="A158" s="28" t="str">
        <f t="shared" si="39"/>
        <v>STREET LIGHTING SERVICE CLASSIFICATION</v>
      </c>
      <c r="B158" s="28" t="s">
        <v>28</v>
      </c>
      <c r="C158" s="44"/>
      <c r="D158" s="109" t="s">
        <v>80</v>
      </c>
      <c r="E158"/>
      <c r="F158" s="114">
        <v>0.17</v>
      </c>
      <c r="G158" s="110"/>
      <c r="H158" s="111">
        <f>IF(OR(ISNUMBER(SEARCH("[DGEN]", E117))=TRUE, ISNUMBER(SEARCH("STREET LIGHT", E117))=TRUE), 0, IF(AND(E119=0, E120=0),0, IF(AND(E120=0, E119*12&gt;250000), 0, IF(AND(E119=0, E120&gt;=50), 0, IF(E119*12&lt;=250000, F158*H156*-1, IF(E120&lt;50, F158*H156*-1, 0))))))</f>
        <v>0</v>
      </c>
      <c r="I158" s="114">
        <v>0.17</v>
      </c>
      <c r="J158" s="48"/>
      <c r="K158" s="111">
        <f>IF(OR(ISNUMBER(SEARCH("[DGEN]", E117))=TRUE, ISNUMBER(SEARCH("STREET LIGHT", E117))=TRUE), 0, IF(AND(E119=0, E120=0),0, IF(AND(E120=0, E119*12&gt;250000), 0, IF(AND(E119=0, E120&gt;=50), 0, IF(E119*12&lt;=250000, I158*K156*-1, IF(E120&lt;50, I158*K156*-1, 0))))))</f>
        <v>0</v>
      </c>
      <c r="L158" s="53">
        <f>K158-H158</f>
        <v>0</v>
      </c>
      <c r="M158" s="113"/>
    </row>
    <row r="159" spans="1:13" hidden="1" x14ac:dyDescent="0.2">
      <c r="A159" s="28" t="str">
        <f t="shared" si="39"/>
        <v>STREET LIGHTING SERVICE CLASSIFICATION</v>
      </c>
      <c r="B159" s="28" t="s">
        <v>81</v>
      </c>
      <c r="C159" s="44"/>
      <c r="D159" s="152" t="s">
        <v>82</v>
      </c>
      <c r="E159" s="152"/>
      <c r="F159" s="115"/>
      <c r="G159" s="116"/>
      <c r="H159" s="117">
        <f>H156+H157+H158</f>
        <v>60228.854961169214</v>
      </c>
      <c r="I159" s="118"/>
      <c r="J159" s="118"/>
      <c r="K159" s="119">
        <f>K156+K157+K158</f>
        <v>76648.976480434212</v>
      </c>
      <c r="L159" s="120">
        <f>K159-H159</f>
        <v>16420.121519264998</v>
      </c>
      <c r="M159" s="121">
        <f>IF((H159)=0,"",(L159/H159))</f>
        <v>0.27262881769629171</v>
      </c>
    </row>
    <row r="160" spans="1:13" ht="13.5" hidden="1" thickBot="1" x14ac:dyDescent="0.25">
      <c r="A160" s="28" t="str">
        <f t="shared" si="39"/>
        <v>STREET LIGHTING SERVICE CLASSIFICATION</v>
      </c>
      <c r="B160" s="28" t="s">
        <v>28</v>
      </c>
      <c r="C160" s="44"/>
      <c r="D160" s="94"/>
      <c r="E160" s="95"/>
      <c r="F160" s="96"/>
      <c r="G160" s="97"/>
      <c r="H160" s="98"/>
      <c r="I160" s="96"/>
      <c r="J160" s="99"/>
      <c r="K160" s="98"/>
      <c r="L160" s="100"/>
      <c r="M160" s="101"/>
    </row>
    <row r="161" spans="1:13" x14ac:dyDescent="0.2">
      <c r="A161" s="28" t="str">
        <f t="shared" si="39"/>
        <v>STREET LIGHTING SERVICE CLASSIFICATION</v>
      </c>
      <c r="B161" s="28" t="s">
        <v>30</v>
      </c>
      <c r="C161" s="44"/>
      <c r="D161" s="102" t="s">
        <v>83</v>
      </c>
      <c r="E161" s="87"/>
      <c r="F161" s="103"/>
      <c r="G161" s="104"/>
      <c r="H161" s="105">
        <f>SUM(H153,H146:H149,H145)</f>
        <v>51304.027550741994</v>
      </c>
      <c r="I161" s="106"/>
      <c r="J161" s="106"/>
      <c r="K161" s="105">
        <f>SUM(K153,K146:K149,K145)</f>
        <v>65835.108541241992</v>
      </c>
      <c r="L161" s="107">
        <f>K161-H161</f>
        <v>14531.080990499999</v>
      </c>
      <c r="M161" s="108">
        <f>IF((H161)=0,"",(L161/H161))</f>
        <v>0.28323470269713436</v>
      </c>
    </row>
    <row r="162" spans="1:13" x14ac:dyDescent="0.2">
      <c r="A162" s="28" t="str">
        <f t="shared" si="39"/>
        <v>STREET LIGHTING SERVICE CLASSIFICATION</v>
      </c>
      <c r="B162" s="28" t="s">
        <v>30</v>
      </c>
      <c r="C162" s="44"/>
      <c r="D162" s="109" t="s">
        <v>79</v>
      </c>
      <c r="E162" s="87"/>
      <c r="F162" s="103">
        <v>0.13</v>
      </c>
      <c r="G162" s="104"/>
      <c r="H162" s="111">
        <f>H161*F162</f>
        <v>6669.5235815964597</v>
      </c>
      <c r="I162" s="103">
        <v>0.13</v>
      </c>
      <c r="J162" s="112"/>
      <c r="K162" s="111">
        <f>K161*I162</f>
        <v>8558.5641103614598</v>
      </c>
      <c r="L162" s="53">
        <f>K162-H162</f>
        <v>1889.0405287650001</v>
      </c>
      <c r="M162" s="113">
        <f>IF((H162)=0,"",(L162/H162))</f>
        <v>0.28323470269713436</v>
      </c>
    </row>
    <row r="163" spans="1:13" ht="15" x14ac:dyDescent="0.25">
      <c r="A163" s="28" t="str">
        <f t="shared" si="39"/>
        <v>STREET LIGHTING SERVICE CLASSIFICATION</v>
      </c>
      <c r="B163" s="28" t="s">
        <v>30</v>
      </c>
      <c r="C163" s="44"/>
      <c r="D163" s="109" t="s">
        <v>80</v>
      </c>
      <c r="E163"/>
      <c r="F163" s="114">
        <v>0.17</v>
      </c>
      <c r="G163" s="104"/>
      <c r="H163" s="111">
        <f>IF(OR(ISNUMBER(SEARCH("[DGEN]", E117))=TRUE, ISNUMBER(SEARCH("STREET LIGHT", E117))=TRUE), 0, IF(AND(E119=0, E120=0),0, IF(AND(E120=0, E119*12&gt;250000), 0, IF(AND(E119=0, E120&gt;=50), 0, IF(E119*12&lt;=250000, F163*H161*-1, IF(E120&lt;50, F163*H161*-1, 0))))))</f>
        <v>0</v>
      </c>
      <c r="I163" s="114">
        <v>0.17</v>
      </c>
      <c r="J163" s="112"/>
      <c r="K163" s="111">
        <f>IF(OR(ISNUMBER(SEARCH("[DGEN]", E117))=TRUE, ISNUMBER(SEARCH("STREET LIGHT", E117))=TRUE), 0, IF(AND(E119=0, E120=0),0, IF(AND(E120=0, E119*12&gt;250000), 0, IF(AND(E119=0, E120&gt;=50), 0, IF(E119*12&lt;=250000, I163*K161*-1, IF(E120&lt;50, I163*K161*-1, 0))))))</f>
        <v>0</v>
      </c>
      <c r="L163" s="53"/>
      <c r="M163" s="113"/>
    </row>
    <row r="164" spans="1:13" ht="13.5" thickBot="1" x14ac:dyDescent="0.25">
      <c r="A164" s="28" t="str">
        <f t="shared" si="39"/>
        <v>STREET LIGHTING SERVICE CLASSIFICATION</v>
      </c>
      <c r="B164" s="28" t="s">
        <v>84</v>
      </c>
      <c r="C164" s="44">
        <f>B21</f>
        <v>0</v>
      </c>
      <c r="D164" s="152" t="s">
        <v>83</v>
      </c>
      <c r="E164" s="152"/>
      <c r="F164" s="122"/>
      <c r="G164" s="123"/>
      <c r="H164" s="117">
        <f>SUM(H161,H162)</f>
        <v>57973.551132338456</v>
      </c>
      <c r="I164" s="124"/>
      <c r="J164" s="124"/>
      <c r="K164" s="117">
        <f>SUM(K161,K162)</f>
        <v>74393.672651603454</v>
      </c>
      <c r="L164" s="125">
        <f>K164-H164</f>
        <v>16420.121519264998</v>
      </c>
      <c r="M164" s="126">
        <f>IF((H164)=0,"",(L164/H164))</f>
        <v>0.28323470269713436</v>
      </c>
    </row>
    <row r="165" spans="1:13" ht="13.5" thickBot="1" x14ac:dyDescent="0.25">
      <c r="A165" s="28" t="str">
        <f t="shared" si="39"/>
        <v>STREET LIGHTING SERVICE CLASSIFICATION</v>
      </c>
      <c r="B165" s="28" t="s">
        <v>30</v>
      </c>
      <c r="C165" s="44"/>
      <c r="D165" s="94"/>
      <c r="E165" s="95"/>
      <c r="F165" s="127"/>
      <c r="G165" s="128"/>
      <c r="H165" s="129"/>
      <c r="I165" s="127"/>
      <c r="J165" s="97"/>
      <c r="K165" s="129"/>
      <c r="L165" s="130"/>
      <c r="M165" s="101"/>
    </row>
  </sheetData>
  <mergeCells count="35">
    <mergeCell ref="D159:E159"/>
    <mergeCell ref="D164:E164"/>
    <mergeCell ref="E118:G118"/>
    <mergeCell ref="F124:H124"/>
    <mergeCell ref="I124:K124"/>
    <mergeCell ref="L124:M124"/>
    <mergeCell ref="E125:E126"/>
    <mergeCell ref="L125:L126"/>
    <mergeCell ref="M125:M126"/>
    <mergeCell ref="E75:E76"/>
    <mergeCell ref="L75:L76"/>
    <mergeCell ref="M75:M76"/>
    <mergeCell ref="D109:E109"/>
    <mergeCell ref="D114:E114"/>
    <mergeCell ref="E117:J117"/>
    <mergeCell ref="D64:E64"/>
    <mergeCell ref="E67:J67"/>
    <mergeCell ref="E68:G68"/>
    <mergeCell ref="F74:H74"/>
    <mergeCell ref="I74:K74"/>
    <mergeCell ref="L74:M74"/>
    <mergeCell ref="L19:M19"/>
    <mergeCell ref="E20:E21"/>
    <mergeCell ref="L20:L21"/>
    <mergeCell ref="M20:M21"/>
    <mergeCell ref="D54:E54"/>
    <mergeCell ref="D59:E59"/>
    <mergeCell ref="E12:J12"/>
    <mergeCell ref="E13:G13"/>
    <mergeCell ref="F19:H19"/>
    <mergeCell ref="I19:K19"/>
    <mergeCell ref="C3:K3"/>
    <mergeCell ref="D10:M10"/>
    <mergeCell ref="D11:M11"/>
    <mergeCell ref="N11:O11"/>
  </mergeCells>
  <dataValidations count="1">
    <dataValidation type="list" allowBlank="1" showInputMessage="1" showErrorMessage="1" prompt="Select Charge Unit - monthly, per kWh, per kW" sqref="E55 E60 E65 E50 E110 E115 E105 E160 E165 E155" xr:uid="{71B98886-BBE6-4104-B537-048B30BE7F9D}">
      <formula1>"Monthly, per kWh, per kW"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240D-5CA5-4234-A800-B419271E7779}">
  <dimension ref="A1:CA165"/>
  <sheetViews>
    <sheetView topLeftCell="C10" zoomScale="85" zoomScaleNormal="85" workbookViewId="0">
      <selection activeCell="J69" sqref="J69"/>
    </sheetView>
  </sheetViews>
  <sheetFormatPr defaultColWidth="9.28515625" defaultRowHeight="12.75" x14ac:dyDescent="0.2"/>
  <cols>
    <col min="1" max="1" width="9" style="28" hidden="1" customWidth="1"/>
    <col min="2" max="2" width="4.7109375" style="28" hidden="1" customWidth="1"/>
    <col min="3" max="3" width="3.42578125" style="29" customWidth="1"/>
    <col min="4" max="4" width="34.7109375" style="28" customWidth="1"/>
    <col min="5" max="5" width="13.28515625" style="28" customWidth="1"/>
    <col min="6" max="6" width="26.7109375" style="28" customWidth="1"/>
    <col min="7" max="7" width="10.28515625" style="28" bestFit="1" customWidth="1"/>
    <col min="8" max="8" width="18.28515625" style="28" customWidth="1"/>
    <col min="9" max="9" width="12.7109375" style="28" customWidth="1"/>
    <col min="10" max="10" width="14.28515625" style="28" bestFit="1" customWidth="1"/>
    <col min="11" max="11" width="18.7109375" style="28" bestFit="1" customWidth="1"/>
    <col min="12" max="12" width="13.5703125" style="28" bestFit="1" customWidth="1"/>
    <col min="13" max="13" width="15.7109375" style="28" customWidth="1"/>
    <col min="14" max="14" width="22.28515625" style="28" customWidth="1"/>
    <col min="15" max="15" width="14.42578125" style="28" customWidth="1"/>
    <col min="16" max="16" width="3.7109375" style="28" customWidth="1"/>
    <col min="17" max="17" width="11.28515625" style="28" customWidth="1"/>
    <col min="18" max="19" width="9.28515625" style="28"/>
    <col min="20" max="20" width="9.28515625" style="28" hidden="1" customWidth="1"/>
    <col min="21" max="16384" width="9.28515625" style="28"/>
  </cols>
  <sheetData>
    <row r="1" spans="3:79" s="19" customFormat="1" ht="21.75" x14ac:dyDescent="0.2">
      <c r="C1" s="15"/>
      <c r="D1" s="16"/>
      <c r="E1" s="16"/>
      <c r="F1" s="16"/>
      <c r="G1" s="16"/>
      <c r="H1" s="16"/>
      <c r="I1" s="16"/>
      <c r="J1" s="16"/>
      <c r="K1" s="16"/>
      <c r="L1" s="17"/>
      <c r="M1" s="18"/>
      <c r="P1" s="20"/>
      <c r="AZ1" s="19" t="s">
        <v>27</v>
      </c>
      <c r="CA1" s="19">
        <v>1</v>
      </c>
    </row>
    <row r="2" spans="3:79" s="19" customFormat="1" ht="18" x14ac:dyDescent="0.25">
      <c r="C2" s="21"/>
      <c r="D2" s="22"/>
      <c r="E2" s="22"/>
      <c r="F2" s="22"/>
      <c r="G2" s="22"/>
      <c r="H2" s="22"/>
      <c r="I2" s="22"/>
      <c r="J2" s="22"/>
      <c r="K2" s="22"/>
      <c r="L2" s="17"/>
      <c r="M2" s="18"/>
      <c r="P2" s="20"/>
    </row>
    <row r="3" spans="3:79" s="19" customFormat="1" ht="18" x14ac:dyDescent="0.25">
      <c r="C3" s="165"/>
      <c r="D3" s="165"/>
      <c r="E3" s="165"/>
      <c r="F3" s="165"/>
      <c r="G3" s="165"/>
      <c r="H3" s="165"/>
      <c r="I3" s="165"/>
      <c r="J3" s="165"/>
      <c r="K3" s="165"/>
      <c r="L3" s="17"/>
      <c r="M3" s="18"/>
      <c r="P3" s="20"/>
    </row>
    <row r="4" spans="3:79" s="19" customFormat="1" ht="18" x14ac:dyDescent="0.25">
      <c r="C4" s="21"/>
      <c r="D4" s="22"/>
      <c r="E4" s="22"/>
      <c r="F4" s="22"/>
      <c r="G4" s="22"/>
      <c r="H4" s="22"/>
      <c r="I4" s="23"/>
      <c r="J4" s="23"/>
      <c r="K4" s="23"/>
      <c r="L4" s="17"/>
      <c r="M4" s="18"/>
      <c r="P4" s="20"/>
    </row>
    <row r="5" spans="3:79" s="19" customFormat="1" ht="15.75" x14ac:dyDescent="0.25">
      <c r="C5" s="24"/>
      <c r="E5" s="25"/>
      <c r="L5" s="17"/>
      <c r="M5" s="18"/>
      <c r="P5" s="20"/>
    </row>
    <row r="6" spans="3:79" s="19" customFormat="1" x14ac:dyDescent="0.2">
      <c r="C6" s="24"/>
      <c r="L6" s="17"/>
      <c r="M6" s="18"/>
      <c r="P6" s="20"/>
    </row>
    <row r="7" spans="3:79" s="19" customFormat="1" ht="9.75" customHeight="1" x14ac:dyDescent="0.2">
      <c r="C7" s="24"/>
      <c r="L7" s="17"/>
      <c r="M7" s="18"/>
      <c r="P7" s="20"/>
    </row>
    <row r="8" spans="3:79" s="19" customFormat="1" ht="2.25" customHeight="1" x14ac:dyDescent="0.2">
      <c r="C8" s="24"/>
      <c r="M8" s="18"/>
      <c r="N8" s="20"/>
      <c r="O8" s="20"/>
      <c r="P8" s="20"/>
    </row>
    <row r="9" spans="3:79" s="20" customFormat="1" ht="2.25" customHeight="1" x14ac:dyDescent="0.2">
      <c r="C9" s="26"/>
    </row>
    <row r="10" spans="3:79" s="20" customFormat="1" ht="2.25" customHeight="1" x14ac:dyDescent="0.25">
      <c r="C10" s="26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27"/>
      <c r="O10" s="27"/>
    </row>
    <row r="11" spans="3:79" s="20" customFormat="1" ht="2.25" customHeight="1" x14ac:dyDescent="0.25">
      <c r="C11" s="26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</row>
    <row r="12" spans="3:79" x14ac:dyDescent="0.2">
      <c r="C12" s="28"/>
      <c r="D12" s="30" t="s">
        <v>32</v>
      </c>
      <c r="E12" s="163" t="s">
        <v>23</v>
      </c>
      <c r="F12" s="163"/>
      <c r="G12" s="163"/>
      <c r="H12" s="163"/>
      <c r="I12" s="163"/>
      <c r="J12" s="163"/>
      <c r="T12" s="28" t="s">
        <v>31</v>
      </c>
    </row>
    <row r="13" spans="3:79" x14ac:dyDescent="0.2">
      <c r="C13" s="28"/>
      <c r="D13" s="30" t="s">
        <v>33</v>
      </c>
      <c r="E13" s="164" t="s">
        <v>30</v>
      </c>
      <c r="F13" s="164"/>
      <c r="G13" s="164"/>
      <c r="H13" s="31"/>
      <c r="I13" s="31"/>
    </row>
    <row r="14" spans="3:79" ht="15.75" x14ac:dyDescent="0.2">
      <c r="C14" s="28"/>
      <c r="D14" s="30" t="s">
        <v>34</v>
      </c>
      <c r="E14" s="32">
        <v>12727.314166666669</v>
      </c>
      <c r="F14" s="33" t="s">
        <v>14</v>
      </c>
      <c r="J14" s="34"/>
      <c r="K14" s="34"/>
      <c r="L14" s="34"/>
      <c r="M14" s="34"/>
      <c r="N14" s="34"/>
    </row>
    <row r="15" spans="3:79" ht="15.75" x14ac:dyDescent="0.25">
      <c r="C15" s="28"/>
      <c r="D15" s="30" t="s">
        <v>35</v>
      </c>
      <c r="E15" s="32">
        <v>35.459999999999994</v>
      </c>
      <c r="F15" s="35" t="s">
        <v>17</v>
      </c>
      <c r="G15" s="36"/>
      <c r="H15" s="37"/>
      <c r="I15" s="37"/>
      <c r="J15" s="37"/>
    </row>
    <row r="16" spans="3:79" x14ac:dyDescent="0.2">
      <c r="C16" s="28"/>
      <c r="D16" s="30" t="s">
        <v>36</v>
      </c>
      <c r="E16" s="38">
        <v>1.026</v>
      </c>
    </row>
    <row r="17" spans="1:13" x14ac:dyDescent="0.2">
      <c r="C17" s="28"/>
      <c r="D17" s="30" t="s">
        <v>37</v>
      </c>
      <c r="E17" s="38">
        <v>1.026</v>
      </c>
    </row>
    <row r="18" spans="1:13" x14ac:dyDescent="0.2">
      <c r="C18" s="28"/>
    </row>
    <row r="19" spans="1:13" x14ac:dyDescent="0.2">
      <c r="C19" s="28"/>
      <c r="E19" s="33"/>
      <c r="F19" s="153" t="s">
        <v>38</v>
      </c>
      <c r="G19" s="154"/>
      <c r="H19" s="155"/>
      <c r="I19" s="153" t="s">
        <v>39</v>
      </c>
      <c r="J19" s="154"/>
      <c r="K19" s="155"/>
      <c r="L19" s="153" t="s">
        <v>40</v>
      </c>
      <c r="M19" s="155"/>
    </row>
    <row r="20" spans="1:13" x14ac:dyDescent="0.2">
      <c r="C20" s="28"/>
      <c r="E20" s="156"/>
      <c r="F20" s="39" t="s">
        <v>41</v>
      </c>
      <c r="G20" s="39" t="s">
        <v>42</v>
      </c>
      <c r="H20" s="40" t="s">
        <v>43</v>
      </c>
      <c r="I20" s="39" t="s">
        <v>41</v>
      </c>
      <c r="J20" s="41" t="s">
        <v>42</v>
      </c>
      <c r="K20" s="40" t="s">
        <v>43</v>
      </c>
      <c r="L20" s="158" t="s">
        <v>44</v>
      </c>
      <c r="M20" s="160" t="s">
        <v>45</v>
      </c>
    </row>
    <row r="21" spans="1:13" x14ac:dyDescent="0.2">
      <c r="C21" s="28"/>
      <c r="E21" s="157"/>
      <c r="F21" s="42" t="s">
        <v>46</v>
      </c>
      <c r="G21" s="42"/>
      <c r="H21" s="43" t="s">
        <v>46</v>
      </c>
      <c r="I21" s="42" t="s">
        <v>46</v>
      </c>
      <c r="J21" s="43"/>
      <c r="K21" s="43" t="s">
        <v>46</v>
      </c>
      <c r="L21" s="159"/>
      <c r="M21" s="161"/>
    </row>
    <row r="22" spans="1:13" x14ac:dyDescent="0.2">
      <c r="A22" s="28" t="str">
        <f>$E12</f>
        <v>STREET LIGHTING SERVICE CLASSIFICATION</v>
      </c>
      <c r="C22" s="44"/>
      <c r="D22" s="45" t="s">
        <v>47</v>
      </c>
      <c r="E22" s="46"/>
      <c r="F22" s="47">
        <v>0.47</v>
      </c>
      <c r="G22" s="48">
        <v>522</v>
      </c>
      <c r="H22" s="49">
        <f>G22*F22</f>
        <v>245.33999999999997</v>
      </c>
      <c r="I22" s="50">
        <v>0.48</v>
      </c>
      <c r="J22" s="51">
        <v>522</v>
      </c>
      <c r="K22" s="52">
        <f>J22*I22</f>
        <v>250.56</v>
      </c>
      <c r="L22" s="53">
        <f t="shared" ref="L22:L42" si="0">K22-H22</f>
        <v>5.2200000000000273</v>
      </c>
      <c r="M22" s="54">
        <f>IF(ISERROR(L22/H22), "", L22/H22)</f>
        <v>2.1276595744680965E-2</v>
      </c>
    </row>
    <row r="23" spans="1:13" x14ac:dyDescent="0.2">
      <c r="A23" s="28" t="str">
        <f>A22</f>
        <v>STREET LIGHTING SERVICE CLASSIFICATION</v>
      </c>
      <c r="C23" s="44"/>
      <c r="D23" s="45" t="s">
        <v>48</v>
      </c>
      <c r="E23" s="46"/>
      <c r="F23" s="55">
        <v>11.1096</v>
      </c>
      <c r="G23" s="48">
        <f>IF($E15&gt;0, $E15, $E14)</f>
        <v>35.459999999999994</v>
      </c>
      <c r="H23" s="49">
        <f t="shared" ref="H23:H35" si="1">G23*F23</f>
        <v>393.94641599999994</v>
      </c>
      <c r="I23" s="56">
        <v>11.4429</v>
      </c>
      <c r="J23" s="51">
        <f>IF($E15&gt;0, $E15, $E14)</f>
        <v>35.459999999999994</v>
      </c>
      <c r="K23" s="52">
        <f>J23*I23</f>
        <v>405.76523399999991</v>
      </c>
      <c r="L23" s="53">
        <f t="shared" si="0"/>
        <v>11.818817999999965</v>
      </c>
      <c r="M23" s="54">
        <f t="shared" ref="M23:M33" si="2">IF(ISERROR(L23/H23), "", L23/H23)</f>
        <v>3.0001080146899894E-2</v>
      </c>
    </row>
    <row r="24" spans="1:13" hidden="1" x14ac:dyDescent="0.2">
      <c r="A24" s="28" t="str">
        <f t="shared" ref="A24:A65" si="3">A23</f>
        <v>STREET LIGHTING SERVICE CLASSIFICATION</v>
      </c>
      <c r="C24" s="44"/>
      <c r="D24" s="45" t="s">
        <v>49</v>
      </c>
      <c r="E24" s="46"/>
      <c r="F24" s="55"/>
      <c r="G24" s="48">
        <f>IF($E15&gt;0, $E15, $E14)</f>
        <v>35.459999999999994</v>
      </c>
      <c r="H24" s="49">
        <v>0</v>
      </c>
      <c r="I24" s="56"/>
      <c r="J24" s="51">
        <f>IF($E15&gt;0, $E15, $E14)</f>
        <v>35.459999999999994</v>
      </c>
      <c r="K24" s="52">
        <v>0</v>
      </c>
      <c r="L24" s="53"/>
      <c r="M24" s="54"/>
    </row>
    <row r="25" spans="1:13" hidden="1" x14ac:dyDescent="0.2">
      <c r="A25" s="28" t="str">
        <f t="shared" si="3"/>
        <v>STREET LIGHTING SERVICE CLASSIFICATION</v>
      </c>
      <c r="C25" s="44"/>
      <c r="D25" s="45" t="s">
        <v>50</v>
      </c>
      <c r="E25" s="46"/>
      <c r="F25" s="55"/>
      <c r="G25" s="48">
        <f>IF($E15&gt;0, $E15, $E14)</f>
        <v>35.459999999999994</v>
      </c>
      <c r="H25" s="49">
        <v>0</v>
      </c>
      <c r="I25" s="56"/>
      <c r="J25" s="57">
        <f>IF($E15&gt;0, $E15, $E14)</f>
        <v>35.459999999999994</v>
      </c>
      <c r="K25" s="52">
        <v>0</v>
      </c>
      <c r="L25" s="53">
        <f>K25-H25</f>
        <v>0</v>
      </c>
      <c r="M25" s="54" t="str">
        <f>IF(ISERROR(L25/H25), "", L25/H25)</f>
        <v/>
      </c>
    </row>
    <row r="26" spans="1:13" x14ac:dyDescent="0.2">
      <c r="A26" s="28" t="str">
        <f t="shared" si="3"/>
        <v>STREET LIGHTING SERVICE CLASSIFICATION</v>
      </c>
      <c r="C26" s="44"/>
      <c r="D26" s="45" t="s">
        <v>51</v>
      </c>
      <c r="E26" s="46"/>
      <c r="F26" s="47">
        <v>-0.01</v>
      </c>
      <c r="G26" s="48">
        <v>522</v>
      </c>
      <c r="H26" s="49">
        <f t="shared" si="1"/>
        <v>-5.22</v>
      </c>
      <c r="I26" s="50">
        <v>-0.01</v>
      </c>
      <c r="J26" s="51">
        <v>522</v>
      </c>
      <c r="K26" s="52">
        <f t="shared" ref="K26:K33" si="4">J26*I26</f>
        <v>-5.22</v>
      </c>
      <c r="L26" s="53">
        <f t="shared" si="0"/>
        <v>0</v>
      </c>
      <c r="M26" s="54">
        <f t="shared" si="2"/>
        <v>0</v>
      </c>
    </row>
    <row r="27" spans="1:13" x14ac:dyDescent="0.2">
      <c r="A27" s="28" t="str">
        <f t="shared" si="3"/>
        <v>STREET LIGHTING SERVICE CLASSIFICATION</v>
      </c>
      <c r="C27" s="44"/>
      <c r="D27" s="45" t="s">
        <v>52</v>
      </c>
      <c r="E27" s="46"/>
      <c r="F27" s="55">
        <v>-1.6225000000000001</v>
      </c>
      <c r="G27" s="48">
        <f>IF($E15&gt;0, $E15, $E14)</f>
        <v>35.459999999999994</v>
      </c>
      <c r="H27" s="49">
        <f t="shared" si="1"/>
        <v>-57.533849999999994</v>
      </c>
      <c r="I27" s="56">
        <v>35.527500000000003</v>
      </c>
      <c r="J27" s="51">
        <f>IF($E15&gt;0, $E15, $E14)</f>
        <v>35.459999999999994</v>
      </c>
      <c r="K27" s="52">
        <f t="shared" si="4"/>
        <v>1259.8051499999999</v>
      </c>
      <c r="L27" s="53">
        <f t="shared" si="0"/>
        <v>1317.3389999999999</v>
      </c>
      <c r="M27" s="54">
        <f t="shared" si="2"/>
        <v>-22.896764252696457</v>
      </c>
    </row>
    <row r="28" spans="1:13" x14ac:dyDescent="0.2">
      <c r="A28" s="28" t="str">
        <f t="shared" si="3"/>
        <v>STREET LIGHTING SERVICE CLASSIFICATION</v>
      </c>
      <c r="B28" s="28" t="s">
        <v>53</v>
      </c>
      <c r="C28" s="44" t="e">
        <f>#REF!</f>
        <v>#REF!</v>
      </c>
      <c r="D28" s="58" t="s">
        <v>54</v>
      </c>
      <c r="E28" s="59"/>
      <c r="F28" s="60"/>
      <c r="G28" s="61"/>
      <c r="H28" s="62">
        <f>SUM(H22:H27)</f>
        <v>576.53256599999986</v>
      </c>
      <c r="I28" s="63"/>
      <c r="J28" s="64"/>
      <c r="K28" s="62">
        <f>SUM(K22:K27)</f>
        <v>1910.9103839999998</v>
      </c>
      <c r="L28" s="65">
        <f t="shared" si="0"/>
        <v>1334.3778179999999</v>
      </c>
      <c r="M28" s="66">
        <f>IF((H28)=0,"",(L28/H28))</f>
        <v>2.3144881949305187</v>
      </c>
    </row>
    <row r="29" spans="1:13" x14ac:dyDescent="0.2">
      <c r="A29" s="28" t="str">
        <f t="shared" si="3"/>
        <v>STREET LIGHTING SERVICE CLASSIFICATION</v>
      </c>
      <c r="C29" s="44"/>
      <c r="D29" s="67" t="s">
        <v>55</v>
      </c>
      <c r="E29" s="46"/>
      <c r="F29" s="55">
        <f>IF((E14*12&gt;=150000), 0, IF(E13="RPP",(F45*0.64+F46*0.18+F47*0.18),IF(E13="Non-RPP (Retailer)",F48,F49)))</f>
        <v>0</v>
      </c>
      <c r="G29" s="68">
        <f>IF(F29=0, 0, $E14*E16-E14)</f>
        <v>0</v>
      </c>
      <c r="H29" s="49">
        <f>G29*F29</f>
        <v>0</v>
      </c>
      <c r="I29" s="56">
        <f>IF((E14*12&gt;=150000), 0, IF(E13="RPP",(I45*0.64+I46*0.18+I47*0.18),IF(E13="Non-RPP (Retailer)",I48,I49)))</f>
        <v>0</v>
      </c>
      <c r="J29" s="69">
        <f>IF(I29=0, 0, E14*E17-E14)</f>
        <v>0</v>
      </c>
      <c r="K29" s="52">
        <f>J29*I29</f>
        <v>0</v>
      </c>
      <c r="L29" s="53">
        <f>K29-H29</f>
        <v>0</v>
      </c>
      <c r="M29" s="54" t="str">
        <f>IF(ISERROR(L29/H29), "", L29/H29)</f>
        <v/>
      </c>
    </row>
    <row r="30" spans="1:13" ht="25.5" x14ac:dyDescent="0.2">
      <c r="A30" s="28" t="str">
        <f t="shared" si="3"/>
        <v>STREET LIGHTING SERVICE CLASSIFICATION</v>
      </c>
      <c r="C30" s="44"/>
      <c r="D30" s="67" t="s">
        <v>56</v>
      </c>
      <c r="E30" s="46"/>
      <c r="F30" s="55">
        <v>0.18360000000000001</v>
      </c>
      <c r="G30" s="70">
        <f>IF($E15&gt;0, $E15, $E14)</f>
        <v>35.459999999999994</v>
      </c>
      <c r="H30" s="49">
        <f t="shared" si="1"/>
        <v>6.5104559999999996</v>
      </c>
      <c r="I30" s="56">
        <v>1.2901</v>
      </c>
      <c r="J30" s="71">
        <f>IF($E15&gt;0, $E15, $E14)</f>
        <v>35.459999999999994</v>
      </c>
      <c r="K30" s="52">
        <f t="shared" si="4"/>
        <v>45.746945999999994</v>
      </c>
      <c r="L30" s="53">
        <f t="shared" si="0"/>
        <v>39.236489999999996</v>
      </c>
      <c r="M30" s="54">
        <f t="shared" si="2"/>
        <v>6.026688453159041</v>
      </c>
    </row>
    <row r="31" spans="1:13" x14ac:dyDescent="0.2">
      <c r="A31" s="28" t="str">
        <f t="shared" si="3"/>
        <v>STREET LIGHTING SERVICE CLASSIFICATION</v>
      </c>
      <c r="C31" s="44"/>
      <c r="D31" s="67" t="s">
        <v>57</v>
      </c>
      <c r="E31" s="46"/>
      <c r="F31" s="55">
        <v>0</v>
      </c>
      <c r="G31" s="70">
        <f>IF($E15&gt;0, $E15, $E14)</f>
        <v>35.459999999999994</v>
      </c>
      <c r="H31" s="49">
        <f>G31*F31</f>
        <v>0</v>
      </c>
      <c r="I31" s="56">
        <v>-4.3900000000000002E-2</v>
      </c>
      <c r="J31" s="71">
        <f>IF($E15&gt;0, $E15, $E14)</f>
        <v>35.459999999999994</v>
      </c>
      <c r="K31" s="52">
        <f>J31*I31</f>
        <v>-1.5566939999999998</v>
      </c>
      <c r="L31" s="53">
        <f t="shared" si="0"/>
        <v>-1.5566939999999998</v>
      </c>
      <c r="M31" s="54" t="str">
        <f t="shared" si="2"/>
        <v/>
      </c>
    </row>
    <row r="32" spans="1:13" x14ac:dyDescent="0.2">
      <c r="A32" s="28" t="str">
        <f t="shared" si="3"/>
        <v>STREET LIGHTING SERVICE CLASSIFICATION</v>
      </c>
      <c r="C32" s="44"/>
      <c r="D32" s="67" t="s">
        <v>58</v>
      </c>
      <c r="E32" s="46"/>
      <c r="F32" s="55">
        <v>-2.0999999999999999E-3</v>
      </c>
      <c r="G32" s="70">
        <f>E14</f>
        <v>12727.314166666669</v>
      </c>
      <c r="H32" s="49">
        <f>G32*F32</f>
        <v>-26.727359750000002</v>
      </c>
      <c r="I32" s="56">
        <v>4.7999999999999996E-3</v>
      </c>
      <c r="J32" s="71">
        <f>E14</f>
        <v>12727.314166666669</v>
      </c>
      <c r="K32" s="52">
        <f t="shared" si="4"/>
        <v>61.091108000000006</v>
      </c>
      <c r="L32" s="53">
        <f t="shared" si="0"/>
        <v>87.818467750000011</v>
      </c>
      <c r="M32" s="54">
        <f t="shared" si="2"/>
        <v>-3.285714285714286</v>
      </c>
    </row>
    <row r="33" spans="1:14" x14ac:dyDescent="0.2">
      <c r="A33" s="28" t="str">
        <f t="shared" si="3"/>
        <v>STREET LIGHTING SERVICE CLASSIFICATION</v>
      </c>
      <c r="C33" s="44"/>
      <c r="D33" s="45" t="s">
        <v>59</v>
      </c>
      <c r="E33" s="46"/>
      <c r="F33" s="55">
        <v>1.0699999999999999E-2</v>
      </c>
      <c r="G33" s="70">
        <f>IF($E15&gt;0, $E15, $E14)</f>
        <v>35.459999999999994</v>
      </c>
      <c r="H33" s="49">
        <f t="shared" si="1"/>
        <v>0.37942199999999993</v>
      </c>
      <c r="I33" s="56">
        <v>1.0699999999999999E-2</v>
      </c>
      <c r="J33" s="71">
        <f>IF($E15&gt;0, $E15, $E14)</f>
        <v>35.459999999999994</v>
      </c>
      <c r="K33" s="52">
        <f t="shared" si="4"/>
        <v>0.37942199999999993</v>
      </c>
      <c r="L33" s="53">
        <f t="shared" si="0"/>
        <v>0</v>
      </c>
      <c r="M33" s="54">
        <f t="shared" si="2"/>
        <v>0</v>
      </c>
    </row>
    <row r="34" spans="1:14" ht="25.5" x14ac:dyDescent="0.2">
      <c r="A34" s="28" t="str">
        <f t="shared" si="3"/>
        <v>STREET LIGHTING SERVICE CLASSIFICATION</v>
      </c>
      <c r="C34" s="44"/>
      <c r="D34" s="67" t="s">
        <v>60</v>
      </c>
      <c r="E34" s="46"/>
      <c r="F34" s="72">
        <v>0</v>
      </c>
      <c r="G34" s="48">
        <v>522</v>
      </c>
      <c r="H34" s="49">
        <f>G34*F34</f>
        <v>0</v>
      </c>
      <c r="I34" s="73">
        <v>0</v>
      </c>
      <c r="J34" s="57">
        <v>522</v>
      </c>
      <c r="K34" s="52">
        <f>J34*I34</f>
        <v>0</v>
      </c>
      <c r="L34" s="53">
        <f t="shared" si="0"/>
        <v>0</v>
      </c>
      <c r="M34" s="54" t="str">
        <f>IF(ISERROR(L34/H34), "", L34/H34)</f>
        <v/>
      </c>
    </row>
    <row r="35" spans="1:14" x14ac:dyDescent="0.2">
      <c r="A35" s="28" t="str">
        <f t="shared" si="3"/>
        <v>STREET LIGHTING SERVICE CLASSIFICATION</v>
      </c>
      <c r="C35" s="44"/>
      <c r="D35" s="45" t="s">
        <v>61</v>
      </c>
      <c r="E35" s="46"/>
      <c r="F35" s="47">
        <v>0</v>
      </c>
      <c r="G35" s="48">
        <v>522</v>
      </c>
      <c r="H35" s="49">
        <f t="shared" si="1"/>
        <v>0</v>
      </c>
      <c r="I35" s="50">
        <v>0</v>
      </c>
      <c r="J35" s="57">
        <v>522</v>
      </c>
      <c r="K35" s="52">
        <f>J35*I35</f>
        <v>0</v>
      </c>
      <c r="L35" s="53">
        <f>K35-H35</f>
        <v>0</v>
      </c>
      <c r="M35" s="54" t="str">
        <f>IF(ISERROR(L35/H35), "", L35/H35)</f>
        <v/>
      </c>
    </row>
    <row r="36" spans="1:14" x14ac:dyDescent="0.2">
      <c r="A36" s="28" t="str">
        <f t="shared" si="3"/>
        <v>STREET LIGHTING SERVICE CLASSIFICATION</v>
      </c>
      <c r="C36" s="44"/>
      <c r="D36" s="45" t="s">
        <v>62</v>
      </c>
      <c r="E36" s="46"/>
      <c r="F36" s="55">
        <v>0</v>
      </c>
      <c r="G36" s="70">
        <f>IF($E15&gt;0, $E15, $E14)</f>
        <v>35.459999999999994</v>
      </c>
      <c r="H36" s="49">
        <f>G36*F36</f>
        <v>0</v>
      </c>
      <c r="I36" s="56">
        <v>0</v>
      </c>
      <c r="J36" s="71">
        <f>IF($E15&gt;0, $E15, $E14)</f>
        <v>35.459999999999994</v>
      </c>
      <c r="K36" s="52">
        <f>J36*I36</f>
        <v>0</v>
      </c>
      <c r="L36" s="53">
        <f t="shared" si="0"/>
        <v>0</v>
      </c>
      <c r="M36" s="54" t="str">
        <f>IF(ISERROR(L36/H36), "", L36/H36)</f>
        <v/>
      </c>
    </row>
    <row r="37" spans="1:14" ht="25.5" x14ac:dyDescent="0.2">
      <c r="A37" s="28" t="str">
        <f t="shared" si="3"/>
        <v>STREET LIGHTING SERVICE CLASSIFICATION</v>
      </c>
      <c r="B37" s="28" t="s">
        <v>63</v>
      </c>
      <c r="C37" s="44" t="e">
        <f>#REF!</f>
        <v>#REF!</v>
      </c>
      <c r="D37" s="74" t="s">
        <v>64</v>
      </c>
      <c r="E37" s="75"/>
      <c r="F37" s="76"/>
      <c r="G37" s="77"/>
      <c r="H37" s="78">
        <f>SUM(H28:H36)</f>
        <v>556.69508424999981</v>
      </c>
      <c r="I37" s="79"/>
      <c r="J37" s="80"/>
      <c r="K37" s="78">
        <f>SUM(K28:K36)</f>
        <v>2016.5711659999997</v>
      </c>
      <c r="L37" s="65">
        <f t="shared" si="0"/>
        <v>1459.8760817499999</v>
      </c>
      <c r="M37" s="66">
        <f>IF((H37)=0,"",(L37/H37))</f>
        <v>2.6223980111424892</v>
      </c>
    </row>
    <row r="38" spans="1:14" x14ac:dyDescent="0.2">
      <c r="A38" s="28" t="str">
        <f t="shared" si="3"/>
        <v>STREET LIGHTING SERVICE CLASSIFICATION</v>
      </c>
      <c r="C38" s="44"/>
      <c r="D38" s="81" t="s">
        <v>65</v>
      </c>
      <c r="E38" s="46"/>
      <c r="F38" s="55">
        <v>3.2023000000000001</v>
      </c>
      <c r="G38" s="68">
        <f>IF($E15&gt;0, $E15, $E14*$E16)</f>
        <v>35.459999999999994</v>
      </c>
      <c r="H38" s="49">
        <f>G38*F38</f>
        <v>113.55355799999998</v>
      </c>
      <c r="I38" s="82">
        <v>3.5754000000000001</v>
      </c>
      <c r="J38" s="69">
        <f>IF($E15&gt;0, $E15, $E14*$E17)</f>
        <v>35.459999999999994</v>
      </c>
      <c r="K38" s="52">
        <f>J38*I38</f>
        <v>126.78368399999998</v>
      </c>
      <c r="L38" s="53">
        <f t="shared" si="0"/>
        <v>13.230125999999998</v>
      </c>
      <c r="M38" s="54">
        <f>IF(ISERROR(L38/H38), "", L38/H38)</f>
        <v>0.11651000843143991</v>
      </c>
      <c r="N38" s="83" t="str">
        <f>IF(ISERROR(ABS(M38)), "", IF(ABS(M38)&gt;=4%, "In the manager's summary, discuss the reasoning for the change in RTSR rates", ""))</f>
        <v>In the manager's summary, discuss the reasoning for the change in RTSR rates</v>
      </c>
    </row>
    <row r="39" spans="1:14" ht="25.5" x14ac:dyDescent="0.2">
      <c r="A39" s="28" t="str">
        <f t="shared" si="3"/>
        <v>STREET LIGHTING SERVICE CLASSIFICATION</v>
      </c>
      <c r="C39" s="44"/>
      <c r="D39" s="84" t="s">
        <v>66</v>
      </c>
      <c r="E39" s="46"/>
      <c r="F39" s="55">
        <v>2.2728000000000002</v>
      </c>
      <c r="G39" s="68">
        <f>IF($E15&gt;0, $E15, $E14*$E16)</f>
        <v>35.459999999999994</v>
      </c>
      <c r="H39" s="49">
        <f>G39*F39</f>
        <v>80.593487999999994</v>
      </c>
      <c r="I39" s="82">
        <v>2.3759999999999999</v>
      </c>
      <c r="J39" s="69">
        <f>IF($E15&gt;0, $E15, $E14*$E17)</f>
        <v>35.459999999999994</v>
      </c>
      <c r="K39" s="52">
        <f>J39*I39</f>
        <v>84.252959999999987</v>
      </c>
      <c r="L39" s="53">
        <f t="shared" si="0"/>
        <v>3.6594719999999938</v>
      </c>
      <c r="M39" s="54">
        <f>IF(ISERROR(L39/H39), "", L39/H39)</f>
        <v>4.5406546990496233E-2</v>
      </c>
      <c r="N39" s="83" t="str">
        <f>IF(ISERROR(ABS(M39)), "", IF(ABS(M39)&gt;=4%, "In the manager's summary, discuss the reasoning for the change in RTSR rates", ""))</f>
        <v>In the manager's summary, discuss the reasoning for the change in RTSR rates</v>
      </c>
    </row>
    <row r="40" spans="1:14" ht="25.5" x14ac:dyDescent="0.2">
      <c r="A40" s="28" t="str">
        <f t="shared" si="3"/>
        <v>STREET LIGHTING SERVICE CLASSIFICATION</v>
      </c>
      <c r="B40" s="28" t="s">
        <v>67</v>
      </c>
      <c r="C40" s="44" t="e">
        <f>#REF!</f>
        <v>#REF!</v>
      </c>
      <c r="D40" s="74" t="s">
        <v>68</v>
      </c>
      <c r="E40" s="59"/>
      <c r="F40" s="76"/>
      <c r="G40" s="77"/>
      <c r="H40" s="78">
        <f>SUM(H37:H39)</f>
        <v>750.84213024999974</v>
      </c>
      <c r="I40" s="79"/>
      <c r="J40" s="64"/>
      <c r="K40" s="78">
        <f>SUM(K37:K39)</f>
        <v>2227.6078099999995</v>
      </c>
      <c r="L40" s="65">
        <f t="shared" si="0"/>
        <v>1476.7656797499999</v>
      </c>
      <c r="M40" s="66">
        <f>IF((H40)=0,"",(L40/H40))</f>
        <v>1.9668124899415238</v>
      </c>
    </row>
    <row r="41" spans="1:14" ht="25.5" x14ac:dyDescent="0.2">
      <c r="A41" s="28" t="str">
        <f t="shared" si="3"/>
        <v>STREET LIGHTING SERVICE CLASSIFICATION</v>
      </c>
      <c r="C41" s="44"/>
      <c r="D41" s="85" t="s">
        <v>69</v>
      </c>
      <c r="E41" s="46"/>
      <c r="F41" s="55">
        <v>3.4000000000000002E-3</v>
      </c>
      <c r="G41" s="68">
        <f>E14*E16</f>
        <v>13058.224335000003</v>
      </c>
      <c r="H41" s="86">
        <f t="shared" ref="H41:H47" si="5">G41*F41</f>
        <v>44.397962739000015</v>
      </c>
      <c r="I41" s="56">
        <v>3.4000000000000002E-3</v>
      </c>
      <c r="J41" s="69">
        <f>E14*E17</f>
        <v>13058.224335000003</v>
      </c>
      <c r="K41" s="52">
        <f t="shared" ref="K41:K47" si="6">J41*I41</f>
        <v>44.397962739000015</v>
      </c>
      <c r="L41" s="53">
        <f t="shared" si="0"/>
        <v>0</v>
      </c>
      <c r="M41" s="54">
        <f t="shared" ref="M41:M49" si="7">IF(ISERROR(L41/H41), "", L41/H41)</f>
        <v>0</v>
      </c>
    </row>
    <row r="42" spans="1:14" ht="25.5" x14ac:dyDescent="0.2">
      <c r="A42" s="28" t="str">
        <f t="shared" si="3"/>
        <v>STREET LIGHTING SERVICE CLASSIFICATION</v>
      </c>
      <c r="C42" s="44"/>
      <c r="D42" s="85" t="s">
        <v>70</v>
      </c>
      <c r="E42" s="46"/>
      <c r="F42" s="55">
        <v>5.0000000000000001E-4</v>
      </c>
      <c r="G42" s="68">
        <f>E14*E16</f>
        <v>13058.224335000003</v>
      </c>
      <c r="H42" s="86">
        <f t="shared" si="5"/>
        <v>6.529112167500001</v>
      </c>
      <c r="I42" s="56">
        <v>5.0000000000000001E-4</v>
      </c>
      <c r="J42" s="69">
        <f>E14*E17</f>
        <v>13058.224335000003</v>
      </c>
      <c r="K42" s="52">
        <f t="shared" si="6"/>
        <v>6.529112167500001</v>
      </c>
      <c r="L42" s="53">
        <f t="shared" si="0"/>
        <v>0</v>
      </c>
      <c r="M42" s="54">
        <f t="shared" si="7"/>
        <v>0</v>
      </c>
    </row>
    <row r="43" spans="1:14" x14ac:dyDescent="0.2">
      <c r="A43" s="28" t="str">
        <f t="shared" si="3"/>
        <v>STREET LIGHTING SERVICE CLASSIFICATION</v>
      </c>
      <c r="C43" s="44"/>
      <c r="D43" s="87" t="s">
        <v>71</v>
      </c>
      <c r="E43" s="46"/>
      <c r="F43" s="134"/>
      <c r="G43" s="135"/>
      <c r="H43" s="136"/>
      <c r="I43" s="137"/>
      <c r="J43" s="138"/>
      <c r="K43" s="139"/>
      <c r="L43" s="140"/>
      <c r="M43" s="141"/>
    </row>
    <row r="44" spans="1:14" ht="25.5" hidden="1" x14ac:dyDescent="0.2">
      <c r="A44" s="28" t="str">
        <f t="shared" si="3"/>
        <v>STREET LIGHTING SERVICE CLASSIFICATION</v>
      </c>
      <c r="C44" s="44"/>
      <c r="D44" s="85" t="s">
        <v>72</v>
      </c>
      <c r="E44" s="46"/>
      <c r="F44" s="55"/>
      <c r="G44" s="68"/>
      <c r="H44" s="86"/>
      <c r="I44" s="56"/>
      <c r="J44" s="69"/>
      <c r="K44" s="52"/>
      <c r="L44" s="53"/>
      <c r="M44" s="54"/>
    </row>
    <row r="45" spans="1:14" hidden="1" x14ac:dyDescent="0.2">
      <c r="A45" s="28" t="str">
        <f t="shared" si="3"/>
        <v>STREET LIGHTING SERVICE CLASSIFICATION</v>
      </c>
      <c r="B45" s="28" t="s">
        <v>28</v>
      </c>
      <c r="C45" s="44"/>
      <c r="D45" s="87" t="s">
        <v>73</v>
      </c>
      <c r="E45" s="46"/>
      <c r="F45" s="88">
        <v>8.2000000000000003E-2</v>
      </c>
      <c r="G45" s="89">
        <f>IF(AND(E14*12&gt;=150000),0.64*E14*E16,0.64*E14)</f>
        <v>8357.2635744000017</v>
      </c>
      <c r="H45" s="86">
        <f t="shared" si="5"/>
        <v>685.29561310080021</v>
      </c>
      <c r="I45" s="90">
        <v>8.2000000000000003E-2</v>
      </c>
      <c r="J45" s="91">
        <f>IF(AND(E14*12&gt;=150000),0.64*E14*E17,0.64*E14)</f>
        <v>8357.2635744000017</v>
      </c>
      <c r="K45" s="52">
        <f t="shared" si="6"/>
        <v>685.29561310080021</v>
      </c>
      <c r="L45" s="53">
        <f>K45-H45</f>
        <v>0</v>
      </c>
      <c r="M45" s="54">
        <f t="shared" si="7"/>
        <v>0</v>
      </c>
    </row>
    <row r="46" spans="1:14" hidden="1" x14ac:dyDescent="0.2">
      <c r="A46" s="28" t="str">
        <f t="shared" si="3"/>
        <v>STREET LIGHTING SERVICE CLASSIFICATION</v>
      </c>
      <c r="B46" s="28" t="s">
        <v>28</v>
      </c>
      <c r="C46" s="44"/>
      <c r="D46" s="87" t="s">
        <v>74</v>
      </c>
      <c r="E46" s="46"/>
      <c r="F46" s="88">
        <v>0.113</v>
      </c>
      <c r="G46" s="89">
        <f>IF(AND(E14*12&gt;=150000),0.18*E14*E16,0.18*E14)</f>
        <v>2350.4803803000004</v>
      </c>
      <c r="H46" s="86">
        <f t="shared" si="5"/>
        <v>265.60428297390007</v>
      </c>
      <c r="I46" s="90">
        <v>0.113</v>
      </c>
      <c r="J46" s="91">
        <f>IF(AND(E14*12&gt;=150000),0.18*E14*E17,0.18*E14)</f>
        <v>2350.4803803000004</v>
      </c>
      <c r="K46" s="52">
        <f t="shared" si="6"/>
        <v>265.60428297390007</v>
      </c>
      <c r="L46" s="53">
        <f>K46-H46</f>
        <v>0</v>
      </c>
      <c r="M46" s="54">
        <f t="shared" si="7"/>
        <v>0</v>
      </c>
    </row>
    <row r="47" spans="1:14" hidden="1" x14ac:dyDescent="0.2">
      <c r="A47" s="28" t="str">
        <f t="shared" si="3"/>
        <v>STREET LIGHTING SERVICE CLASSIFICATION</v>
      </c>
      <c r="B47" s="28" t="s">
        <v>28</v>
      </c>
      <c r="C47" s="44"/>
      <c r="D47" s="28" t="s">
        <v>75</v>
      </c>
      <c r="E47" s="46"/>
      <c r="F47" s="88">
        <v>0.17</v>
      </c>
      <c r="G47" s="89">
        <f>IF(AND(E14*12&gt;=150000),0.18*E14*E16,0.18*E14)</f>
        <v>2350.4803803000004</v>
      </c>
      <c r="H47" s="86">
        <f t="shared" si="5"/>
        <v>399.5816646510001</v>
      </c>
      <c r="I47" s="90">
        <v>0.17</v>
      </c>
      <c r="J47" s="91">
        <f>IF(AND(E14*12&gt;=150000),0.18*E14*E17,0.18*E14)</f>
        <v>2350.4803803000004</v>
      </c>
      <c r="K47" s="52">
        <f t="shared" si="6"/>
        <v>399.5816646510001</v>
      </c>
      <c r="L47" s="53">
        <f>K47-H47</f>
        <v>0</v>
      </c>
      <c r="M47" s="54">
        <f t="shared" si="7"/>
        <v>0</v>
      </c>
    </row>
    <row r="48" spans="1:14" ht="13.5" thickBot="1" x14ac:dyDescent="0.25">
      <c r="A48" s="28" t="str">
        <f t="shared" si="3"/>
        <v>STREET LIGHTING SERVICE CLASSIFICATION</v>
      </c>
      <c r="B48" s="28" t="s">
        <v>30</v>
      </c>
      <c r="C48" s="44"/>
      <c r="D48" s="87" t="s">
        <v>76</v>
      </c>
      <c r="E48" s="46"/>
      <c r="F48" s="92">
        <v>9.6699999999999994E-2</v>
      </c>
      <c r="G48" s="89">
        <f>IF(AND(E14*12&gt;=150000),E14*E16,E14)</f>
        <v>13058.224335000003</v>
      </c>
      <c r="H48" s="86">
        <f>G48*F48</f>
        <v>1262.7302931945003</v>
      </c>
      <c r="I48" s="93">
        <f>F48</f>
        <v>9.6699999999999994E-2</v>
      </c>
      <c r="J48" s="91">
        <f>IF(AND(E14*12&gt;=150000),E14*E17,E14)</f>
        <v>13058.224335000003</v>
      </c>
      <c r="K48" s="52">
        <f>J48*I48</f>
        <v>1262.7302931945003</v>
      </c>
      <c r="L48" s="53">
        <f>K48-H48</f>
        <v>0</v>
      </c>
      <c r="M48" s="54">
        <f t="shared" si="7"/>
        <v>0</v>
      </c>
    </row>
    <row r="49" spans="1:13" ht="13.5" hidden="1" thickBot="1" x14ac:dyDescent="0.25">
      <c r="A49" s="28" t="str">
        <f t="shared" si="3"/>
        <v>STREET LIGHTING SERVICE CLASSIFICATION</v>
      </c>
      <c r="B49" s="28" t="s">
        <v>29</v>
      </c>
      <c r="C49" s="44"/>
      <c r="D49" s="87" t="s">
        <v>77</v>
      </c>
      <c r="E49" s="46"/>
      <c r="F49" s="92">
        <v>9.6699999999999994E-2</v>
      </c>
      <c r="G49" s="89">
        <f>IF(AND(E14*12&gt;=150000),E14*E16,E14)</f>
        <v>13058.224335000003</v>
      </c>
      <c r="H49" s="86">
        <f>G49*F49</f>
        <v>1262.7302931945003</v>
      </c>
      <c r="I49" s="93">
        <f>F49</f>
        <v>9.6699999999999994E-2</v>
      </c>
      <c r="J49" s="91">
        <f>IF(AND(E14*12&gt;=150000),E14*E17,E14)</f>
        <v>13058.224335000003</v>
      </c>
      <c r="K49" s="52">
        <f>J49*I49</f>
        <v>1262.7302931945003</v>
      </c>
      <c r="L49" s="53">
        <f>K49-H49</f>
        <v>0</v>
      </c>
      <c r="M49" s="54">
        <f t="shared" si="7"/>
        <v>0</v>
      </c>
    </row>
    <row r="50" spans="1:13" ht="13.5" thickBot="1" x14ac:dyDescent="0.25">
      <c r="A50" s="28" t="str">
        <f t="shared" si="3"/>
        <v>STREET LIGHTING SERVICE CLASSIFICATION</v>
      </c>
      <c r="C50" s="44"/>
      <c r="D50" s="94"/>
      <c r="E50" s="95"/>
      <c r="F50" s="96"/>
      <c r="G50" s="97"/>
      <c r="H50" s="98"/>
      <c r="I50" s="96"/>
      <c r="J50" s="99"/>
      <c r="K50" s="98"/>
      <c r="L50" s="100"/>
      <c r="M50" s="101"/>
    </row>
    <row r="51" spans="1:13" hidden="1" x14ac:dyDescent="0.2">
      <c r="A51" s="28" t="str">
        <f t="shared" si="3"/>
        <v>STREET LIGHTING SERVICE CLASSIFICATION</v>
      </c>
      <c r="B51" s="28" t="s">
        <v>28</v>
      </c>
      <c r="C51" s="44"/>
      <c r="D51" s="102" t="s">
        <v>78</v>
      </c>
      <c r="E51" s="87"/>
      <c r="F51" s="103"/>
      <c r="G51" s="104"/>
      <c r="H51" s="105">
        <f>SUM(H41:H47,H40)</f>
        <v>2152.2507658822001</v>
      </c>
      <c r="I51" s="106"/>
      <c r="J51" s="106"/>
      <c r="K51" s="105">
        <f>SUM(K41:K47,K40)</f>
        <v>3629.0164456322</v>
      </c>
      <c r="L51" s="107">
        <f>K51-H51</f>
        <v>1476.7656797499999</v>
      </c>
      <c r="M51" s="108">
        <f>IF((H51)=0,"",(L51/H51))</f>
        <v>0.68614945022202312</v>
      </c>
    </row>
    <row r="52" spans="1:13" hidden="1" x14ac:dyDescent="0.2">
      <c r="A52" s="28" t="str">
        <f t="shared" si="3"/>
        <v>STREET LIGHTING SERVICE CLASSIFICATION</v>
      </c>
      <c r="B52" s="28" t="s">
        <v>28</v>
      </c>
      <c r="C52" s="44"/>
      <c r="D52" s="109" t="s">
        <v>79</v>
      </c>
      <c r="E52" s="87"/>
      <c r="F52" s="103">
        <v>0.13</v>
      </c>
      <c r="G52" s="110"/>
      <c r="H52" s="111">
        <f>H51*F52</f>
        <v>279.79259956468604</v>
      </c>
      <c r="I52" s="112">
        <v>0.13</v>
      </c>
      <c r="J52" s="48"/>
      <c r="K52" s="111">
        <f>K51*I52</f>
        <v>471.77213793218601</v>
      </c>
      <c r="L52" s="53">
        <f>K52-H52</f>
        <v>191.97953836749997</v>
      </c>
      <c r="M52" s="113">
        <f>IF((H52)=0,"",(L52/H52))</f>
        <v>0.68614945022202301</v>
      </c>
    </row>
    <row r="53" spans="1:13" ht="15" hidden="1" x14ac:dyDescent="0.25">
      <c r="A53" s="28" t="str">
        <f t="shared" si="3"/>
        <v>STREET LIGHTING SERVICE CLASSIFICATION</v>
      </c>
      <c r="B53" s="28" t="s">
        <v>28</v>
      </c>
      <c r="C53" s="44"/>
      <c r="D53" s="109" t="s">
        <v>80</v>
      </c>
      <c r="E53"/>
      <c r="F53" s="114">
        <v>0.17</v>
      </c>
      <c r="G53" s="110"/>
      <c r="H53" s="111">
        <f>IF(OR(ISNUMBER(SEARCH("[DGEN]", E12))=TRUE, ISNUMBER(SEARCH("STREET LIGHT", E12))=TRUE), 0, IF(AND(E14=0, E15=0),0, IF(AND(E15=0, E14*12&gt;250000), 0, IF(AND(E14=0, E15&gt;=50), 0, IF(E14*12&lt;=250000, F53*H51*-1, IF(E15&lt;50, F53*H51*-1, 0))))))</f>
        <v>0</v>
      </c>
      <c r="I53" s="114">
        <v>0.17</v>
      </c>
      <c r="J53" s="48"/>
      <c r="K53" s="111">
        <f>IF(OR(ISNUMBER(SEARCH("[DGEN]", E12))=TRUE, ISNUMBER(SEARCH("STREET LIGHT", E12))=TRUE), 0, IF(AND(E14=0, E15=0),0, IF(AND(E15=0, E14*12&gt;250000), 0, IF(AND(E14=0, E15&gt;=50), 0, IF(E14*12&lt;=250000, I53*K51*-1, IF(E15&lt;50, I53*K51*-1, 0))))))</f>
        <v>0</v>
      </c>
      <c r="L53" s="53">
        <f>K53-H53</f>
        <v>0</v>
      </c>
      <c r="M53" s="113"/>
    </row>
    <row r="54" spans="1:13" hidden="1" x14ac:dyDescent="0.2">
      <c r="A54" s="28" t="str">
        <f t="shared" si="3"/>
        <v>STREET LIGHTING SERVICE CLASSIFICATION</v>
      </c>
      <c r="B54" s="28" t="s">
        <v>81</v>
      </c>
      <c r="C54" s="44"/>
      <c r="D54" s="152" t="s">
        <v>82</v>
      </c>
      <c r="E54" s="152"/>
      <c r="F54" s="115"/>
      <c r="G54" s="116"/>
      <c r="H54" s="117">
        <f>H51+H52+H53</f>
        <v>2432.0433654468861</v>
      </c>
      <c r="I54" s="118"/>
      <c r="J54" s="118"/>
      <c r="K54" s="119">
        <f>K51+K52+K53</f>
        <v>4100.7885835643856</v>
      </c>
      <c r="L54" s="120">
        <f>K54-H54</f>
        <v>1668.7452181174995</v>
      </c>
      <c r="M54" s="121">
        <f>IF((H54)=0,"",(L54/H54))</f>
        <v>0.68614945022202301</v>
      </c>
    </row>
    <row r="55" spans="1:13" ht="13.5" hidden="1" thickBot="1" x14ac:dyDescent="0.25">
      <c r="A55" s="28" t="str">
        <f t="shared" si="3"/>
        <v>STREET LIGHTING SERVICE CLASSIFICATION</v>
      </c>
      <c r="B55" s="28" t="s">
        <v>28</v>
      </c>
      <c r="C55" s="44"/>
      <c r="D55" s="94"/>
      <c r="E55" s="95"/>
      <c r="F55" s="96"/>
      <c r="G55" s="97"/>
      <c r="H55" s="98"/>
      <c r="I55" s="96"/>
      <c r="J55" s="99"/>
      <c r="K55" s="98"/>
      <c r="L55" s="100"/>
      <c r="M55" s="101"/>
    </row>
    <row r="56" spans="1:13" x14ac:dyDescent="0.2">
      <c r="A56" s="28" t="str">
        <f t="shared" si="3"/>
        <v>STREET LIGHTING SERVICE CLASSIFICATION</v>
      </c>
      <c r="B56" s="28" t="s">
        <v>30</v>
      </c>
      <c r="C56" s="44"/>
      <c r="D56" s="102" t="s">
        <v>83</v>
      </c>
      <c r="E56" s="87"/>
      <c r="F56" s="103"/>
      <c r="G56" s="104"/>
      <c r="H56" s="105">
        <f>SUM(H48,H41:H44,H40)</f>
        <v>2064.4994983510001</v>
      </c>
      <c r="I56" s="106"/>
      <c r="J56" s="106"/>
      <c r="K56" s="105">
        <f>SUM(K48,K41:K44,K40)</f>
        <v>3541.2651781009999</v>
      </c>
      <c r="L56" s="107">
        <f>K56-H56</f>
        <v>1476.7656797499999</v>
      </c>
      <c r="M56" s="108">
        <f>IF((H56)=0,"",(L56/H56))</f>
        <v>0.71531413833210078</v>
      </c>
    </row>
    <row r="57" spans="1:13" x14ac:dyDescent="0.2">
      <c r="A57" s="28" t="str">
        <f t="shared" si="3"/>
        <v>STREET LIGHTING SERVICE CLASSIFICATION</v>
      </c>
      <c r="B57" s="28" t="s">
        <v>30</v>
      </c>
      <c r="C57" s="44"/>
      <c r="D57" s="109" t="s">
        <v>79</v>
      </c>
      <c r="E57" s="87"/>
      <c r="F57" s="103">
        <v>0.13</v>
      </c>
      <c r="G57" s="104"/>
      <c r="H57" s="111">
        <f>H56*F57</f>
        <v>268.38493478563004</v>
      </c>
      <c r="I57" s="103">
        <v>0.13</v>
      </c>
      <c r="J57" s="112"/>
      <c r="K57" s="111">
        <f>K56*I57</f>
        <v>460.36447315313001</v>
      </c>
      <c r="L57" s="53">
        <f>K57-H57</f>
        <v>191.97953836749997</v>
      </c>
      <c r="M57" s="113">
        <f>IF((H57)=0,"",(L57/H57))</f>
        <v>0.71531413833210067</v>
      </c>
    </row>
    <row r="58" spans="1:13" ht="15" x14ac:dyDescent="0.25">
      <c r="A58" s="28" t="str">
        <f t="shared" si="3"/>
        <v>STREET LIGHTING SERVICE CLASSIFICATION</v>
      </c>
      <c r="B58" s="28" t="s">
        <v>30</v>
      </c>
      <c r="C58" s="44"/>
      <c r="D58" s="109" t="s">
        <v>80</v>
      </c>
      <c r="E58"/>
      <c r="F58" s="114">
        <v>0.17</v>
      </c>
      <c r="G58" s="104"/>
      <c r="H58" s="111">
        <f>IF(OR(ISNUMBER(SEARCH("[DGEN]", E12))=TRUE, ISNUMBER(SEARCH("STREET LIGHT", E12))=TRUE), 0, IF(AND(E14=0, E15=0),0, IF(AND(E15=0, E14*12&gt;250000), 0, IF(AND(E14=0, E15&gt;=50), 0, IF(E14*12&lt;=250000, F58*H56*-1, IF(E15&lt;50, F58*H56*-1, 0))))))</f>
        <v>0</v>
      </c>
      <c r="I58" s="114">
        <v>0.17</v>
      </c>
      <c r="J58" s="112"/>
      <c r="K58" s="111">
        <f>IF(OR(ISNUMBER(SEARCH("[DGEN]", E12))=TRUE, ISNUMBER(SEARCH("STREET LIGHT", E12))=TRUE), 0, IF(AND(E14=0, E15=0),0, IF(AND(E15=0, E14*12&gt;250000), 0, IF(AND(E14=0, E15&gt;=50), 0, IF(E14*12&lt;=250000, I58*K56*-1, IF(E15&lt;50, I58*K56*-1, 0))))))</f>
        <v>0</v>
      </c>
      <c r="L58" s="53"/>
      <c r="M58" s="113"/>
    </row>
    <row r="59" spans="1:13" ht="13.5" thickBot="1" x14ac:dyDescent="0.25">
      <c r="A59" s="28" t="str">
        <f t="shared" si="3"/>
        <v>STREET LIGHTING SERVICE CLASSIFICATION</v>
      </c>
      <c r="B59" s="28" t="s">
        <v>84</v>
      </c>
      <c r="C59" s="44" t="e">
        <f>#REF!</f>
        <v>#REF!</v>
      </c>
      <c r="D59" s="152" t="s">
        <v>83</v>
      </c>
      <c r="E59" s="152"/>
      <c r="F59" s="122"/>
      <c r="G59" s="123"/>
      <c r="H59" s="117">
        <f>SUM(H56,H57)</f>
        <v>2332.8844331366299</v>
      </c>
      <c r="I59" s="124"/>
      <c r="J59" s="124"/>
      <c r="K59" s="117">
        <f>SUM(K56,K57)</f>
        <v>4001.6296512541298</v>
      </c>
      <c r="L59" s="125">
        <f>K59-H59</f>
        <v>1668.7452181174999</v>
      </c>
      <c r="M59" s="126">
        <f>IF((H59)=0,"",(L59/H59))</f>
        <v>0.71531413833210078</v>
      </c>
    </row>
    <row r="60" spans="1:13" ht="13.5" thickBot="1" x14ac:dyDescent="0.25">
      <c r="A60" s="28" t="str">
        <f t="shared" si="3"/>
        <v>STREET LIGHTING SERVICE CLASSIFICATION</v>
      </c>
      <c r="B60" s="28" t="s">
        <v>30</v>
      </c>
      <c r="C60" s="44"/>
      <c r="D60" s="94"/>
      <c r="E60" s="95"/>
      <c r="F60" s="127"/>
      <c r="G60" s="128"/>
      <c r="H60" s="129"/>
      <c r="I60" s="127"/>
      <c r="J60" s="97"/>
      <c r="K60" s="129"/>
      <c r="L60" s="130"/>
      <c r="M60" s="101"/>
    </row>
    <row r="61" spans="1:13" hidden="1" x14ac:dyDescent="0.2">
      <c r="A61" s="28" t="str">
        <f t="shared" si="3"/>
        <v>STREET LIGHTING SERVICE CLASSIFICATION</v>
      </c>
      <c r="B61" s="28" t="s">
        <v>29</v>
      </c>
      <c r="C61" s="44"/>
      <c r="D61" s="102" t="s">
        <v>85</v>
      </c>
      <c r="E61" s="87"/>
      <c r="F61" s="103"/>
      <c r="G61" s="104"/>
      <c r="H61" s="105">
        <f>SUM(H49,H41:H44,H40)</f>
        <v>2064.4994983510001</v>
      </c>
      <c r="I61" s="106"/>
      <c r="J61" s="106"/>
      <c r="K61" s="105">
        <f>SUM(K49,K41:K44,K40)</f>
        <v>3541.2651781009999</v>
      </c>
      <c r="L61" s="107">
        <f>K61-H61</f>
        <v>1476.7656797499999</v>
      </c>
      <c r="M61" s="108">
        <f>IF((H61)=0,"",(L61/H61))</f>
        <v>0.71531413833210078</v>
      </c>
    </row>
    <row r="62" spans="1:13" hidden="1" x14ac:dyDescent="0.2">
      <c r="A62" s="28" t="str">
        <f t="shared" si="3"/>
        <v>STREET LIGHTING SERVICE CLASSIFICATION</v>
      </c>
      <c r="B62" s="28" t="s">
        <v>29</v>
      </c>
      <c r="C62" s="44"/>
      <c r="D62" s="109" t="s">
        <v>79</v>
      </c>
      <c r="E62" s="87"/>
      <c r="F62" s="103">
        <v>0.13</v>
      </c>
      <c r="G62" s="104"/>
      <c r="H62" s="111">
        <f>H61*F62</f>
        <v>268.38493478563004</v>
      </c>
      <c r="I62" s="103">
        <v>0.13</v>
      </c>
      <c r="J62" s="112"/>
      <c r="K62" s="111">
        <f>K61*I62</f>
        <v>460.36447315313001</v>
      </c>
      <c r="L62" s="53">
        <f>K62-H62</f>
        <v>191.97953836749997</v>
      </c>
      <c r="M62" s="113">
        <f>IF((H62)=0,"",(L62/H62))</f>
        <v>0.71531413833210067</v>
      </c>
    </row>
    <row r="63" spans="1:13" ht="15" hidden="1" x14ac:dyDescent="0.25">
      <c r="A63" s="28" t="str">
        <f t="shared" si="3"/>
        <v>STREET LIGHTING SERVICE CLASSIFICATION</v>
      </c>
      <c r="B63" s="28" t="s">
        <v>29</v>
      </c>
      <c r="C63" s="44"/>
      <c r="D63" s="109" t="s">
        <v>80</v>
      </c>
      <c r="E63"/>
      <c r="F63" s="114">
        <v>0.17</v>
      </c>
      <c r="G63" s="104"/>
      <c r="H63" s="111">
        <f>IF(OR(ISNUMBER(SEARCH("[DGEN]", E12))=TRUE, ISNUMBER(SEARCH("STREET LIGHT", E12))=TRUE), 0, IF(AND(E14=0, E15=0),0, IF(AND(E15=0, E14*12&gt;250000), 0, IF(AND(E14=0, E15&gt;=50), 0, IF(E14*12&lt;=250000, F63*H61*-1, IF(E15&lt;50, F63*H61*-1, 0))))))</f>
        <v>0</v>
      </c>
      <c r="I63" s="114">
        <v>0.17</v>
      </c>
      <c r="J63" s="112"/>
      <c r="K63" s="111">
        <f>IF(OR(ISNUMBER(SEARCH("[DGEN]", E12))=TRUE, ISNUMBER(SEARCH("STREET LIGHT", E12))=TRUE), 0, IF(AND(E14=0, E15=0),0, IF(AND(E15=0, E14*12&gt;250000), 0, IF(AND(E14=0, E15&gt;=50), 0, IF(E14*12&lt;=250000, I63*K61*-1, IF(E15&lt;50, I63*K61*-1, 0))))))</f>
        <v>0</v>
      </c>
      <c r="L63" s="53"/>
      <c r="M63" s="113"/>
    </row>
    <row r="64" spans="1:13" hidden="1" x14ac:dyDescent="0.2">
      <c r="A64" s="28" t="str">
        <f t="shared" si="3"/>
        <v>STREET LIGHTING SERVICE CLASSIFICATION</v>
      </c>
      <c r="B64" s="28" t="s">
        <v>86</v>
      </c>
      <c r="C64" s="44"/>
      <c r="D64" s="152" t="s">
        <v>85</v>
      </c>
      <c r="E64" s="152"/>
      <c r="F64" s="122"/>
      <c r="G64" s="123"/>
      <c r="H64" s="117">
        <f>SUM(H61,H62)</f>
        <v>2332.8844331366299</v>
      </c>
      <c r="I64" s="124"/>
      <c r="J64" s="124"/>
      <c r="K64" s="117">
        <f>SUM(K61,K62)</f>
        <v>4001.6296512541298</v>
      </c>
      <c r="L64" s="125">
        <f>K64-H64</f>
        <v>1668.7452181174999</v>
      </c>
      <c r="M64" s="126">
        <f>IF((H64)=0,"",(L64/H64))</f>
        <v>0.71531413833210078</v>
      </c>
    </row>
    <row r="65" spans="1:20" ht="13.5" hidden="1" thickBot="1" x14ac:dyDescent="0.25">
      <c r="A65" s="28" t="str">
        <f t="shared" si="3"/>
        <v>STREET LIGHTING SERVICE CLASSIFICATION</v>
      </c>
      <c r="B65" s="28" t="s">
        <v>29</v>
      </c>
      <c r="C65" s="44"/>
      <c r="D65" s="94"/>
      <c r="E65" s="95"/>
      <c r="F65" s="131"/>
      <c r="G65" s="128"/>
      <c r="H65" s="132"/>
      <c r="I65" s="131"/>
      <c r="J65" s="97"/>
      <c r="K65" s="132"/>
      <c r="L65" s="130"/>
      <c r="M65" s="133"/>
    </row>
    <row r="67" spans="1:20" x14ac:dyDescent="0.2">
      <c r="C67" s="28"/>
      <c r="D67" s="30" t="s">
        <v>32</v>
      </c>
      <c r="E67" s="163" t="str">
        <f>E12</f>
        <v>STREET LIGHTING SERVICE CLASSIFICATION</v>
      </c>
      <c r="F67" s="163"/>
      <c r="G67" s="163"/>
      <c r="H67" s="163"/>
      <c r="I67" s="163"/>
      <c r="J67" s="163"/>
      <c r="T67" s="28" t="s">
        <v>31</v>
      </c>
    </row>
    <row r="68" spans="1:20" x14ac:dyDescent="0.2">
      <c r="C68" s="28"/>
      <c r="D68" s="30" t="s">
        <v>33</v>
      </c>
      <c r="E68" s="164" t="str">
        <f>E13</f>
        <v>Non-RPP (Retailer)</v>
      </c>
      <c r="F68" s="164"/>
      <c r="G68" s="164"/>
      <c r="H68" s="31"/>
      <c r="I68" s="31"/>
    </row>
    <row r="69" spans="1:20" ht="15.75" x14ac:dyDescent="0.2">
      <c r="C69" s="28"/>
      <c r="D69" s="30" t="s">
        <v>34</v>
      </c>
      <c r="E69" s="32">
        <f>E14</f>
        <v>12727.314166666669</v>
      </c>
      <c r="F69" s="33" t="s">
        <v>14</v>
      </c>
      <c r="J69" s="34"/>
      <c r="K69" s="34"/>
      <c r="L69" s="34"/>
      <c r="M69" s="34"/>
      <c r="N69" s="34"/>
    </row>
    <row r="70" spans="1:20" ht="15.75" x14ac:dyDescent="0.25">
      <c r="C70" s="28"/>
      <c r="D70" s="30" t="s">
        <v>35</v>
      </c>
      <c r="E70" s="32">
        <f>E15</f>
        <v>35.459999999999994</v>
      </c>
      <c r="F70" s="35" t="s">
        <v>17</v>
      </c>
      <c r="G70" s="36"/>
      <c r="H70" s="37"/>
      <c r="I70" s="37"/>
      <c r="J70" s="37"/>
    </row>
    <row r="71" spans="1:20" x14ac:dyDescent="0.2">
      <c r="C71" s="28"/>
      <c r="D71" s="30" t="s">
        <v>36</v>
      </c>
      <c r="E71" s="38">
        <f t="shared" ref="E71:E72" si="8">E16</f>
        <v>1.026</v>
      </c>
    </row>
    <row r="72" spans="1:20" x14ac:dyDescent="0.2">
      <c r="C72" s="28"/>
      <c r="D72" s="30" t="s">
        <v>37</v>
      </c>
      <c r="E72" s="38">
        <f t="shared" si="8"/>
        <v>1.026</v>
      </c>
    </row>
    <row r="73" spans="1:20" x14ac:dyDescent="0.2">
      <c r="C73" s="28"/>
    </row>
    <row r="74" spans="1:20" x14ac:dyDescent="0.2">
      <c r="C74" s="28"/>
      <c r="E74" s="33"/>
      <c r="F74" s="153" t="s">
        <v>38</v>
      </c>
      <c r="G74" s="154"/>
      <c r="H74" s="155"/>
      <c r="I74" s="153" t="s">
        <v>39</v>
      </c>
      <c r="J74" s="154"/>
      <c r="K74" s="155"/>
      <c r="L74" s="153" t="s">
        <v>40</v>
      </c>
      <c r="M74" s="155"/>
    </row>
    <row r="75" spans="1:20" x14ac:dyDescent="0.2">
      <c r="C75" s="28"/>
      <c r="E75" s="156"/>
      <c r="F75" s="39" t="s">
        <v>41</v>
      </c>
      <c r="G75" s="39" t="s">
        <v>42</v>
      </c>
      <c r="H75" s="40" t="s">
        <v>43</v>
      </c>
      <c r="I75" s="39" t="s">
        <v>41</v>
      </c>
      <c r="J75" s="41" t="s">
        <v>42</v>
      </c>
      <c r="K75" s="40" t="s">
        <v>43</v>
      </c>
      <c r="L75" s="158" t="s">
        <v>44</v>
      </c>
      <c r="M75" s="160" t="s">
        <v>45</v>
      </c>
    </row>
    <row r="76" spans="1:20" x14ac:dyDescent="0.2">
      <c r="C76" s="28"/>
      <c r="E76" s="157"/>
      <c r="F76" s="42" t="s">
        <v>46</v>
      </c>
      <c r="G76" s="42"/>
      <c r="H76" s="43" t="s">
        <v>46</v>
      </c>
      <c r="I76" s="42" t="s">
        <v>46</v>
      </c>
      <c r="J76" s="43"/>
      <c r="K76" s="43" t="s">
        <v>46</v>
      </c>
      <c r="L76" s="159"/>
      <c r="M76" s="161"/>
    </row>
    <row r="77" spans="1:20" x14ac:dyDescent="0.2">
      <c r="A77" s="28" t="str">
        <f>$E67</f>
        <v>STREET LIGHTING SERVICE CLASSIFICATION</v>
      </c>
      <c r="C77" s="44"/>
      <c r="D77" s="45" t="s">
        <v>47</v>
      </c>
      <c r="E77" s="46"/>
      <c r="F77" s="47">
        <v>0.47</v>
      </c>
      <c r="G77" s="48">
        <v>522</v>
      </c>
      <c r="H77" s="49">
        <f>G77*F77</f>
        <v>245.33999999999997</v>
      </c>
      <c r="I77" s="50">
        <v>0.48</v>
      </c>
      <c r="J77" s="51">
        <v>522</v>
      </c>
      <c r="K77" s="52">
        <f>J77*I77</f>
        <v>250.56</v>
      </c>
      <c r="L77" s="53">
        <f t="shared" ref="L77:L78" si="9">K77-H77</f>
        <v>5.2200000000000273</v>
      </c>
      <c r="M77" s="54">
        <f>IF(ISERROR(L77/H77), "", L77/H77)</f>
        <v>2.1276595744680965E-2</v>
      </c>
    </row>
    <row r="78" spans="1:20" x14ac:dyDescent="0.2">
      <c r="A78" s="28" t="str">
        <f>A77</f>
        <v>STREET LIGHTING SERVICE CLASSIFICATION</v>
      </c>
      <c r="C78" s="44"/>
      <c r="D78" s="45" t="s">
        <v>48</v>
      </c>
      <c r="E78" s="46"/>
      <c r="F78" s="55">
        <v>11.1096</v>
      </c>
      <c r="G78" s="48">
        <f>IF($E70&gt;0, $E70, $E69)</f>
        <v>35.459999999999994</v>
      </c>
      <c r="H78" s="49">
        <f t="shared" ref="H78" si="10">G78*F78</f>
        <v>393.94641599999994</v>
      </c>
      <c r="I78" s="56">
        <v>11.4429</v>
      </c>
      <c r="J78" s="51">
        <f>IF($E70&gt;0, $E70, $E69)</f>
        <v>35.459999999999994</v>
      </c>
      <c r="K78" s="52">
        <f>J78*I78</f>
        <v>405.76523399999991</v>
      </c>
      <c r="L78" s="53">
        <f t="shared" si="9"/>
        <v>11.818817999999965</v>
      </c>
      <c r="M78" s="54">
        <f t="shared" ref="M78" si="11">IF(ISERROR(L78/H78), "", L78/H78)</f>
        <v>3.0001080146899894E-2</v>
      </c>
    </row>
    <row r="79" spans="1:20" hidden="1" x14ac:dyDescent="0.2">
      <c r="A79" s="28" t="str">
        <f t="shared" ref="A79:A115" si="12">A78</f>
        <v>STREET LIGHTING SERVICE CLASSIFICATION</v>
      </c>
      <c r="C79" s="44"/>
      <c r="D79" s="45" t="s">
        <v>49</v>
      </c>
      <c r="E79" s="46"/>
      <c r="F79" s="55"/>
      <c r="G79" s="48">
        <f>IF($E70&gt;0, $E70, $E69)</f>
        <v>35.459999999999994</v>
      </c>
      <c r="H79" s="49">
        <v>0</v>
      </c>
      <c r="I79" s="56"/>
      <c r="J79" s="51">
        <f>IF($E70&gt;0, $E70, $E69)</f>
        <v>35.459999999999994</v>
      </c>
      <c r="K79" s="52">
        <v>0</v>
      </c>
      <c r="L79" s="53"/>
      <c r="M79" s="54"/>
    </row>
    <row r="80" spans="1:20" hidden="1" x14ac:dyDescent="0.2">
      <c r="A80" s="28" t="str">
        <f t="shared" si="12"/>
        <v>STREET LIGHTING SERVICE CLASSIFICATION</v>
      </c>
      <c r="C80" s="44"/>
      <c r="D80" s="45" t="s">
        <v>50</v>
      </c>
      <c r="E80" s="46"/>
      <c r="F80" s="55"/>
      <c r="G80" s="48">
        <f>IF($E70&gt;0, $E70, $E69)</f>
        <v>35.459999999999994</v>
      </c>
      <c r="H80" s="49">
        <v>0</v>
      </c>
      <c r="I80" s="56"/>
      <c r="J80" s="57">
        <f>IF($E70&gt;0, $E70, $E69)</f>
        <v>35.459999999999994</v>
      </c>
      <c r="K80" s="52">
        <v>0</v>
      </c>
      <c r="L80" s="53">
        <f>K80-H80</f>
        <v>0</v>
      </c>
      <c r="M80" s="54" t="str">
        <f>IF(ISERROR(L80/H80), "", L80/H80)</f>
        <v/>
      </c>
    </row>
    <row r="81" spans="1:14" x14ac:dyDescent="0.2">
      <c r="A81" s="28" t="str">
        <f t="shared" si="12"/>
        <v>STREET LIGHTING SERVICE CLASSIFICATION</v>
      </c>
      <c r="C81" s="44"/>
      <c r="D81" s="45" t="s">
        <v>51</v>
      </c>
      <c r="E81" s="46"/>
      <c r="F81" s="47">
        <v>-0.01</v>
      </c>
      <c r="G81" s="48">
        <v>522</v>
      </c>
      <c r="H81" s="49">
        <f t="shared" ref="H81:H82" si="13">G81*F81</f>
        <v>-5.22</v>
      </c>
      <c r="I81" s="50">
        <v>-0.01</v>
      </c>
      <c r="J81" s="51">
        <v>522</v>
      </c>
      <c r="K81" s="52">
        <f t="shared" ref="K81:K82" si="14">J81*I81</f>
        <v>-5.22</v>
      </c>
      <c r="L81" s="53">
        <f t="shared" ref="L81:L83" si="15">K81-H81</f>
        <v>0</v>
      </c>
      <c r="M81" s="54">
        <f t="shared" ref="M81:M82" si="16">IF(ISERROR(L81/H81), "", L81/H81)</f>
        <v>0</v>
      </c>
    </row>
    <row r="82" spans="1:14" x14ac:dyDescent="0.2">
      <c r="A82" s="28" t="str">
        <f t="shared" si="12"/>
        <v>STREET LIGHTING SERVICE CLASSIFICATION</v>
      </c>
      <c r="C82" s="44"/>
      <c r="D82" s="45" t="s">
        <v>52</v>
      </c>
      <c r="E82" s="46"/>
      <c r="F82" s="55">
        <v>-1.6225000000000001</v>
      </c>
      <c r="G82" s="48">
        <f>IF($E70&gt;0, $E70, $E69)</f>
        <v>35.459999999999994</v>
      </c>
      <c r="H82" s="49">
        <f t="shared" si="13"/>
        <v>-57.533849999999994</v>
      </c>
      <c r="I82" s="56">
        <f>+'7. Calculation of Def-Var RR'!J25</f>
        <v>17.7637</v>
      </c>
      <c r="J82" s="51">
        <f>IF($E70&gt;0, $E70, $E69)</f>
        <v>35.459999999999994</v>
      </c>
      <c r="K82" s="52">
        <f t="shared" si="14"/>
        <v>629.90080199999989</v>
      </c>
      <c r="L82" s="53">
        <f t="shared" si="15"/>
        <v>687.43465199999991</v>
      </c>
      <c r="M82" s="54">
        <f t="shared" si="16"/>
        <v>-11.948351309707242</v>
      </c>
    </row>
    <row r="83" spans="1:14" x14ac:dyDescent="0.2">
      <c r="A83" s="28" t="str">
        <f t="shared" si="12"/>
        <v>STREET LIGHTING SERVICE CLASSIFICATION</v>
      </c>
      <c r="B83" s="28" t="s">
        <v>53</v>
      </c>
      <c r="C83" s="44" t="e">
        <f>#REF!</f>
        <v>#REF!</v>
      </c>
      <c r="D83" s="58" t="s">
        <v>54</v>
      </c>
      <c r="E83" s="59"/>
      <c r="F83" s="60"/>
      <c r="G83" s="61"/>
      <c r="H83" s="62">
        <f>SUM(H77:H82)</f>
        <v>576.53256599999986</v>
      </c>
      <c r="I83" s="63"/>
      <c r="J83" s="64"/>
      <c r="K83" s="62">
        <f>SUM(K77:K82)</f>
        <v>1281.0060359999998</v>
      </c>
      <c r="L83" s="65">
        <f t="shared" si="15"/>
        <v>704.47346999999991</v>
      </c>
      <c r="M83" s="66">
        <f>IF((H83)=0,"",(L83/H83))</f>
        <v>1.2219144442917733</v>
      </c>
    </row>
    <row r="84" spans="1:14" x14ac:dyDescent="0.2">
      <c r="A84" s="28" t="str">
        <f t="shared" si="12"/>
        <v>STREET LIGHTING SERVICE CLASSIFICATION</v>
      </c>
      <c r="C84" s="44"/>
      <c r="D84" s="67" t="s">
        <v>55</v>
      </c>
      <c r="E84" s="46"/>
      <c r="F84" s="55">
        <f>IF((E69*12&gt;=150000), 0, IF(E68="RPP",(F100*0.64+F101*0.18+F102*0.18),IF(E68="Non-RPP (Retailer)",F103,F104)))</f>
        <v>0</v>
      </c>
      <c r="G84" s="68">
        <f>IF(F84=0, 0, $E69*E71-E69)</f>
        <v>0</v>
      </c>
      <c r="H84" s="49">
        <f>G84*F84</f>
        <v>0</v>
      </c>
      <c r="I84" s="56">
        <f>IF((E69*12&gt;=150000), 0, IF(E68="RPP",(I100*0.64+I101*0.18+I102*0.18),IF(E68="Non-RPP (Retailer)",I103,I104)))</f>
        <v>0</v>
      </c>
      <c r="J84" s="69">
        <f>IF(I84=0, 0, E69*E72-E69)</f>
        <v>0</v>
      </c>
      <c r="K84" s="52">
        <f>J84*I84</f>
        <v>0</v>
      </c>
      <c r="L84" s="53">
        <f>K84-H84</f>
        <v>0</v>
      </c>
      <c r="M84" s="54" t="str">
        <f>IF(ISERROR(L84/H84), "", L84/H84)</f>
        <v/>
      </c>
    </row>
    <row r="85" spans="1:14" ht="25.5" x14ac:dyDescent="0.2">
      <c r="A85" s="28" t="str">
        <f t="shared" si="12"/>
        <v>STREET LIGHTING SERVICE CLASSIFICATION</v>
      </c>
      <c r="C85" s="44"/>
      <c r="D85" s="67" t="s">
        <v>56</v>
      </c>
      <c r="E85" s="46"/>
      <c r="F85" s="55">
        <v>0.18360000000000001</v>
      </c>
      <c r="G85" s="70">
        <f>IF($E70&gt;0, $E70, $E69)</f>
        <v>35.459999999999994</v>
      </c>
      <c r="H85" s="49">
        <f t="shared" ref="H85" si="17">G85*F85</f>
        <v>6.5104559999999996</v>
      </c>
      <c r="I85" s="56">
        <v>1.2901</v>
      </c>
      <c r="J85" s="71">
        <f>IF($E70&gt;0, $E70, $E69)</f>
        <v>35.459999999999994</v>
      </c>
      <c r="K85" s="52">
        <f t="shared" ref="K85" si="18">J85*I85</f>
        <v>45.746945999999994</v>
      </c>
      <c r="L85" s="53">
        <f t="shared" ref="L85:L89" si="19">K85-H85</f>
        <v>39.236489999999996</v>
      </c>
      <c r="M85" s="54">
        <f t="shared" ref="M85:M88" si="20">IF(ISERROR(L85/H85), "", L85/H85)</f>
        <v>6.026688453159041</v>
      </c>
    </row>
    <row r="86" spans="1:14" x14ac:dyDescent="0.2">
      <c r="A86" s="28" t="str">
        <f t="shared" si="12"/>
        <v>STREET LIGHTING SERVICE CLASSIFICATION</v>
      </c>
      <c r="C86" s="44"/>
      <c r="D86" s="67" t="s">
        <v>57</v>
      </c>
      <c r="E86" s="46"/>
      <c r="F86" s="55">
        <v>0</v>
      </c>
      <c r="G86" s="70">
        <f>IF($E70&gt;0, $E70, $E69)</f>
        <v>35.459999999999994</v>
      </c>
      <c r="H86" s="49">
        <f>G86*F86</f>
        <v>0</v>
      </c>
      <c r="I86" s="56">
        <v>-4.3900000000000002E-2</v>
      </c>
      <c r="J86" s="71">
        <f>IF($E70&gt;0, $E70, $E69)</f>
        <v>35.459999999999994</v>
      </c>
      <c r="K86" s="52">
        <f>J86*I86</f>
        <v>-1.5566939999999998</v>
      </c>
      <c r="L86" s="53">
        <f t="shared" si="19"/>
        <v>-1.5566939999999998</v>
      </c>
      <c r="M86" s="54" t="str">
        <f t="shared" si="20"/>
        <v/>
      </c>
    </row>
    <row r="87" spans="1:14" x14ac:dyDescent="0.2">
      <c r="A87" s="28" t="str">
        <f t="shared" si="12"/>
        <v>STREET LIGHTING SERVICE CLASSIFICATION</v>
      </c>
      <c r="C87" s="44"/>
      <c r="D87" s="67" t="s">
        <v>58</v>
      </c>
      <c r="E87" s="46"/>
      <c r="F87" s="55">
        <v>-2.0999999999999999E-3</v>
      </c>
      <c r="G87" s="70">
        <f>E69</f>
        <v>12727.314166666669</v>
      </c>
      <c r="H87" s="49">
        <f>G87*F87</f>
        <v>-26.727359750000002</v>
      </c>
      <c r="I87" s="56">
        <v>4.7999999999999996E-3</v>
      </c>
      <c r="J87" s="71">
        <f>E69</f>
        <v>12727.314166666669</v>
      </c>
      <c r="K87" s="52">
        <f t="shared" ref="K87:K88" si="21">J87*I87</f>
        <v>61.091108000000006</v>
      </c>
      <c r="L87" s="53">
        <f t="shared" si="19"/>
        <v>87.818467750000011</v>
      </c>
      <c r="M87" s="54">
        <f t="shared" si="20"/>
        <v>-3.285714285714286</v>
      </c>
    </row>
    <row r="88" spans="1:14" x14ac:dyDescent="0.2">
      <c r="A88" s="28" t="str">
        <f t="shared" si="12"/>
        <v>STREET LIGHTING SERVICE CLASSIFICATION</v>
      </c>
      <c r="C88" s="44"/>
      <c r="D88" s="45" t="s">
        <v>59</v>
      </c>
      <c r="E88" s="46"/>
      <c r="F88" s="55">
        <v>1.0699999999999999E-2</v>
      </c>
      <c r="G88" s="70">
        <f>IF($E70&gt;0, $E70, $E69)</f>
        <v>35.459999999999994</v>
      </c>
      <c r="H88" s="49">
        <f t="shared" ref="H88" si="22">G88*F88</f>
        <v>0.37942199999999993</v>
      </c>
      <c r="I88" s="56">
        <v>1.0699999999999999E-2</v>
      </c>
      <c r="J88" s="71">
        <f>IF($E70&gt;0, $E70, $E69)</f>
        <v>35.459999999999994</v>
      </c>
      <c r="K88" s="52">
        <f t="shared" si="21"/>
        <v>0.37942199999999993</v>
      </c>
      <c r="L88" s="53">
        <f t="shared" si="19"/>
        <v>0</v>
      </c>
      <c r="M88" s="54">
        <f t="shared" si="20"/>
        <v>0</v>
      </c>
    </row>
    <row r="89" spans="1:14" ht="25.5" x14ac:dyDescent="0.2">
      <c r="A89" s="28" t="str">
        <f t="shared" si="12"/>
        <v>STREET LIGHTING SERVICE CLASSIFICATION</v>
      </c>
      <c r="C89" s="44"/>
      <c r="D89" s="67" t="s">
        <v>60</v>
      </c>
      <c r="E89" s="46"/>
      <c r="F89" s="72">
        <v>0</v>
      </c>
      <c r="G89" s="48">
        <v>522</v>
      </c>
      <c r="H89" s="49">
        <f>G89*F89</f>
        <v>0</v>
      </c>
      <c r="I89" s="73">
        <v>0</v>
      </c>
      <c r="J89" s="57">
        <v>522</v>
      </c>
      <c r="K89" s="52">
        <f>J89*I89</f>
        <v>0</v>
      </c>
      <c r="L89" s="53">
        <f t="shared" si="19"/>
        <v>0</v>
      </c>
      <c r="M89" s="54" t="str">
        <f>IF(ISERROR(L89/H89), "", L89/H89)</f>
        <v/>
      </c>
    </row>
    <row r="90" spans="1:14" x14ac:dyDescent="0.2">
      <c r="A90" s="28" t="str">
        <f t="shared" si="12"/>
        <v>STREET LIGHTING SERVICE CLASSIFICATION</v>
      </c>
      <c r="C90" s="44"/>
      <c r="D90" s="45" t="s">
        <v>61</v>
      </c>
      <c r="E90" s="46"/>
      <c r="F90" s="47">
        <v>0</v>
      </c>
      <c r="G90" s="48">
        <v>522</v>
      </c>
      <c r="H90" s="49">
        <f t="shared" ref="H90" si="23">G90*F90</f>
        <v>0</v>
      </c>
      <c r="I90" s="50">
        <v>0</v>
      </c>
      <c r="J90" s="57">
        <v>522</v>
      </c>
      <c r="K90" s="52">
        <f>J90*I90</f>
        <v>0</v>
      </c>
      <c r="L90" s="53">
        <f>K90-H90</f>
        <v>0</v>
      </c>
      <c r="M90" s="54" t="str">
        <f>IF(ISERROR(L90/H90), "", L90/H90)</f>
        <v/>
      </c>
    </row>
    <row r="91" spans="1:14" x14ac:dyDescent="0.2">
      <c r="A91" s="28" t="str">
        <f t="shared" si="12"/>
        <v>STREET LIGHTING SERVICE CLASSIFICATION</v>
      </c>
      <c r="C91" s="44"/>
      <c r="D91" s="45" t="s">
        <v>62</v>
      </c>
      <c r="E91" s="46"/>
      <c r="F91" s="55">
        <v>0</v>
      </c>
      <c r="G91" s="70">
        <f>IF($E70&gt;0, $E70, $E69)</f>
        <v>35.459999999999994</v>
      </c>
      <c r="H91" s="49">
        <f>G91*F91</f>
        <v>0</v>
      </c>
      <c r="I91" s="56">
        <v>0</v>
      </c>
      <c r="J91" s="71">
        <f>IF($E70&gt;0, $E70, $E69)</f>
        <v>35.459999999999994</v>
      </c>
      <c r="K91" s="52">
        <f>J91*I91</f>
        <v>0</v>
      </c>
      <c r="L91" s="53">
        <f t="shared" ref="L91:L97" si="24">K91-H91</f>
        <v>0</v>
      </c>
      <c r="M91" s="54" t="str">
        <f>IF(ISERROR(L91/H91), "", L91/H91)</f>
        <v/>
      </c>
    </row>
    <row r="92" spans="1:14" ht="25.5" x14ac:dyDescent="0.2">
      <c r="A92" s="28" t="str">
        <f t="shared" si="12"/>
        <v>STREET LIGHTING SERVICE CLASSIFICATION</v>
      </c>
      <c r="B92" s="28" t="s">
        <v>63</v>
      </c>
      <c r="C92" s="44" t="e">
        <f>#REF!</f>
        <v>#REF!</v>
      </c>
      <c r="D92" s="74" t="s">
        <v>64</v>
      </c>
      <c r="E92" s="75"/>
      <c r="F92" s="76"/>
      <c r="G92" s="77"/>
      <c r="H92" s="78">
        <f>SUM(H83:H91)</f>
        <v>556.69508424999981</v>
      </c>
      <c r="I92" s="79"/>
      <c r="J92" s="80"/>
      <c r="K92" s="78">
        <f>SUM(K83:K91)</f>
        <v>1386.6668179999997</v>
      </c>
      <c r="L92" s="65">
        <f t="shared" si="24"/>
        <v>829.97173374999988</v>
      </c>
      <c r="M92" s="66">
        <f>IF((H92)=0,"",(L92/H92))</f>
        <v>1.4908910770573238</v>
      </c>
    </row>
    <row r="93" spans="1:14" x14ac:dyDescent="0.2">
      <c r="A93" s="28" t="str">
        <f t="shared" si="12"/>
        <v>STREET LIGHTING SERVICE CLASSIFICATION</v>
      </c>
      <c r="C93" s="44"/>
      <c r="D93" s="81" t="s">
        <v>65</v>
      </c>
      <c r="E93" s="46"/>
      <c r="F93" s="55">
        <v>3.2023000000000001</v>
      </c>
      <c r="G93" s="68">
        <f>IF($E70&gt;0, $E70, $E69*$E71)</f>
        <v>35.459999999999994</v>
      </c>
      <c r="H93" s="49">
        <f>G93*F93</f>
        <v>113.55355799999998</v>
      </c>
      <c r="I93" s="82">
        <v>3.5754000000000001</v>
      </c>
      <c r="J93" s="69">
        <f>IF($E70&gt;0, $E70, $E69*$E72)</f>
        <v>35.459999999999994</v>
      </c>
      <c r="K93" s="52">
        <f>J93*I93</f>
        <v>126.78368399999998</v>
      </c>
      <c r="L93" s="53">
        <f t="shared" si="24"/>
        <v>13.230125999999998</v>
      </c>
      <c r="M93" s="54">
        <f>IF(ISERROR(L93/H93), "", L93/H93)</f>
        <v>0.11651000843143991</v>
      </c>
      <c r="N93" s="83" t="str">
        <f>IF(ISERROR(ABS(M93)), "", IF(ABS(M93)&gt;=4%, "In the manager's summary, discuss the reasoning for the change in RTSR rates", ""))</f>
        <v>In the manager's summary, discuss the reasoning for the change in RTSR rates</v>
      </c>
    </row>
    <row r="94" spans="1:14" ht="25.5" x14ac:dyDescent="0.2">
      <c r="A94" s="28" t="str">
        <f t="shared" si="12"/>
        <v>STREET LIGHTING SERVICE CLASSIFICATION</v>
      </c>
      <c r="C94" s="44"/>
      <c r="D94" s="84" t="s">
        <v>66</v>
      </c>
      <c r="E94" s="46"/>
      <c r="F94" s="55">
        <v>2.2728000000000002</v>
      </c>
      <c r="G94" s="68">
        <f>IF($E70&gt;0, $E70, $E69*$E71)</f>
        <v>35.459999999999994</v>
      </c>
      <c r="H94" s="49">
        <f>G94*F94</f>
        <v>80.593487999999994</v>
      </c>
      <c r="I94" s="82">
        <v>2.3759999999999999</v>
      </c>
      <c r="J94" s="69">
        <f>IF($E70&gt;0, $E70, $E69*$E72)</f>
        <v>35.459999999999994</v>
      </c>
      <c r="K94" s="52">
        <f>J94*I94</f>
        <v>84.252959999999987</v>
      </c>
      <c r="L94" s="53">
        <f t="shared" si="24"/>
        <v>3.6594719999999938</v>
      </c>
      <c r="M94" s="54">
        <f>IF(ISERROR(L94/H94), "", L94/H94)</f>
        <v>4.5406546990496233E-2</v>
      </c>
      <c r="N94" s="83" t="str">
        <f>IF(ISERROR(ABS(M94)), "", IF(ABS(M94)&gt;=4%, "In the manager's summary, discuss the reasoning for the change in RTSR rates", ""))</f>
        <v>In the manager's summary, discuss the reasoning for the change in RTSR rates</v>
      </c>
    </row>
    <row r="95" spans="1:14" ht="25.5" x14ac:dyDescent="0.2">
      <c r="A95" s="28" t="str">
        <f t="shared" si="12"/>
        <v>STREET LIGHTING SERVICE CLASSIFICATION</v>
      </c>
      <c r="B95" s="28" t="s">
        <v>67</v>
      </c>
      <c r="C95" s="44" t="e">
        <f>#REF!</f>
        <v>#REF!</v>
      </c>
      <c r="D95" s="74" t="s">
        <v>68</v>
      </c>
      <c r="E95" s="59"/>
      <c r="F95" s="76"/>
      <c r="G95" s="77"/>
      <c r="H95" s="78">
        <f>SUM(H92:H94)</f>
        <v>750.84213024999974</v>
      </c>
      <c r="I95" s="79"/>
      <c r="J95" s="64"/>
      <c r="K95" s="78">
        <f>SUM(K92:K94)</f>
        <v>1597.7034619999997</v>
      </c>
      <c r="L95" s="65">
        <f t="shared" si="24"/>
        <v>846.86133174999998</v>
      </c>
      <c r="M95" s="66">
        <f>IF((H95)=0,"",(L95/H95))</f>
        <v>1.1278820109202314</v>
      </c>
    </row>
    <row r="96" spans="1:14" ht="25.5" x14ac:dyDescent="0.2">
      <c r="A96" s="28" t="str">
        <f t="shared" si="12"/>
        <v>STREET LIGHTING SERVICE CLASSIFICATION</v>
      </c>
      <c r="C96" s="44"/>
      <c r="D96" s="85" t="s">
        <v>69</v>
      </c>
      <c r="E96" s="46"/>
      <c r="F96" s="55">
        <v>3.4000000000000002E-3</v>
      </c>
      <c r="G96" s="68">
        <f>E69*E71</f>
        <v>13058.224335000003</v>
      </c>
      <c r="H96" s="86">
        <f t="shared" ref="H96:H97" si="25">G96*F96</f>
        <v>44.397962739000015</v>
      </c>
      <c r="I96" s="55">
        <v>3.4000000000000002E-3</v>
      </c>
      <c r="J96" s="69">
        <f>E69*E72</f>
        <v>13058.224335000003</v>
      </c>
      <c r="K96" s="52">
        <f t="shared" ref="K96:K97" si="26">J96*I96</f>
        <v>44.397962739000015</v>
      </c>
      <c r="L96" s="53">
        <f t="shared" si="24"/>
        <v>0</v>
      </c>
      <c r="M96" s="54">
        <f t="shared" ref="M96:M97" si="27">IF(ISERROR(L96/H96), "", L96/H96)</f>
        <v>0</v>
      </c>
    </row>
    <row r="97" spans="1:13" ht="25.5" x14ac:dyDescent="0.2">
      <c r="A97" s="28" t="str">
        <f t="shared" si="12"/>
        <v>STREET LIGHTING SERVICE CLASSIFICATION</v>
      </c>
      <c r="C97" s="44"/>
      <c r="D97" s="85" t="s">
        <v>70</v>
      </c>
      <c r="E97" s="46"/>
      <c r="F97" s="55">
        <v>5.0000000000000001E-4</v>
      </c>
      <c r="G97" s="68">
        <f>E69*E71</f>
        <v>13058.224335000003</v>
      </c>
      <c r="H97" s="86">
        <f t="shared" si="25"/>
        <v>6.529112167500001</v>
      </c>
      <c r="I97" s="55">
        <v>5.0000000000000001E-4</v>
      </c>
      <c r="J97" s="69">
        <f>E69*E72</f>
        <v>13058.224335000003</v>
      </c>
      <c r="K97" s="52">
        <f t="shared" si="26"/>
        <v>6.529112167500001</v>
      </c>
      <c r="L97" s="53">
        <f t="shared" si="24"/>
        <v>0</v>
      </c>
      <c r="M97" s="54">
        <f t="shared" si="27"/>
        <v>0</v>
      </c>
    </row>
    <row r="98" spans="1:13" x14ac:dyDescent="0.2">
      <c r="A98" s="28" t="str">
        <f t="shared" si="12"/>
        <v>STREET LIGHTING SERVICE CLASSIFICATION</v>
      </c>
      <c r="C98" s="44"/>
      <c r="D98" s="87" t="s">
        <v>71</v>
      </c>
      <c r="E98" s="46"/>
      <c r="F98" s="134"/>
      <c r="G98" s="135"/>
      <c r="H98" s="136"/>
      <c r="I98" s="137"/>
      <c r="J98" s="138"/>
      <c r="K98" s="139"/>
      <c r="L98" s="140"/>
      <c r="M98" s="141"/>
    </row>
    <row r="99" spans="1:13" ht="25.5" hidden="1" x14ac:dyDescent="0.2">
      <c r="A99" s="28" t="str">
        <f t="shared" si="12"/>
        <v>STREET LIGHTING SERVICE CLASSIFICATION</v>
      </c>
      <c r="C99" s="44"/>
      <c r="D99" s="85" t="s">
        <v>72</v>
      </c>
      <c r="E99" s="46"/>
      <c r="F99" s="55"/>
      <c r="G99" s="68"/>
      <c r="H99" s="86"/>
      <c r="I99" s="56"/>
      <c r="J99" s="69"/>
      <c r="K99" s="52"/>
      <c r="L99" s="53"/>
      <c r="M99" s="54"/>
    </row>
    <row r="100" spans="1:13" hidden="1" x14ac:dyDescent="0.2">
      <c r="A100" s="28" t="str">
        <f t="shared" si="12"/>
        <v>STREET LIGHTING SERVICE CLASSIFICATION</v>
      </c>
      <c r="B100" s="28" t="s">
        <v>28</v>
      </c>
      <c r="C100" s="44"/>
      <c r="D100" s="87" t="s">
        <v>73</v>
      </c>
      <c r="E100" s="46"/>
      <c r="F100" s="88">
        <v>8.2000000000000003E-2</v>
      </c>
      <c r="G100" s="89">
        <f>IF(AND(E69*12&gt;=150000),0.64*E69*E71,0.64*E69)</f>
        <v>8357.2635744000017</v>
      </c>
      <c r="H100" s="86">
        <f t="shared" ref="H100:H102" si="28">G100*F100</f>
        <v>685.29561310080021</v>
      </c>
      <c r="I100" s="90">
        <v>8.2000000000000003E-2</v>
      </c>
      <c r="J100" s="91">
        <f>IF(AND(E69*12&gt;=150000),0.64*E69*E72,0.64*E69)</f>
        <v>8357.2635744000017</v>
      </c>
      <c r="K100" s="52">
        <f t="shared" ref="K100:K102" si="29">J100*I100</f>
        <v>685.29561310080021</v>
      </c>
      <c r="L100" s="53">
        <f>K100-H100</f>
        <v>0</v>
      </c>
      <c r="M100" s="54">
        <f t="shared" ref="M100:M104" si="30">IF(ISERROR(L100/H100), "", L100/H100)</f>
        <v>0</v>
      </c>
    </row>
    <row r="101" spans="1:13" hidden="1" x14ac:dyDescent="0.2">
      <c r="A101" s="28" t="str">
        <f t="shared" si="12"/>
        <v>STREET LIGHTING SERVICE CLASSIFICATION</v>
      </c>
      <c r="B101" s="28" t="s">
        <v>28</v>
      </c>
      <c r="C101" s="44"/>
      <c r="D101" s="87" t="s">
        <v>74</v>
      </c>
      <c r="E101" s="46"/>
      <c r="F101" s="88">
        <v>0.113</v>
      </c>
      <c r="G101" s="89">
        <f>IF(AND(E69*12&gt;=150000),0.18*E69*E71,0.18*E69)</f>
        <v>2350.4803803000004</v>
      </c>
      <c r="H101" s="86">
        <f t="shared" si="28"/>
        <v>265.60428297390007</v>
      </c>
      <c r="I101" s="90">
        <v>0.113</v>
      </c>
      <c r="J101" s="91">
        <f>IF(AND(E69*12&gt;=150000),0.18*E69*E72,0.18*E69)</f>
        <v>2350.4803803000004</v>
      </c>
      <c r="K101" s="52">
        <f t="shared" si="29"/>
        <v>265.60428297390007</v>
      </c>
      <c r="L101" s="53">
        <f>K101-H101</f>
        <v>0</v>
      </c>
      <c r="M101" s="54">
        <f t="shared" si="30"/>
        <v>0</v>
      </c>
    </row>
    <row r="102" spans="1:13" hidden="1" x14ac:dyDescent="0.2">
      <c r="A102" s="28" t="str">
        <f t="shared" si="12"/>
        <v>STREET LIGHTING SERVICE CLASSIFICATION</v>
      </c>
      <c r="B102" s="28" t="s">
        <v>28</v>
      </c>
      <c r="C102" s="44"/>
      <c r="D102" s="28" t="s">
        <v>75</v>
      </c>
      <c r="E102" s="46"/>
      <c r="F102" s="88">
        <v>0.17</v>
      </c>
      <c r="G102" s="89">
        <f>IF(AND(E69*12&gt;=150000),0.18*E69*E71,0.18*E69)</f>
        <v>2350.4803803000004</v>
      </c>
      <c r="H102" s="86">
        <f t="shared" si="28"/>
        <v>399.5816646510001</v>
      </c>
      <c r="I102" s="90">
        <v>0.17</v>
      </c>
      <c r="J102" s="91">
        <f>IF(AND(E69*12&gt;=150000),0.18*E69*E72,0.18*E69)</f>
        <v>2350.4803803000004</v>
      </c>
      <c r="K102" s="52">
        <f t="shared" si="29"/>
        <v>399.5816646510001</v>
      </c>
      <c r="L102" s="53">
        <f>K102-H102</f>
        <v>0</v>
      </c>
      <c r="M102" s="54">
        <f t="shared" si="30"/>
        <v>0</v>
      </c>
    </row>
    <row r="103" spans="1:13" ht="13.5" thickBot="1" x14ac:dyDescent="0.25">
      <c r="A103" s="28" t="str">
        <f t="shared" si="12"/>
        <v>STREET LIGHTING SERVICE CLASSIFICATION</v>
      </c>
      <c r="B103" s="28" t="s">
        <v>30</v>
      </c>
      <c r="C103" s="44"/>
      <c r="D103" s="87" t="s">
        <v>76</v>
      </c>
      <c r="E103" s="46"/>
      <c r="F103" s="92">
        <v>9.6699999999999994E-2</v>
      </c>
      <c r="G103" s="89">
        <f>IF(AND(E69*12&gt;=150000),E69*E71,E69)</f>
        <v>13058.224335000003</v>
      </c>
      <c r="H103" s="86">
        <f>G103*F103</f>
        <v>1262.7302931945003</v>
      </c>
      <c r="I103" s="93">
        <f>F103</f>
        <v>9.6699999999999994E-2</v>
      </c>
      <c r="J103" s="91">
        <f>IF(AND(E69*12&gt;=150000),E69*E72,E69)</f>
        <v>13058.224335000003</v>
      </c>
      <c r="K103" s="52">
        <f>J103*I103</f>
        <v>1262.7302931945003</v>
      </c>
      <c r="L103" s="53">
        <f>K103-H103</f>
        <v>0</v>
      </c>
      <c r="M103" s="54">
        <f t="shared" si="30"/>
        <v>0</v>
      </c>
    </row>
    <row r="104" spans="1:13" ht="13.5" hidden="1" thickBot="1" x14ac:dyDescent="0.25">
      <c r="A104" s="28" t="str">
        <f t="shared" si="12"/>
        <v>STREET LIGHTING SERVICE CLASSIFICATION</v>
      </c>
      <c r="B104" s="28" t="s">
        <v>29</v>
      </c>
      <c r="C104" s="44"/>
      <c r="D104" s="87" t="s">
        <v>77</v>
      </c>
      <c r="E104" s="46"/>
      <c r="F104" s="92">
        <v>9.6699999999999994E-2</v>
      </c>
      <c r="G104" s="89">
        <f>IF(AND(E69*12&gt;=150000),E69*E71,E69)</f>
        <v>13058.224335000003</v>
      </c>
      <c r="H104" s="86">
        <f>G104*F104</f>
        <v>1262.7302931945003</v>
      </c>
      <c r="I104" s="93">
        <f>F104</f>
        <v>9.6699999999999994E-2</v>
      </c>
      <c r="J104" s="91">
        <f>IF(AND(E69*12&gt;=150000),E69*E72,E69)</f>
        <v>13058.224335000003</v>
      </c>
      <c r="K104" s="52">
        <f>J104*I104</f>
        <v>1262.7302931945003</v>
      </c>
      <c r="L104" s="53">
        <f>K104-H104</f>
        <v>0</v>
      </c>
      <c r="M104" s="54">
        <f t="shared" si="30"/>
        <v>0</v>
      </c>
    </row>
    <row r="105" spans="1:13" ht="13.5" thickBot="1" x14ac:dyDescent="0.25">
      <c r="A105" s="28" t="str">
        <f t="shared" si="12"/>
        <v>STREET LIGHTING SERVICE CLASSIFICATION</v>
      </c>
      <c r="C105" s="44"/>
      <c r="D105" s="94"/>
      <c r="E105" s="95"/>
      <c r="F105" s="96"/>
      <c r="G105" s="97"/>
      <c r="H105" s="98"/>
      <c r="I105" s="96"/>
      <c r="J105" s="99"/>
      <c r="K105" s="98"/>
      <c r="L105" s="100"/>
      <c r="M105" s="101"/>
    </row>
    <row r="106" spans="1:13" hidden="1" x14ac:dyDescent="0.2">
      <c r="A106" s="28" t="str">
        <f t="shared" si="12"/>
        <v>STREET LIGHTING SERVICE CLASSIFICATION</v>
      </c>
      <c r="B106" s="28" t="s">
        <v>28</v>
      </c>
      <c r="C106" s="44"/>
      <c r="D106" s="102" t="s">
        <v>78</v>
      </c>
      <c r="E106" s="87"/>
      <c r="F106" s="103"/>
      <c r="G106" s="104"/>
      <c r="H106" s="105">
        <f>SUM(H96:H102,H95)</f>
        <v>2152.2507658822001</v>
      </c>
      <c r="I106" s="106"/>
      <c r="J106" s="106"/>
      <c r="K106" s="105">
        <f>SUM(K96:K102,K95)</f>
        <v>2999.1120976321999</v>
      </c>
      <c r="L106" s="107">
        <f>K106-H106</f>
        <v>846.86133174999986</v>
      </c>
      <c r="M106" s="108">
        <f>IF((H106)=0,"",(L106/H106))</f>
        <v>0.39347707301331791</v>
      </c>
    </row>
    <row r="107" spans="1:13" hidden="1" x14ac:dyDescent="0.2">
      <c r="A107" s="28" t="str">
        <f t="shared" si="12"/>
        <v>STREET LIGHTING SERVICE CLASSIFICATION</v>
      </c>
      <c r="B107" s="28" t="s">
        <v>28</v>
      </c>
      <c r="C107" s="44"/>
      <c r="D107" s="109" t="s">
        <v>79</v>
      </c>
      <c r="E107" s="87"/>
      <c r="F107" s="103">
        <v>0.13</v>
      </c>
      <c r="G107" s="110"/>
      <c r="H107" s="111">
        <f>H106*F107</f>
        <v>279.79259956468604</v>
      </c>
      <c r="I107" s="112">
        <v>0.13</v>
      </c>
      <c r="J107" s="48"/>
      <c r="K107" s="111">
        <f>K106*I107</f>
        <v>389.884572692186</v>
      </c>
      <c r="L107" s="53">
        <f>K107-H107</f>
        <v>110.09197312749995</v>
      </c>
      <c r="M107" s="113">
        <f>IF((H107)=0,"",(L107/H107))</f>
        <v>0.3934770730133178</v>
      </c>
    </row>
    <row r="108" spans="1:13" ht="15" hidden="1" x14ac:dyDescent="0.25">
      <c r="A108" s="28" t="str">
        <f t="shared" si="12"/>
        <v>STREET LIGHTING SERVICE CLASSIFICATION</v>
      </c>
      <c r="B108" s="28" t="s">
        <v>28</v>
      </c>
      <c r="C108" s="44"/>
      <c r="D108" s="109" t="s">
        <v>80</v>
      </c>
      <c r="E108"/>
      <c r="F108" s="114">
        <v>0.17</v>
      </c>
      <c r="G108" s="110"/>
      <c r="H108" s="111">
        <f>IF(OR(ISNUMBER(SEARCH("[DGEN]", E67))=TRUE, ISNUMBER(SEARCH("STREET LIGHT", E67))=TRUE), 0, IF(AND(E69=0, E70=0),0, IF(AND(E70=0, E69*12&gt;250000), 0, IF(AND(E69=0, E70&gt;=50), 0, IF(E69*12&lt;=250000, F108*H106*-1, IF(E70&lt;50, F108*H106*-1, 0))))))</f>
        <v>0</v>
      </c>
      <c r="I108" s="114">
        <v>0.17</v>
      </c>
      <c r="J108" s="48"/>
      <c r="K108" s="111">
        <f>IF(OR(ISNUMBER(SEARCH("[DGEN]", E67))=TRUE, ISNUMBER(SEARCH("STREET LIGHT", E67))=TRUE), 0, IF(AND(E69=0, E70=0),0, IF(AND(E70=0, E69*12&gt;250000), 0, IF(AND(E69=0, E70&gt;=50), 0, IF(E69*12&lt;=250000, I108*K106*-1, IF(E70&lt;50, I108*K106*-1, 0))))))</f>
        <v>0</v>
      </c>
      <c r="L108" s="53">
        <f>K108-H108</f>
        <v>0</v>
      </c>
      <c r="M108" s="113"/>
    </row>
    <row r="109" spans="1:13" hidden="1" x14ac:dyDescent="0.2">
      <c r="A109" s="28" t="str">
        <f t="shared" si="12"/>
        <v>STREET LIGHTING SERVICE CLASSIFICATION</v>
      </c>
      <c r="B109" s="28" t="s">
        <v>81</v>
      </c>
      <c r="C109" s="44"/>
      <c r="D109" s="152" t="s">
        <v>82</v>
      </c>
      <c r="E109" s="152"/>
      <c r="F109" s="115"/>
      <c r="G109" s="116"/>
      <c r="H109" s="117">
        <f>H106+H107+H108</f>
        <v>2432.0433654468861</v>
      </c>
      <c r="I109" s="118"/>
      <c r="J109" s="118"/>
      <c r="K109" s="119">
        <f>K106+K107+K108</f>
        <v>3388.9966703243858</v>
      </c>
      <c r="L109" s="120">
        <f>K109-H109</f>
        <v>956.9533048774997</v>
      </c>
      <c r="M109" s="121">
        <f>IF((H109)=0,"",(L109/H109))</f>
        <v>0.39347707301331786</v>
      </c>
    </row>
    <row r="110" spans="1:13" ht="13.5" hidden="1" thickBot="1" x14ac:dyDescent="0.25">
      <c r="A110" s="28" t="str">
        <f t="shared" si="12"/>
        <v>STREET LIGHTING SERVICE CLASSIFICATION</v>
      </c>
      <c r="B110" s="28" t="s">
        <v>28</v>
      </c>
      <c r="C110" s="44"/>
      <c r="D110" s="94"/>
      <c r="E110" s="95"/>
      <c r="F110" s="96"/>
      <c r="G110" s="97"/>
      <c r="H110" s="98"/>
      <c r="I110" s="96"/>
      <c r="J110" s="99"/>
      <c r="K110" s="98"/>
      <c r="L110" s="100"/>
      <c r="M110" s="101"/>
    </row>
    <row r="111" spans="1:13" x14ac:dyDescent="0.2">
      <c r="A111" s="28" t="str">
        <f t="shared" si="12"/>
        <v>STREET LIGHTING SERVICE CLASSIFICATION</v>
      </c>
      <c r="B111" s="28" t="s">
        <v>30</v>
      </c>
      <c r="C111" s="44"/>
      <c r="D111" s="102" t="s">
        <v>83</v>
      </c>
      <c r="E111" s="87"/>
      <c r="F111" s="103"/>
      <c r="G111" s="104"/>
      <c r="H111" s="105">
        <f>SUM(H103,H96:H99,H95)</f>
        <v>2064.4994983510001</v>
      </c>
      <c r="I111" s="106"/>
      <c r="J111" s="106"/>
      <c r="K111" s="105">
        <f>SUM(K103,K96:K99,K95)</f>
        <v>2911.3608301009999</v>
      </c>
      <c r="L111" s="107">
        <f>K111-H111</f>
        <v>846.86133174999986</v>
      </c>
      <c r="M111" s="108">
        <f>IF((H111)=0,"",(L111/H111))</f>
        <v>0.41020176194105279</v>
      </c>
    </row>
    <row r="112" spans="1:13" x14ac:dyDescent="0.2">
      <c r="A112" s="28" t="str">
        <f t="shared" si="12"/>
        <v>STREET LIGHTING SERVICE CLASSIFICATION</v>
      </c>
      <c r="B112" s="28" t="s">
        <v>30</v>
      </c>
      <c r="C112" s="44"/>
      <c r="D112" s="109" t="s">
        <v>79</v>
      </c>
      <c r="E112" s="87"/>
      <c r="F112" s="103">
        <v>0.13</v>
      </c>
      <c r="G112" s="104"/>
      <c r="H112" s="111">
        <f>H111*F112</f>
        <v>268.38493478563004</v>
      </c>
      <c r="I112" s="103">
        <v>0.13</v>
      </c>
      <c r="J112" s="112"/>
      <c r="K112" s="111">
        <f>K111*I112</f>
        <v>378.47690791312999</v>
      </c>
      <c r="L112" s="53">
        <f>K112-H112</f>
        <v>110.09197312749995</v>
      </c>
      <c r="M112" s="113">
        <f>IF((H112)=0,"",(L112/H112))</f>
        <v>0.41020176194105268</v>
      </c>
    </row>
    <row r="113" spans="1:20" ht="15" x14ac:dyDescent="0.25">
      <c r="A113" s="28" t="str">
        <f t="shared" si="12"/>
        <v>STREET LIGHTING SERVICE CLASSIFICATION</v>
      </c>
      <c r="B113" s="28" t="s">
        <v>30</v>
      </c>
      <c r="C113" s="44"/>
      <c r="D113" s="109" t="s">
        <v>80</v>
      </c>
      <c r="E113"/>
      <c r="F113" s="114">
        <v>0.17</v>
      </c>
      <c r="G113" s="104"/>
      <c r="H113" s="111">
        <f>IF(OR(ISNUMBER(SEARCH("[DGEN]", E67))=TRUE, ISNUMBER(SEARCH("STREET LIGHT", E67))=TRUE), 0, IF(AND(E69=0, E70=0),0, IF(AND(E70=0, E69*12&gt;250000), 0, IF(AND(E69=0, E70&gt;=50), 0, IF(E69*12&lt;=250000, F113*H111*-1, IF(E70&lt;50, F113*H111*-1, 0))))))</f>
        <v>0</v>
      </c>
      <c r="I113" s="114">
        <v>0.17</v>
      </c>
      <c r="J113" s="112"/>
      <c r="K113" s="111">
        <f>IF(OR(ISNUMBER(SEARCH("[DGEN]", E67))=TRUE, ISNUMBER(SEARCH("STREET LIGHT", E67))=TRUE), 0, IF(AND(E69=0, E70=0),0, IF(AND(E70=0, E69*12&gt;250000), 0, IF(AND(E69=0, E70&gt;=50), 0, IF(E69*12&lt;=250000, I113*K111*-1, IF(E70&lt;50, I113*K111*-1, 0))))))</f>
        <v>0</v>
      </c>
      <c r="L113" s="53"/>
      <c r="M113" s="113"/>
    </row>
    <row r="114" spans="1:20" ht="13.5" thickBot="1" x14ac:dyDescent="0.25">
      <c r="A114" s="28" t="str">
        <f t="shared" si="12"/>
        <v>STREET LIGHTING SERVICE CLASSIFICATION</v>
      </c>
      <c r="B114" s="28" t="s">
        <v>84</v>
      </c>
      <c r="C114" s="44" t="e">
        <f>#REF!</f>
        <v>#REF!</v>
      </c>
      <c r="D114" s="152" t="s">
        <v>83</v>
      </c>
      <c r="E114" s="152"/>
      <c r="F114" s="122"/>
      <c r="G114" s="123"/>
      <c r="H114" s="117">
        <f>SUM(H111,H112)</f>
        <v>2332.8844331366299</v>
      </c>
      <c r="I114" s="124"/>
      <c r="J114" s="124"/>
      <c r="K114" s="117">
        <f>SUM(K111,K112)</f>
        <v>3289.8377380141301</v>
      </c>
      <c r="L114" s="125">
        <f>K114-H114</f>
        <v>956.95330487750016</v>
      </c>
      <c r="M114" s="126">
        <f>IF((H114)=0,"",(L114/H114))</f>
        <v>0.41020176194105296</v>
      </c>
    </row>
    <row r="115" spans="1:20" ht="13.5" thickBot="1" x14ac:dyDescent="0.25">
      <c r="A115" s="28" t="str">
        <f t="shared" si="12"/>
        <v>STREET LIGHTING SERVICE CLASSIFICATION</v>
      </c>
      <c r="B115" s="28" t="s">
        <v>30</v>
      </c>
      <c r="C115" s="44"/>
      <c r="D115" s="94"/>
      <c r="E115" s="95"/>
      <c r="F115" s="127"/>
      <c r="G115" s="128"/>
      <c r="H115" s="129"/>
      <c r="I115" s="127"/>
      <c r="J115" s="97"/>
      <c r="K115" s="129"/>
      <c r="L115" s="130"/>
      <c r="M115" s="101"/>
    </row>
    <row r="117" spans="1:20" x14ac:dyDescent="0.2">
      <c r="C117" s="28"/>
      <c r="D117" s="30" t="s">
        <v>32</v>
      </c>
      <c r="E117" s="163" t="str">
        <f t="shared" ref="E117:E122" si="31">+E67</f>
        <v>STREET LIGHTING SERVICE CLASSIFICATION</v>
      </c>
      <c r="F117" s="163"/>
      <c r="G117" s="163"/>
      <c r="H117" s="163"/>
      <c r="I117" s="163"/>
      <c r="J117" s="163"/>
      <c r="K117" s="28" t="str">
        <f>IF(N21="DEMAND - INTERVAL","RTSR - INTERVAL METERED","")</f>
        <v/>
      </c>
      <c r="T117" s="28" t="s">
        <v>31</v>
      </c>
    </row>
    <row r="118" spans="1:20" x14ac:dyDescent="0.2">
      <c r="C118" s="28"/>
      <c r="D118" s="30" t="s">
        <v>33</v>
      </c>
      <c r="E118" s="164" t="str">
        <f t="shared" si="31"/>
        <v>Non-RPP (Retailer)</v>
      </c>
      <c r="F118" s="164"/>
      <c r="G118" s="164"/>
      <c r="H118" s="31"/>
      <c r="I118" s="31"/>
    </row>
    <row r="119" spans="1:20" ht="15.75" x14ac:dyDescent="0.2">
      <c r="C119" s="28"/>
      <c r="D119" s="30" t="s">
        <v>34</v>
      </c>
      <c r="E119" s="32">
        <f t="shared" si="31"/>
        <v>12727.314166666669</v>
      </c>
      <c r="F119" s="33" t="s">
        <v>14</v>
      </c>
      <c r="J119" s="34"/>
      <c r="K119" s="34"/>
      <c r="L119" s="34"/>
      <c r="M119" s="34"/>
      <c r="N119" s="34"/>
    </row>
    <row r="120" spans="1:20" ht="15.75" x14ac:dyDescent="0.25">
      <c r="C120" s="28"/>
      <c r="D120" s="30" t="s">
        <v>35</v>
      </c>
      <c r="E120" s="32">
        <f t="shared" si="31"/>
        <v>35.459999999999994</v>
      </c>
      <c r="F120" s="35" t="s">
        <v>17</v>
      </c>
      <c r="G120" s="36"/>
      <c r="H120" s="37"/>
      <c r="I120" s="37"/>
      <c r="J120" s="37"/>
    </row>
    <row r="121" spans="1:20" x14ac:dyDescent="0.2">
      <c r="C121" s="28"/>
      <c r="D121" s="30" t="s">
        <v>36</v>
      </c>
      <c r="E121" s="38">
        <f t="shared" si="31"/>
        <v>1.026</v>
      </c>
    </row>
    <row r="122" spans="1:20" x14ac:dyDescent="0.2">
      <c r="C122" s="28"/>
      <c r="D122" s="30" t="s">
        <v>37</v>
      </c>
      <c r="E122" s="38">
        <f t="shared" si="31"/>
        <v>1.026</v>
      </c>
    </row>
    <row r="123" spans="1:20" x14ac:dyDescent="0.2">
      <c r="C123" s="28"/>
    </row>
    <row r="124" spans="1:20" x14ac:dyDescent="0.2">
      <c r="C124" s="28"/>
      <c r="E124" s="33"/>
      <c r="F124" s="153" t="s">
        <v>38</v>
      </c>
      <c r="G124" s="154"/>
      <c r="H124" s="155"/>
      <c r="I124" s="153" t="s">
        <v>39</v>
      </c>
      <c r="J124" s="154"/>
      <c r="K124" s="155"/>
      <c r="L124" s="153" t="s">
        <v>40</v>
      </c>
      <c r="M124" s="155"/>
    </row>
    <row r="125" spans="1:20" x14ac:dyDescent="0.2">
      <c r="C125" s="28"/>
      <c r="E125" s="156"/>
      <c r="F125" s="39" t="s">
        <v>41</v>
      </c>
      <c r="G125" s="39" t="s">
        <v>42</v>
      </c>
      <c r="H125" s="40" t="s">
        <v>43</v>
      </c>
      <c r="I125" s="39" t="s">
        <v>41</v>
      </c>
      <c r="J125" s="41" t="s">
        <v>42</v>
      </c>
      <c r="K125" s="40" t="s">
        <v>43</v>
      </c>
      <c r="L125" s="158" t="s">
        <v>44</v>
      </c>
      <c r="M125" s="160" t="s">
        <v>45</v>
      </c>
    </row>
    <row r="126" spans="1:20" x14ac:dyDescent="0.2">
      <c r="C126" s="28"/>
      <c r="E126" s="157"/>
      <c r="F126" s="42" t="s">
        <v>46</v>
      </c>
      <c r="G126" s="42"/>
      <c r="H126" s="43" t="s">
        <v>46</v>
      </c>
      <c r="I126" s="42" t="s">
        <v>46</v>
      </c>
      <c r="J126" s="43"/>
      <c r="K126" s="43" t="s">
        <v>46</v>
      </c>
      <c r="L126" s="159"/>
      <c r="M126" s="161"/>
    </row>
    <row r="127" spans="1:20" x14ac:dyDescent="0.2">
      <c r="A127" s="28" t="str">
        <f>$E117</f>
        <v>STREET LIGHTING SERVICE CLASSIFICATION</v>
      </c>
      <c r="C127" s="44"/>
      <c r="D127" s="45" t="s">
        <v>47</v>
      </c>
      <c r="E127" s="46"/>
      <c r="F127" s="47">
        <v>0.47</v>
      </c>
      <c r="G127" s="48">
        <v>522</v>
      </c>
      <c r="H127" s="49">
        <f>G127*F127</f>
        <v>245.33999999999997</v>
      </c>
      <c r="I127" s="50">
        <v>0.48</v>
      </c>
      <c r="J127" s="51">
        <v>522</v>
      </c>
      <c r="K127" s="52">
        <f>J127*I127</f>
        <v>250.56</v>
      </c>
      <c r="L127" s="53">
        <f t="shared" ref="L127:L128" si="32">K127-H127</f>
        <v>5.2200000000000273</v>
      </c>
      <c r="M127" s="54">
        <f>IF(ISERROR(L127/H127), "", L127/H127)</f>
        <v>2.1276595744680965E-2</v>
      </c>
    </row>
    <row r="128" spans="1:20" x14ac:dyDescent="0.2">
      <c r="A128" s="28" t="str">
        <f>A127</f>
        <v>STREET LIGHTING SERVICE CLASSIFICATION</v>
      </c>
      <c r="C128" s="44"/>
      <c r="D128" s="45" t="s">
        <v>48</v>
      </c>
      <c r="E128" s="46"/>
      <c r="F128" s="55">
        <v>11.1096</v>
      </c>
      <c r="G128" s="48">
        <f>IF($E120&gt;0, $E120, $E119)</f>
        <v>35.459999999999994</v>
      </c>
      <c r="H128" s="49">
        <f t="shared" ref="H128" si="33">G128*F128</f>
        <v>393.94641599999994</v>
      </c>
      <c r="I128" s="56">
        <v>11.4429</v>
      </c>
      <c r="J128" s="51">
        <f>IF($E120&gt;0, $E120, $E119)</f>
        <v>35.459999999999994</v>
      </c>
      <c r="K128" s="52">
        <f>J128*I128</f>
        <v>405.76523399999991</v>
      </c>
      <c r="L128" s="53">
        <f t="shared" si="32"/>
        <v>11.818817999999965</v>
      </c>
      <c r="M128" s="54">
        <f t="shared" ref="M128" si="34">IF(ISERROR(L128/H128), "", L128/H128)</f>
        <v>3.0001080146899894E-2</v>
      </c>
    </row>
    <row r="129" spans="1:14" hidden="1" x14ac:dyDescent="0.2">
      <c r="A129" s="28" t="str">
        <f t="shared" ref="A129:A165" si="35">A128</f>
        <v>STREET LIGHTING SERVICE CLASSIFICATION</v>
      </c>
      <c r="C129" s="44"/>
      <c r="D129" s="45" t="s">
        <v>49</v>
      </c>
      <c r="E129" s="46"/>
      <c r="F129" s="55"/>
      <c r="G129" s="48">
        <f>IF($E120&gt;0, $E120, $E119)</f>
        <v>35.459999999999994</v>
      </c>
      <c r="H129" s="49">
        <v>0</v>
      </c>
      <c r="I129" s="56"/>
      <c r="J129" s="51">
        <f>IF($E120&gt;0, $E120, $E119)</f>
        <v>35.459999999999994</v>
      </c>
      <c r="K129" s="52">
        <v>0</v>
      </c>
      <c r="L129" s="53"/>
      <c r="M129" s="54"/>
    </row>
    <row r="130" spans="1:14" hidden="1" x14ac:dyDescent="0.2">
      <c r="A130" s="28" t="str">
        <f t="shared" si="35"/>
        <v>STREET LIGHTING SERVICE CLASSIFICATION</v>
      </c>
      <c r="C130" s="44"/>
      <c r="D130" s="45" t="s">
        <v>50</v>
      </c>
      <c r="E130" s="46"/>
      <c r="F130" s="55"/>
      <c r="G130" s="48">
        <f>IF($E120&gt;0, $E120, $E119)</f>
        <v>35.459999999999994</v>
      </c>
      <c r="H130" s="49">
        <v>0</v>
      </c>
      <c r="I130" s="56"/>
      <c r="J130" s="57">
        <f>IF($E120&gt;0, $E120, $E119)</f>
        <v>35.459999999999994</v>
      </c>
      <c r="K130" s="52">
        <v>0</v>
      </c>
      <c r="L130" s="53">
        <f>K130-H130</f>
        <v>0</v>
      </c>
      <c r="M130" s="54" t="str">
        <f>IF(ISERROR(L130/H130), "", L130/H130)</f>
        <v/>
      </c>
    </row>
    <row r="131" spans="1:14" x14ac:dyDescent="0.2">
      <c r="A131" s="28" t="str">
        <f t="shared" si="35"/>
        <v>STREET LIGHTING SERVICE CLASSIFICATION</v>
      </c>
      <c r="C131" s="44"/>
      <c r="D131" s="45" t="s">
        <v>51</v>
      </c>
      <c r="E131" s="46"/>
      <c r="F131" s="47">
        <v>-0.01</v>
      </c>
      <c r="G131" s="48">
        <v>522</v>
      </c>
      <c r="H131" s="49">
        <f t="shared" ref="H131:H132" si="36">G131*F131</f>
        <v>-5.22</v>
      </c>
      <c r="I131" s="50">
        <v>-0.01</v>
      </c>
      <c r="J131" s="51">
        <v>522</v>
      </c>
      <c r="K131" s="52">
        <f t="shared" ref="K131:K132" si="37">J131*I131</f>
        <v>-5.22</v>
      </c>
      <c r="L131" s="53">
        <f t="shared" ref="L131:L133" si="38">K131-H131</f>
        <v>0</v>
      </c>
      <c r="M131" s="54">
        <f t="shared" ref="M131:M132" si="39">IF(ISERROR(L131/H131), "", L131/H131)</f>
        <v>0</v>
      </c>
    </row>
    <row r="132" spans="1:14" x14ac:dyDescent="0.2">
      <c r="A132" s="28" t="str">
        <f t="shared" si="35"/>
        <v>STREET LIGHTING SERVICE CLASSIFICATION</v>
      </c>
      <c r="C132" s="44"/>
      <c r="D132" s="45" t="s">
        <v>52</v>
      </c>
      <c r="E132" s="46"/>
      <c r="F132" s="55">
        <v>-1.6225000000000001</v>
      </c>
      <c r="G132" s="48">
        <f>IF($E120&gt;0, $E120, $E119)</f>
        <v>35.459999999999994</v>
      </c>
      <c r="H132" s="49">
        <f t="shared" si="36"/>
        <v>-57.533849999999994</v>
      </c>
      <c r="I132" s="56">
        <f>+'7. Calculation of Def-Var RR'!K25</f>
        <v>11.842499999999999</v>
      </c>
      <c r="J132" s="51">
        <f>IF($E120&gt;0, $E120, $E119)</f>
        <v>35.459999999999994</v>
      </c>
      <c r="K132" s="52">
        <f t="shared" si="37"/>
        <v>419.93504999999988</v>
      </c>
      <c r="L132" s="53">
        <f t="shared" si="38"/>
        <v>477.46889999999985</v>
      </c>
      <c r="M132" s="54">
        <f t="shared" si="39"/>
        <v>-8.2989214175654844</v>
      </c>
    </row>
    <row r="133" spans="1:14" x14ac:dyDescent="0.2">
      <c r="A133" s="28" t="str">
        <f t="shared" si="35"/>
        <v>STREET LIGHTING SERVICE CLASSIFICATION</v>
      </c>
      <c r="B133" s="28" t="s">
        <v>53</v>
      </c>
      <c r="C133" s="44">
        <f>B21</f>
        <v>0</v>
      </c>
      <c r="D133" s="58" t="s">
        <v>54</v>
      </c>
      <c r="E133" s="59"/>
      <c r="F133" s="60"/>
      <c r="G133" s="61"/>
      <c r="H133" s="62">
        <f>SUM(H127:H132)</f>
        <v>576.53256599999986</v>
      </c>
      <c r="I133" s="63"/>
      <c r="J133" s="64"/>
      <c r="K133" s="62">
        <f>SUM(K127:K132)</f>
        <v>1071.0402839999997</v>
      </c>
      <c r="L133" s="65">
        <f t="shared" si="38"/>
        <v>494.50771799999984</v>
      </c>
      <c r="M133" s="66">
        <f>IF((H133)=0,"",(L133/H133))</f>
        <v>0.85772729445434304</v>
      </c>
    </row>
    <row r="134" spans="1:14" x14ac:dyDescent="0.2">
      <c r="A134" s="28" t="str">
        <f t="shared" si="35"/>
        <v>STREET LIGHTING SERVICE CLASSIFICATION</v>
      </c>
      <c r="C134" s="44"/>
      <c r="D134" s="67" t="s">
        <v>55</v>
      </c>
      <c r="E134" s="46"/>
      <c r="F134" s="55">
        <f>IF((E119*12&gt;=150000), 0, IF(E118="RPP",(F150*0.64+F151*0.18+F152*0.18),IF(E118="Non-RPP (Retailer)",F153,F154)))</f>
        <v>0</v>
      </c>
      <c r="G134" s="68">
        <f>IF(F134=0, 0, $E119*E121-E119)</f>
        <v>0</v>
      </c>
      <c r="H134" s="49">
        <f>G134*F134</f>
        <v>0</v>
      </c>
      <c r="I134" s="56">
        <f>IF((E119*12&gt;=150000), 0, IF(E118="RPP",(I150*0.64+I151*0.18+I152*0.18),IF(E118="Non-RPP (Retailer)",I153,I154)))</f>
        <v>0</v>
      </c>
      <c r="J134" s="69">
        <f>IF(I134=0, 0, E119*E122-E119)</f>
        <v>0</v>
      </c>
      <c r="K134" s="52">
        <f>J134*I134</f>
        <v>0</v>
      </c>
      <c r="L134" s="53">
        <f>K134-H134</f>
        <v>0</v>
      </c>
      <c r="M134" s="54" t="str">
        <f>IF(ISERROR(L134/H134), "", L134/H134)</f>
        <v/>
      </c>
    </row>
    <row r="135" spans="1:14" ht="25.5" x14ac:dyDescent="0.2">
      <c r="A135" s="28" t="str">
        <f t="shared" si="35"/>
        <v>STREET LIGHTING SERVICE CLASSIFICATION</v>
      </c>
      <c r="C135" s="44"/>
      <c r="D135" s="67" t="s">
        <v>56</v>
      </c>
      <c r="E135" s="46"/>
      <c r="F135" s="55">
        <v>0.18360000000000001</v>
      </c>
      <c r="G135" s="70">
        <f>IF($E120&gt;0, $E120, $E119)</f>
        <v>35.459999999999994</v>
      </c>
      <c r="H135" s="49">
        <f t="shared" ref="H135" si="40">G135*F135</f>
        <v>6.5104559999999996</v>
      </c>
      <c r="I135" s="56">
        <v>1.2901</v>
      </c>
      <c r="J135" s="71">
        <f>IF($E120&gt;0, $E120, $E119)</f>
        <v>35.459999999999994</v>
      </c>
      <c r="K135" s="52">
        <f t="shared" ref="K135" si="41">J135*I135</f>
        <v>45.746945999999994</v>
      </c>
      <c r="L135" s="53">
        <f t="shared" ref="L135:L139" si="42">K135-H135</f>
        <v>39.236489999999996</v>
      </c>
      <c r="M135" s="54">
        <f t="shared" ref="M135:M138" si="43">IF(ISERROR(L135/H135), "", L135/H135)</f>
        <v>6.026688453159041</v>
      </c>
    </row>
    <row r="136" spans="1:14" x14ac:dyDescent="0.2">
      <c r="A136" s="28" t="str">
        <f t="shared" si="35"/>
        <v>STREET LIGHTING SERVICE CLASSIFICATION</v>
      </c>
      <c r="C136" s="44"/>
      <c r="D136" s="67" t="s">
        <v>57</v>
      </c>
      <c r="E136" s="46"/>
      <c r="F136" s="55">
        <v>0</v>
      </c>
      <c r="G136" s="70">
        <f>IF($E120&gt;0, $E120, $E119)</f>
        <v>35.459999999999994</v>
      </c>
      <c r="H136" s="49">
        <f>G136*F136</f>
        <v>0</v>
      </c>
      <c r="I136" s="56">
        <v>-4.3900000000000002E-2</v>
      </c>
      <c r="J136" s="71">
        <f>IF($E120&gt;0, $E120, $E119)</f>
        <v>35.459999999999994</v>
      </c>
      <c r="K136" s="52">
        <f>J136*I136</f>
        <v>-1.5566939999999998</v>
      </c>
      <c r="L136" s="53">
        <f t="shared" si="42"/>
        <v>-1.5566939999999998</v>
      </c>
      <c r="M136" s="54" t="str">
        <f t="shared" si="43"/>
        <v/>
      </c>
    </row>
    <row r="137" spans="1:14" x14ac:dyDescent="0.2">
      <c r="A137" s="28" t="str">
        <f t="shared" si="35"/>
        <v>STREET LIGHTING SERVICE CLASSIFICATION</v>
      </c>
      <c r="C137" s="44"/>
      <c r="D137" s="67" t="s">
        <v>58</v>
      </c>
      <c r="E137" s="46"/>
      <c r="F137" s="55">
        <v>-2.0999999999999999E-3</v>
      </c>
      <c r="G137" s="70">
        <f>E119</f>
        <v>12727.314166666669</v>
      </c>
      <c r="H137" s="49">
        <f>G137*F137</f>
        <v>-26.727359750000002</v>
      </c>
      <c r="I137" s="56">
        <v>4.7999999999999996E-3</v>
      </c>
      <c r="J137" s="71">
        <f>E119</f>
        <v>12727.314166666669</v>
      </c>
      <c r="K137" s="52">
        <f t="shared" ref="K137:K138" si="44">J137*I137</f>
        <v>61.091108000000006</v>
      </c>
      <c r="L137" s="53">
        <f t="shared" si="42"/>
        <v>87.818467750000011</v>
      </c>
      <c r="M137" s="54">
        <f t="shared" si="43"/>
        <v>-3.285714285714286</v>
      </c>
    </row>
    <row r="138" spans="1:14" x14ac:dyDescent="0.2">
      <c r="A138" s="28" t="str">
        <f t="shared" si="35"/>
        <v>STREET LIGHTING SERVICE CLASSIFICATION</v>
      </c>
      <c r="C138" s="44"/>
      <c r="D138" s="45" t="s">
        <v>59</v>
      </c>
      <c r="E138" s="46"/>
      <c r="F138" s="55">
        <v>1.0699999999999999E-2</v>
      </c>
      <c r="G138" s="70">
        <f>IF($E120&gt;0, $E120, $E119)</f>
        <v>35.459999999999994</v>
      </c>
      <c r="H138" s="49">
        <f t="shared" ref="H138" si="45">G138*F138</f>
        <v>0.37942199999999993</v>
      </c>
      <c r="I138" s="56">
        <v>1.0699999999999999E-2</v>
      </c>
      <c r="J138" s="71">
        <f>IF($E120&gt;0, $E120, $E119)</f>
        <v>35.459999999999994</v>
      </c>
      <c r="K138" s="52">
        <f t="shared" si="44"/>
        <v>0.37942199999999993</v>
      </c>
      <c r="L138" s="53">
        <f t="shared" si="42"/>
        <v>0</v>
      </c>
      <c r="M138" s="54">
        <f t="shared" si="43"/>
        <v>0</v>
      </c>
    </row>
    <row r="139" spans="1:14" ht="25.5" x14ac:dyDescent="0.2">
      <c r="A139" s="28" t="str">
        <f t="shared" si="35"/>
        <v>STREET LIGHTING SERVICE CLASSIFICATION</v>
      </c>
      <c r="C139" s="44"/>
      <c r="D139" s="67" t="s">
        <v>60</v>
      </c>
      <c r="E139" s="46"/>
      <c r="F139" s="72">
        <v>0</v>
      </c>
      <c r="G139" s="48">
        <v>522</v>
      </c>
      <c r="H139" s="49">
        <f>G139*F139</f>
        <v>0</v>
      </c>
      <c r="I139" s="73">
        <v>0</v>
      </c>
      <c r="J139" s="57">
        <v>522</v>
      </c>
      <c r="K139" s="52">
        <f>J139*I139</f>
        <v>0</v>
      </c>
      <c r="L139" s="53">
        <f t="shared" si="42"/>
        <v>0</v>
      </c>
      <c r="M139" s="54" t="str">
        <f>IF(ISERROR(L139/H139), "", L139/H139)</f>
        <v/>
      </c>
    </row>
    <row r="140" spans="1:14" x14ac:dyDescent="0.2">
      <c r="A140" s="28" t="str">
        <f t="shared" si="35"/>
        <v>STREET LIGHTING SERVICE CLASSIFICATION</v>
      </c>
      <c r="C140" s="44"/>
      <c r="D140" s="45" t="s">
        <v>61</v>
      </c>
      <c r="E140" s="46"/>
      <c r="F140" s="47">
        <v>0</v>
      </c>
      <c r="G140" s="48">
        <v>522</v>
      </c>
      <c r="H140" s="49">
        <f t="shared" ref="H140" si="46">G140*F140</f>
        <v>0</v>
      </c>
      <c r="I140" s="50">
        <v>0</v>
      </c>
      <c r="J140" s="57">
        <v>522</v>
      </c>
      <c r="K140" s="52">
        <f>J140*I140</f>
        <v>0</v>
      </c>
      <c r="L140" s="53">
        <f>K140-H140</f>
        <v>0</v>
      </c>
      <c r="M140" s="54" t="str">
        <f>IF(ISERROR(L140/H140), "", L140/H140)</f>
        <v/>
      </c>
    </row>
    <row r="141" spans="1:14" x14ac:dyDescent="0.2">
      <c r="A141" s="28" t="str">
        <f t="shared" si="35"/>
        <v>STREET LIGHTING SERVICE CLASSIFICATION</v>
      </c>
      <c r="C141" s="44"/>
      <c r="D141" s="45" t="s">
        <v>62</v>
      </c>
      <c r="E141" s="46"/>
      <c r="F141" s="55">
        <v>0</v>
      </c>
      <c r="G141" s="70">
        <f>IF($E120&gt;0, $E120, $E119)</f>
        <v>35.459999999999994</v>
      </c>
      <c r="H141" s="49">
        <f>G141*F141</f>
        <v>0</v>
      </c>
      <c r="I141" s="56">
        <v>0</v>
      </c>
      <c r="J141" s="71">
        <f>IF($E120&gt;0, $E120, $E119)</f>
        <v>35.459999999999994</v>
      </c>
      <c r="K141" s="52">
        <f>J141*I141</f>
        <v>0</v>
      </c>
      <c r="L141" s="53">
        <f t="shared" ref="L141:L147" si="47">K141-H141</f>
        <v>0</v>
      </c>
      <c r="M141" s="54" t="str">
        <f>IF(ISERROR(L141/H141), "", L141/H141)</f>
        <v/>
      </c>
    </row>
    <row r="142" spans="1:14" ht="25.5" x14ac:dyDescent="0.2">
      <c r="A142" s="28" t="str">
        <f t="shared" si="35"/>
        <v>STREET LIGHTING SERVICE CLASSIFICATION</v>
      </c>
      <c r="B142" s="28" t="s">
        <v>63</v>
      </c>
      <c r="C142" s="44">
        <f>B21</f>
        <v>0</v>
      </c>
      <c r="D142" s="74" t="s">
        <v>64</v>
      </c>
      <c r="E142" s="75"/>
      <c r="F142" s="76"/>
      <c r="G142" s="77"/>
      <c r="H142" s="78">
        <f>SUM(H133:H141)</f>
        <v>556.69508424999981</v>
      </c>
      <c r="I142" s="79"/>
      <c r="J142" s="80"/>
      <c r="K142" s="78">
        <f>SUM(K133:K141)</f>
        <v>1176.7010659999996</v>
      </c>
      <c r="L142" s="65">
        <f t="shared" si="47"/>
        <v>620.00598174999982</v>
      </c>
      <c r="M142" s="66">
        <f>IF((H142)=0,"",(L142/H142))</f>
        <v>1.1137263455187407</v>
      </c>
    </row>
    <row r="143" spans="1:14" x14ac:dyDescent="0.2">
      <c r="A143" s="28" t="str">
        <f t="shared" si="35"/>
        <v>STREET LIGHTING SERVICE CLASSIFICATION</v>
      </c>
      <c r="C143" s="44"/>
      <c r="D143" s="81" t="s">
        <v>65</v>
      </c>
      <c r="E143" s="46"/>
      <c r="F143" s="55">
        <v>3.2023000000000001</v>
      </c>
      <c r="G143" s="68">
        <f>IF($E120&gt;0, $E120, $E119*$E121)</f>
        <v>35.459999999999994</v>
      </c>
      <c r="H143" s="49">
        <f>G143*F143</f>
        <v>113.55355799999998</v>
      </c>
      <c r="I143" s="82">
        <v>3.5754000000000001</v>
      </c>
      <c r="J143" s="69">
        <f>IF($E120&gt;0, $E120, $E119*$E122)</f>
        <v>35.459999999999994</v>
      </c>
      <c r="K143" s="52">
        <f>J143*I143</f>
        <v>126.78368399999998</v>
      </c>
      <c r="L143" s="53">
        <f t="shared" si="47"/>
        <v>13.230125999999998</v>
      </c>
      <c r="M143" s="54">
        <f>IF(ISERROR(L143/H143), "", L143/H143)</f>
        <v>0.11651000843143991</v>
      </c>
      <c r="N143" s="83" t="str">
        <f>IF(ISERROR(ABS(M143)), "", IF(ABS(M143)&gt;=4%, "In the manager's summary, discuss the reasoning for the change in RTSR rates", ""))</f>
        <v>In the manager's summary, discuss the reasoning for the change in RTSR rates</v>
      </c>
    </row>
    <row r="144" spans="1:14" ht="25.5" x14ac:dyDescent="0.2">
      <c r="A144" s="28" t="str">
        <f t="shared" si="35"/>
        <v>STREET LIGHTING SERVICE CLASSIFICATION</v>
      </c>
      <c r="C144" s="44"/>
      <c r="D144" s="84" t="s">
        <v>66</v>
      </c>
      <c r="E144" s="46"/>
      <c r="F144" s="55">
        <v>2.2728000000000002</v>
      </c>
      <c r="G144" s="68">
        <f>IF($E120&gt;0, $E120, $E119*$E121)</f>
        <v>35.459999999999994</v>
      </c>
      <c r="H144" s="49">
        <f>G144*F144</f>
        <v>80.593487999999994</v>
      </c>
      <c r="I144" s="82">
        <v>2.3759999999999999</v>
      </c>
      <c r="J144" s="69">
        <f>IF($E120&gt;0, $E120, $E119*$E122)</f>
        <v>35.459999999999994</v>
      </c>
      <c r="K144" s="52">
        <f>J144*I144</f>
        <v>84.252959999999987</v>
      </c>
      <c r="L144" s="53">
        <f t="shared" si="47"/>
        <v>3.6594719999999938</v>
      </c>
      <c r="M144" s="54">
        <f>IF(ISERROR(L144/H144), "", L144/H144)</f>
        <v>4.5406546990496233E-2</v>
      </c>
      <c r="N144" s="83" t="str">
        <f>IF(ISERROR(ABS(M144)), "", IF(ABS(M144)&gt;=4%, "In the manager's summary, discuss the reasoning for the change in RTSR rates", ""))</f>
        <v>In the manager's summary, discuss the reasoning for the change in RTSR rates</v>
      </c>
    </row>
    <row r="145" spans="1:13" ht="25.5" x14ac:dyDescent="0.2">
      <c r="A145" s="28" t="str">
        <f t="shared" si="35"/>
        <v>STREET LIGHTING SERVICE CLASSIFICATION</v>
      </c>
      <c r="B145" s="28" t="s">
        <v>67</v>
      </c>
      <c r="C145" s="44">
        <f>B21</f>
        <v>0</v>
      </c>
      <c r="D145" s="74" t="s">
        <v>68</v>
      </c>
      <c r="E145" s="59"/>
      <c r="F145" s="76"/>
      <c r="G145" s="77"/>
      <c r="H145" s="78">
        <f>SUM(H142:H144)</f>
        <v>750.84213024999974</v>
      </c>
      <c r="I145" s="79"/>
      <c r="J145" s="64"/>
      <c r="K145" s="78">
        <f>SUM(K142:K144)</f>
        <v>1387.7377099999997</v>
      </c>
      <c r="L145" s="65">
        <f t="shared" si="47"/>
        <v>636.89557974999991</v>
      </c>
      <c r="M145" s="66">
        <f>IF((H145)=0,"",(L145/H145))</f>
        <v>0.84824166637791054</v>
      </c>
    </row>
    <row r="146" spans="1:13" ht="25.5" x14ac:dyDescent="0.2">
      <c r="A146" s="28" t="str">
        <f t="shared" si="35"/>
        <v>STREET LIGHTING SERVICE CLASSIFICATION</v>
      </c>
      <c r="C146" s="44"/>
      <c r="D146" s="85" t="s">
        <v>69</v>
      </c>
      <c r="E146" s="46"/>
      <c r="F146" s="55">
        <v>3.4000000000000002E-3</v>
      </c>
      <c r="G146" s="68">
        <f>E119*E121</f>
        <v>13058.224335000003</v>
      </c>
      <c r="H146" s="86">
        <f t="shared" ref="H146:H147" si="48">G146*F146</f>
        <v>44.397962739000015</v>
      </c>
      <c r="I146" s="55">
        <v>3.4000000000000002E-3</v>
      </c>
      <c r="J146" s="69">
        <f>E119*E122</f>
        <v>13058.224335000003</v>
      </c>
      <c r="K146" s="52">
        <f t="shared" ref="K146:K147" si="49">J146*I146</f>
        <v>44.397962739000015</v>
      </c>
      <c r="L146" s="53">
        <f t="shared" si="47"/>
        <v>0</v>
      </c>
      <c r="M146" s="54">
        <f t="shared" ref="M146:M147" si="50">IF(ISERROR(L146/H146), "", L146/H146)</f>
        <v>0</v>
      </c>
    </row>
    <row r="147" spans="1:13" ht="25.5" x14ac:dyDescent="0.2">
      <c r="A147" s="28" t="str">
        <f t="shared" si="35"/>
        <v>STREET LIGHTING SERVICE CLASSIFICATION</v>
      </c>
      <c r="C147" s="44"/>
      <c r="D147" s="85" t="s">
        <v>70</v>
      </c>
      <c r="E147" s="46"/>
      <c r="F147" s="55">
        <v>5.0000000000000001E-4</v>
      </c>
      <c r="G147" s="68">
        <f>E119*E121</f>
        <v>13058.224335000003</v>
      </c>
      <c r="H147" s="86">
        <f t="shared" si="48"/>
        <v>6.529112167500001</v>
      </c>
      <c r="I147" s="55">
        <v>5.0000000000000001E-4</v>
      </c>
      <c r="J147" s="69">
        <f>E119*E122</f>
        <v>13058.224335000003</v>
      </c>
      <c r="K147" s="52">
        <f t="shared" si="49"/>
        <v>6.529112167500001</v>
      </c>
      <c r="L147" s="53">
        <f t="shared" si="47"/>
        <v>0</v>
      </c>
      <c r="M147" s="54">
        <f t="shared" si="50"/>
        <v>0</v>
      </c>
    </row>
    <row r="148" spans="1:13" x14ac:dyDescent="0.2">
      <c r="A148" s="28" t="str">
        <f t="shared" si="35"/>
        <v>STREET LIGHTING SERVICE CLASSIFICATION</v>
      </c>
      <c r="C148" s="44"/>
      <c r="D148" s="87" t="s">
        <v>71</v>
      </c>
      <c r="E148" s="46"/>
      <c r="F148" s="134"/>
      <c r="G148" s="135"/>
      <c r="H148" s="136"/>
      <c r="I148" s="137"/>
      <c r="J148" s="138"/>
      <c r="K148" s="139"/>
      <c r="L148" s="140"/>
      <c r="M148" s="141"/>
    </row>
    <row r="149" spans="1:13" ht="25.5" hidden="1" x14ac:dyDescent="0.2">
      <c r="A149" s="28" t="str">
        <f t="shared" si="35"/>
        <v>STREET LIGHTING SERVICE CLASSIFICATION</v>
      </c>
      <c r="C149" s="44"/>
      <c r="D149" s="85" t="s">
        <v>72</v>
      </c>
      <c r="E149" s="46"/>
      <c r="F149" s="55"/>
      <c r="G149" s="68"/>
      <c r="H149" s="86"/>
      <c r="I149" s="56"/>
      <c r="J149" s="69"/>
      <c r="K149" s="52"/>
      <c r="L149" s="53"/>
      <c r="M149" s="54"/>
    </row>
    <row r="150" spans="1:13" hidden="1" x14ac:dyDescent="0.2">
      <c r="A150" s="28" t="str">
        <f t="shared" si="35"/>
        <v>STREET LIGHTING SERVICE CLASSIFICATION</v>
      </c>
      <c r="B150" s="28" t="s">
        <v>28</v>
      </c>
      <c r="C150" s="44"/>
      <c r="D150" s="87" t="s">
        <v>73</v>
      </c>
      <c r="E150" s="46"/>
      <c r="F150" s="88">
        <v>8.2000000000000003E-2</v>
      </c>
      <c r="G150" s="89">
        <f>IF(AND(E119*12&gt;=150000),0.64*E119*E121,0.64*E119)</f>
        <v>8357.2635744000017</v>
      </c>
      <c r="H150" s="86">
        <f t="shared" ref="H150:H152" si="51">G150*F150</f>
        <v>685.29561310080021</v>
      </c>
      <c r="I150" s="90">
        <v>8.2000000000000003E-2</v>
      </c>
      <c r="J150" s="91">
        <f>IF(AND(E119*12&gt;=150000),0.64*E119*E122,0.64*E119)</f>
        <v>8357.2635744000017</v>
      </c>
      <c r="K150" s="52">
        <f t="shared" ref="K150:K152" si="52">J150*I150</f>
        <v>685.29561310080021</v>
      </c>
      <c r="L150" s="53">
        <f>K150-H150</f>
        <v>0</v>
      </c>
      <c r="M150" s="54">
        <f t="shared" ref="M150:M154" si="53">IF(ISERROR(L150/H150), "", L150/H150)</f>
        <v>0</v>
      </c>
    </row>
    <row r="151" spans="1:13" hidden="1" x14ac:dyDescent="0.2">
      <c r="A151" s="28" t="str">
        <f t="shared" si="35"/>
        <v>STREET LIGHTING SERVICE CLASSIFICATION</v>
      </c>
      <c r="B151" s="28" t="s">
        <v>28</v>
      </c>
      <c r="C151" s="44"/>
      <c r="D151" s="87" t="s">
        <v>74</v>
      </c>
      <c r="E151" s="46"/>
      <c r="F151" s="88">
        <v>0.113</v>
      </c>
      <c r="G151" s="89">
        <f>IF(AND(E119*12&gt;=150000),0.18*E119*E121,0.18*E119)</f>
        <v>2350.4803803000004</v>
      </c>
      <c r="H151" s="86">
        <f t="shared" si="51"/>
        <v>265.60428297390007</v>
      </c>
      <c r="I151" s="90">
        <v>0.113</v>
      </c>
      <c r="J151" s="91">
        <f>IF(AND(E119*12&gt;=150000),0.18*E119*E122,0.18*E119)</f>
        <v>2350.4803803000004</v>
      </c>
      <c r="K151" s="52">
        <f t="shared" si="52"/>
        <v>265.60428297390007</v>
      </c>
      <c r="L151" s="53">
        <f>K151-H151</f>
        <v>0</v>
      </c>
      <c r="M151" s="54">
        <f t="shared" si="53"/>
        <v>0</v>
      </c>
    </row>
    <row r="152" spans="1:13" hidden="1" x14ac:dyDescent="0.2">
      <c r="A152" s="28" t="str">
        <f t="shared" si="35"/>
        <v>STREET LIGHTING SERVICE CLASSIFICATION</v>
      </c>
      <c r="B152" s="28" t="s">
        <v>28</v>
      </c>
      <c r="C152" s="44"/>
      <c r="D152" s="28" t="s">
        <v>75</v>
      </c>
      <c r="E152" s="46"/>
      <c r="F152" s="88">
        <v>0.17</v>
      </c>
      <c r="G152" s="89">
        <f>IF(AND(E119*12&gt;=150000),0.18*E119*E121,0.18*E119)</f>
        <v>2350.4803803000004</v>
      </c>
      <c r="H152" s="86">
        <f t="shared" si="51"/>
        <v>399.5816646510001</v>
      </c>
      <c r="I152" s="90">
        <v>0.17</v>
      </c>
      <c r="J152" s="91">
        <f>IF(AND(E119*12&gt;=150000),0.18*E119*E122,0.18*E119)</f>
        <v>2350.4803803000004</v>
      </c>
      <c r="K152" s="52">
        <f t="shared" si="52"/>
        <v>399.5816646510001</v>
      </c>
      <c r="L152" s="53">
        <f>K152-H152</f>
        <v>0</v>
      </c>
      <c r="M152" s="54">
        <f t="shared" si="53"/>
        <v>0</v>
      </c>
    </row>
    <row r="153" spans="1:13" ht="13.5" thickBot="1" x14ac:dyDescent="0.25">
      <c r="A153" s="28" t="str">
        <f t="shared" si="35"/>
        <v>STREET LIGHTING SERVICE CLASSIFICATION</v>
      </c>
      <c r="B153" s="28" t="s">
        <v>30</v>
      </c>
      <c r="C153" s="44"/>
      <c r="D153" s="87" t="s">
        <v>76</v>
      </c>
      <c r="E153" s="46"/>
      <c r="F153" s="92">
        <v>9.6699999999999994E-2</v>
      </c>
      <c r="G153" s="89">
        <f>IF(AND(E119*12&gt;=150000),E119*E121,E119)</f>
        <v>13058.224335000003</v>
      </c>
      <c r="H153" s="86">
        <f>G153*F153</f>
        <v>1262.7302931945003</v>
      </c>
      <c r="I153" s="93">
        <f>F153</f>
        <v>9.6699999999999994E-2</v>
      </c>
      <c r="J153" s="91">
        <f>IF(AND(E119*12&gt;=150000),E119*E122,E119)</f>
        <v>13058.224335000003</v>
      </c>
      <c r="K153" s="52">
        <f>J153*I153</f>
        <v>1262.7302931945003</v>
      </c>
      <c r="L153" s="53">
        <f>K153-H153</f>
        <v>0</v>
      </c>
      <c r="M153" s="54">
        <f t="shared" si="53"/>
        <v>0</v>
      </c>
    </row>
    <row r="154" spans="1:13" ht="13.5" hidden="1" thickBot="1" x14ac:dyDescent="0.25">
      <c r="A154" s="28" t="str">
        <f t="shared" si="35"/>
        <v>STREET LIGHTING SERVICE CLASSIFICATION</v>
      </c>
      <c r="B154" s="28" t="s">
        <v>29</v>
      </c>
      <c r="C154" s="44"/>
      <c r="D154" s="87" t="s">
        <v>77</v>
      </c>
      <c r="E154" s="46"/>
      <c r="F154" s="92">
        <v>9.6699999999999994E-2</v>
      </c>
      <c r="G154" s="89">
        <f>IF(AND(E119*12&gt;=150000),E119*E121,E119)</f>
        <v>13058.224335000003</v>
      </c>
      <c r="H154" s="86">
        <f>G154*F154</f>
        <v>1262.7302931945003</v>
      </c>
      <c r="I154" s="93">
        <f>F154</f>
        <v>9.6699999999999994E-2</v>
      </c>
      <c r="J154" s="91">
        <f>IF(AND(E119*12&gt;=150000),E119*E122,E119)</f>
        <v>13058.224335000003</v>
      </c>
      <c r="K154" s="52">
        <f>J154*I154</f>
        <v>1262.7302931945003</v>
      </c>
      <c r="L154" s="53">
        <f>K154-H154</f>
        <v>0</v>
      </c>
      <c r="M154" s="54">
        <f t="shared" si="53"/>
        <v>0</v>
      </c>
    </row>
    <row r="155" spans="1:13" ht="13.5" thickBot="1" x14ac:dyDescent="0.25">
      <c r="A155" s="28" t="str">
        <f t="shared" si="35"/>
        <v>STREET LIGHTING SERVICE CLASSIFICATION</v>
      </c>
      <c r="C155" s="44"/>
      <c r="D155" s="94"/>
      <c r="E155" s="95"/>
      <c r="F155" s="96"/>
      <c r="G155" s="97"/>
      <c r="H155" s="98"/>
      <c r="I155" s="96"/>
      <c r="J155" s="99"/>
      <c r="K155" s="98"/>
      <c r="L155" s="100"/>
      <c r="M155" s="101"/>
    </row>
    <row r="156" spans="1:13" hidden="1" x14ac:dyDescent="0.2">
      <c r="A156" s="28" t="str">
        <f t="shared" si="35"/>
        <v>STREET LIGHTING SERVICE CLASSIFICATION</v>
      </c>
      <c r="B156" s="28" t="s">
        <v>28</v>
      </c>
      <c r="C156" s="44"/>
      <c r="D156" s="102" t="s">
        <v>78</v>
      </c>
      <c r="E156" s="87"/>
      <c r="F156" s="103"/>
      <c r="G156" s="104"/>
      <c r="H156" s="105">
        <f>SUM(H146:H152,H145)</f>
        <v>2152.2507658822001</v>
      </c>
      <c r="I156" s="106"/>
      <c r="J156" s="106"/>
      <c r="K156" s="105">
        <f>SUM(K146:K152,K145)</f>
        <v>2789.1463456321999</v>
      </c>
      <c r="L156" s="107">
        <f>K156-H156</f>
        <v>636.8955797499998</v>
      </c>
      <c r="M156" s="108">
        <f>IF((H156)=0,"",(L156/H156))</f>
        <v>0.29592071232876921</v>
      </c>
    </row>
    <row r="157" spans="1:13" hidden="1" x14ac:dyDescent="0.2">
      <c r="A157" s="28" t="str">
        <f t="shared" si="35"/>
        <v>STREET LIGHTING SERVICE CLASSIFICATION</v>
      </c>
      <c r="B157" s="28" t="s">
        <v>28</v>
      </c>
      <c r="C157" s="44"/>
      <c r="D157" s="109" t="s">
        <v>79</v>
      </c>
      <c r="E157" s="87"/>
      <c r="F157" s="103">
        <v>0.13</v>
      </c>
      <c r="G157" s="110"/>
      <c r="H157" s="111">
        <f>H156*F157</f>
        <v>279.79259956468604</v>
      </c>
      <c r="I157" s="112">
        <v>0.13</v>
      </c>
      <c r="J157" s="48"/>
      <c r="K157" s="111">
        <f>K156*I157</f>
        <v>362.58902493218602</v>
      </c>
      <c r="L157" s="53">
        <f>K157-H157</f>
        <v>82.796425367499978</v>
      </c>
      <c r="M157" s="113">
        <f>IF((H157)=0,"",(L157/H157))</f>
        <v>0.29592071232876921</v>
      </c>
    </row>
    <row r="158" spans="1:13" ht="15" hidden="1" x14ac:dyDescent="0.25">
      <c r="A158" s="28" t="str">
        <f t="shared" si="35"/>
        <v>STREET LIGHTING SERVICE CLASSIFICATION</v>
      </c>
      <c r="B158" s="28" t="s">
        <v>28</v>
      </c>
      <c r="C158" s="44"/>
      <c r="D158" s="109" t="s">
        <v>80</v>
      </c>
      <c r="E158"/>
      <c r="F158" s="114">
        <v>0.17</v>
      </c>
      <c r="G158" s="110"/>
      <c r="H158" s="111">
        <f>IF(OR(ISNUMBER(SEARCH("[DGEN]", E117))=TRUE, ISNUMBER(SEARCH("STREET LIGHT", E117))=TRUE), 0, IF(AND(E119=0, E120=0),0, IF(AND(E120=0, E119*12&gt;250000), 0, IF(AND(E119=0, E120&gt;=50), 0, IF(E119*12&lt;=250000, F158*H156*-1, IF(E120&lt;50, F158*H156*-1, 0))))))</f>
        <v>0</v>
      </c>
      <c r="I158" s="114">
        <v>0.17</v>
      </c>
      <c r="J158" s="48"/>
      <c r="K158" s="111">
        <f>IF(OR(ISNUMBER(SEARCH("[DGEN]", E117))=TRUE, ISNUMBER(SEARCH("STREET LIGHT", E117))=TRUE), 0, IF(AND(E119=0, E120=0),0, IF(AND(E120=0, E119*12&gt;250000), 0, IF(AND(E119=0, E120&gt;=50), 0, IF(E119*12&lt;=250000, I158*K156*-1, IF(E120&lt;50, I158*K156*-1, 0))))))</f>
        <v>0</v>
      </c>
      <c r="L158" s="53">
        <f>K158-H158</f>
        <v>0</v>
      </c>
      <c r="M158" s="113"/>
    </row>
    <row r="159" spans="1:13" hidden="1" x14ac:dyDescent="0.2">
      <c r="A159" s="28" t="str">
        <f t="shared" si="35"/>
        <v>STREET LIGHTING SERVICE CLASSIFICATION</v>
      </c>
      <c r="B159" s="28" t="s">
        <v>81</v>
      </c>
      <c r="C159" s="44"/>
      <c r="D159" s="152" t="s">
        <v>82</v>
      </c>
      <c r="E159" s="152"/>
      <c r="F159" s="115"/>
      <c r="G159" s="116"/>
      <c r="H159" s="117">
        <f>H156+H157+H158</f>
        <v>2432.0433654468861</v>
      </c>
      <c r="I159" s="118"/>
      <c r="J159" s="118"/>
      <c r="K159" s="119">
        <f>K156+K157+K158</f>
        <v>3151.7353705643859</v>
      </c>
      <c r="L159" s="120">
        <f>K159-H159</f>
        <v>719.69200511749978</v>
      </c>
      <c r="M159" s="121">
        <f>IF((H159)=0,"",(L159/H159))</f>
        <v>0.29592071232876921</v>
      </c>
    </row>
    <row r="160" spans="1:13" ht="13.5" hidden="1" thickBot="1" x14ac:dyDescent="0.25">
      <c r="A160" s="28" t="str">
        <f t="shared" si="35"/>
        <v>STREET LIGHTING SERVICE CLASSIFICATION</v>
      </c>
      <c r="B160" s="28" t="s">
        <v>28</v>
      </c>
      <c r="C160" s="44"/>
      <c r="D160" s="94"/>
      <c r="E160" s="95"/>
      <c r="F160" s="96"/>
      <c r="G160" s="97"/>
      <c r="H160" s="98"/>
      <c r="I160" s="96"/>
      <c r="J160" s="99"/>
      <c r="K160" s="98"/>
      <c r="L160" s="100"/>
      <c r="M160" s="101"/>
    </row>
    <row r="161" spans="1:13" x14ac:dyDescent="0.2">
      <c r="A161" s="28" t="str">
        <f t="shared" si="35"/>
        <v>STREET LIGHTING SERVICE CLASSIFICATION</v>
      </c>
      <c r="B161" s="28" t="s">
        <v>30</v>
      </c>
      <c r="C161" s="44"/>
      <c r="D161" s="102" t="s">
        <v>83</v>
      </c>
      <c r="E161" s="87"/>
      <c r="F161" s="103"/>
      <c r="G161" s="104"/>
      <c r="H161" s="105">
        <f>SUM(H153,H146:H149,H145)</f>
        <v>2064.4994983510001</v>
      </c>
      <c r="I161" s="106"/>
      <c r="J161" s="106"/>
      <c r="K161" s="105">
        <f>SUM(K153,K146:K149,K145)</f>
        <v>2701.3950781009999</v>
      </c>
      <c r="L161" s="107">
        <f>K161-H161</f>
        <v>636.8955797499998</v>
      </c>
      <c r="M161" s="108">
        <f>IF((H161)=0,"",(L161/H161))</f>
        <v>0.30849878154909421</v>
      </c>
    </row>
    <row r="162" spans="1:13" x14ac:dyDescent="0.2">
      <c r="A162" s="28" t="str">
        <f t="shared" si="35"/>
        <v>STREET LIGHTING SERVICE CLASSIFICATION</v>
      </c>
      <c r="B162" s="28" t="s">
        <v>30</v>
      </c>
      <c r="C162" s="44"/>
      <c r="D162" s="109" t="s">
        <v>79</v>
      </c>
      <c r="E162" s="87"/>
      <c r="F162" s="103">
        <v>0.13</v>
      </c>
      <c r="G162" s="104"/>
      <c r="H162" s="111">
        <f>H161*F162</f>
        <v>268.38493478563004</v>
      </c>
      <c r="I162" s="103">
        <v>0.13</v>
      </c>
      <c r="J162" s="112"/>
      <c r="K162" s="111">
        <f>K161*I162</f>
        <v>351.18136015313002</v>
      </c>
      <c r="L162" s="53">
        <f>K162-H162</f>
        <v>82.796425367499978</v>
      </c>
      <c r="M162" s="113">
        <f>IF((H162)=0,"",(L162/H162))</f>
        <v>0.30849878154909421</v>
      </c>
    </row>
    <row r="163" spans="1:13" ht="15" x14ac:dyDescent="0.25">
      <c r="A163" s="28" t="str">
        <f t="shared" si="35"/>
        <v>STREET LIGHTING SERVICE CLASSIFICATION</v>
      </c>
      <c r="B163" s="28" t="s">
        <v>30</v>
      </c>
      <c r="C163" s="44"/>
      <c r="D163" s="109" t="s">
        <v>80</v>
      </c>
      <c r="E163"/>
      <c r="F163" s="114">
        <v>0.17</v>
      </c>
      <c r="G163" s="104"/>
      <c r="H163" s="111">
        <f>IF(OR(ISNUMBER(SEARCH("[DGEN]", E117))=TRUE, ISNUMBER(SEARCH("STREET LIGHT", E117))=TRUE), 0, IF(AND(E119=0, E120=0),0, IF(AND(E120=0, E119*12&gt;250000), 0, IF(AND(E119=0, E120&gt;=50), 0, IF(E119*12&lt;=250000, F163*H161*-1, IF(E120&lt;50, F163*H161*-1, 0))))))</f>
        <v>0</v>
      </c>
      <c r="I163" s="114">
        <v>0.17</v>
      </c>
      <c r="J163" s="112"/>
      <c r="K163" s="111">
        <f>IF(OR(ISNUMBER(SEARCH("[DGEN]", E117))=TRUE, ISNUMBER(SEARCH("STREET LIGHT", E117))=TRUE), 0, IF(AND(E119=0, E120=0),0, IF(AND(E120=0, E119*12&gt;250000), 0, IF(AND(E119=0, E120&gt;=50), 0, IF(E119*12&lt;=250000, I163*K161*-1, IF(E120&lt;50, I163*K161*-1, 0))))))</f>
        <v>0</v>
      </c>
      <c r="L163" s="53"/>
      <c r="M163" s="113"/>
    </row>
    <row r="164" spans="1:13" ht="13.5" thickBot="1" x14ac:dyDescent="0.25">
      <c r="A164" s="28" t="str">
        <f t="shared" si="35"/>
        <v>STREET LIGHTING SERVICE CLASSIFICATION</v>
      </c>
      <c r="B164" s="28" t="s">
        <v>84</v>
      </c>
      <c r="C164" s="44">
        <f>B21</f>
        <v>0</v>
      </c>
      <c r="D164" s="152" t="s">
        <v>83</v>
      </c>
      <c r="E164" s="152"/>
      <c r="F164" s="122"/>
      <c r="G164" s="123"/>
      <c r="H164" s="117">
        <f>SUM(H161,H162)</f>
        <v>2332.8844331366299</v>
      </c>
      <c r="I164" s="124"/>
      <c r="J164" s="124"/>
      <c r="K164" s="117">
        <f>SUM(K161,K162)</f>
        <v>3052.5764382541297</v>
      </c>
      <c r="L164" s="125">
        <f>K164-H164</f>
        <v>719.69200511749978</v>
      </c>
      <c r="M164" s="126">
        <f>IF((H164)=0,"",(L164/H164))</f>
        <v>0.30849878154909427</v>
      </c>
    </row>
    <row r="165" spans="1:13" ht="13.5" thickBot="1" x14ac:dyDescent="0.25">
      <c r="A165" s="28" t="str">
        <f t="shared" si="35"/>
        <v>STREET LIGHTING SERVICE CLASSIFICATION</v>
      </c>
      <c r="B165" s="28" t="s">
        <v>30</v>
      </c>
      <c r="C165" s="44"/>
      <c r="D165" s="94"/>
      <c r="E165" s="95"/>
      <c r="F165" s="127"/>
      <c r="G165" s="128"/>
      <c r="H165" s="129"/>
      <c r="I165" s="127"/>
      <c r="J165" s="97"/>
      <c r="K165" s="129"/>
      <c r="L165" s="130"/>
      <c r="M165" s="101"/>
    </row>
  </sheetData>
  <mergeCells count="35">
    <mergeCell ref="D164:E164"/>
    <mergeCell ref="L124:M124"/>
    <mergeCell ref="E125:E126"/>
    <mergeCell ref="L125:L126"/>
    <mergeCell ref="M125:M126"/>
    <mergeCell ref="D159:E159"/>
    <mergeCell ref="E117:J117"/>
    <mergeCell ref="E118:G118"/>
    <mergeCell ref="F124:H124"/>
    <mergeCell ref="I124:K124"/>
    <mergeCell ref="C3:K3"/>
    <mergeCell ref="D10:M10"/>
    <mergeCell ref="D11:M11"/>
    <mergeCell ref="D114:E114"/>
    <mergeCell ref="E12:J12"/>
    <mergeCell ref="E13:G13"/>
    <mergeCell ref="D64:E64"/>
    <mergeCell ref="N11:O11"/>
    <mergeCell ref="D109:E109"/>
    <mergeCell ref="E67:J67"/>
    <mergeCell ref="E68:G68"/>
    <mergeCell ref="F74:H74"/>
    <mergeCell ref="I74:K74"/>
    <mergeCell ref="L74:M74"/>
    <mergeCell ref="E75:E76"/>
    <mergeCell ref="L75:L76"/>
    <mergeCell ref="M75:M76"/>
    <mergeCell ref="D59:E59"/>
    <mergeCell ref="F19:H19"/>
    <mergeCell ref="I19:K19"/>
    <mergeCell ref="L19:M19"/>
    <mergeCell ref="E20:E21"/>
    <mergeCell ref="L20:L21"/>
    <mergeCell ref="M20:M21"/>
    <mergeCell ref="D54:E54"/>
  </mergeCells>
  <dataValidations count="1">
    <dataValidation type="list" allowBlank="1" showInputMessage="1" showErrorMessage="1" prompt="Select Charge Unit - monthly, per kWh, per kW" sqref="E55 E60 E65 E50 E110 E115 E105 E160 E165 E155" xr:uid="{5376EE8C-3780-4803-9E91-64F6C2ED3D43}">
      <formula1>"Monthly, per kWh, per kW"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7. Calculation of Def-Var RR</vt:lpstr>
      <vt:lpstr>20. Bill Impacts (L)</vt:lpstr>
      <vt:lpstr>20. Bill Impacts 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Angela Yan</cp:lastModifiedBy>
  <dcterms:created xsi:type="dcterms:W3CDTF">2022-09-09T21:04:41Z</dcterms:created>
  <dcterms:modified xsi:type="dcterms:W3CDTF">2022-09-12T20:06:28Z</dcterms:modified>
</cp:coreProperties>
</file>