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ta\common\Finance\Rates\_Alectra\Rate Applications\EDR Rate Applications\2023 EDR Application\0. Application and Adjudication Process\C. Interrogatories_IRM\3. IR Responses and Support\Final Models for Filing\Reviewed\"/>
    </mc:Choice>
  </mc:AlternateContent>
  <xr:revisionPtr revIDLastSave="0" documentId="13_ncr:1_{DDD3C257-218D-4A6B-A5D8-D4E6E9DD16AC}" xr6:coauthVersionLast="47" xr6:coauthVersionMax="47" xr10:uidLastSave="{00000000-0000-0000-0000-000000000000}"/>
  <bookViews>
    <workbookView xWindow="-28920" yWindow="-120" windowWidth="29040" windowHeight="15840" activeTab="1" xr2:uid="{713C1F7E-F73F-4B2F-BC6B-5DC063831267}"/>
  </bookViews>
  <sheets>
    <sheet name="7. Calculation of Def-Var RR" sheetId="1" r:id="rId1"/>
    <sheet name="20. Bill Impac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0" i="2" l="1"/>
  <c r="K119" i="2"/>
  <c r="H119" i="2"/>
  <c r="K114" i="2"/>
  <c r="H114" i="2"/>
  <c r="K109" i="2"/>
  <c r="H109" i="2"/>
  <c r="J105" i="2"/>
  <c r="K105" i="2" s="1"/>
  <c r="I105" i="2"/>
  <c r="G105" i="2"/>
  <c r="H105" i="2" s="1"/>
  <c r="J104" i="2"/>
  <c r="K104" i="2" s="1"/>
  <c r="I104" i="2"/>
  <c r="G104" i="2"/>
  <c r="H104" i="2" s="1"/>
  <c r="J103" i="2"/>
  <c r="K103" i="2" s="1"/>
  <c r="G103" i="2"/>
  <c r="K102" i="2"/>
  <c r="J102" i="2"/>
  <c r="G102" i="2"/>
  <c r="J101" i="2"/>
  <c r="K101" i="2"/>
  <c r="G101" i="2"/>
  <c r="H101" i="2" s="1"/>
  <c r="K99" i="2"/>
  <c r="H99" i="2"/>
  <c r="J98" i="2"/>
  <c r="K98" i="2" s="1"/>
  <c r="G98" i="2"/>
  <c r="J97" i="2"/>
  <c r="K97" i="2" s="1"/>
  <c r="G97" i="2"/>
  <c r="C96" i="2"/>
  <c r="J95" i="2"/>
  <c r="K95" i="2" s="1"/>
  <c r="G95" i="2"/>
  <c r="H95" i="2" s="1"/>
  <c r="J94" i="2"/>
  <c r="K94" i="2" s="1"/>
  <c r="G94" i="2"/>
  <c r="H94" i="2" s="1"/>
  <c r="C93" i="2"/>
  <c r="J92" i="2"/>
  <c r="K92" i="2" s="1"/>
  <c r="L92" i="2" s="1"/>
  <c r="M92" i="2" s="1"/>
  <c r="G92" i="2"/>
  <c r="H92" i="2" s="1"/>
  <c r="K91" i="2"/>
  <c r="H91" i="2"/>
  <c r="K90" i="2"/>
  <c r="H90" i="2"/>
  <c r="J89" i="2"/>
  <c r="K89" i="2" s="1"/>
  <c r="G89" i="2"/>
  <c r="H89" i="2" s="1"/>
  <c r="J88" i="2"/>
  <c r="K88" i="2" s="1"/>
  <c r="G88" i="2"/>
  <c r="H88" i="2" s="1"/>
  <c r="K87" i="2"/>
  <c r="J87" i="2"/>
  <c r="G87" i="2"/>
  <c r="H87" i="2" s="1"/>
  <c r="J86" i="2"/>
  <c r="K86" i="2" s="1"/>
  <c r="G86" i="2"/>
  <c r="H86" i="2" s="1"/>
  <c r="I85" i="2"/>
  <c r="J85" i="2" s="1"/>
  <c r="K85" i="2" s="1"/>
  <c r="F85" i="2"/>
  <c r="G85" i="2" s="1"/>
  <c r="H85" i="2" s="1"/>
  <c r="C84" i="2"/>
  <c r="J83" i="2"/>
  <c r="K83" i="2" s="1"/>
  <c r="G83" i="2"/>
  <c r="H83" i="2" s="1"/>
  <c r="K82" i="2"/>
  <c r="H82" i="2"/>
  <c r="L82" i="2" s="1"/>
  <c r="M82" i="2" s="1"/>
  <c r="M81" i="2"/>
  <c r="L81" i="2"/>
  <c r="J81" i="2"/>
  <c r="G81" i="2"/>
  <c r="J80" i="2"/>
  <c r="G80" i="2"/>
  <c r="J79" i="2"/>
  <c r="K79" i="2" s="1"/>
  <c r="G79" i="2"/>
  <c r="H79" i="2" s="1"/>
  <c r="L78" i="2"/>
  <c r="M78" i="2" s="1"/>
  <c r="K78" i="2"/>
  <c r="H78" i="2"/>
  <c r="A78" i="2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C64" i="2"/>
  <c r="H63" i="2"/>
  <c r="I49" i="2"/>
  <c r="I48" i="2"/>
  <c r="K43" i="2"/>
  <c r="H43" i="2"/>
  <c r="C40" i="2"/>
  <c r="C37" i="2"/>
  <c r="K35" i="2"/>
  <c r="H35" i="2"/>
  <c r="K34" i="2"/>
  <c r="H34" i="2"/>
  <c r="C28" i="2"/>
  <c r="K26" i="2"/>
  <c r="H26" i="2"/>
  <c r="L25" i="2"/>
  <c r="M25" i="2" s="1"/>
  <c r="K22" i="2"/>
  <c r="H22" i="2"/>
  <c r="A22" i="2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K58" i="2"/>
  <c r="J23" i="1"/>
  <c r="I27" i="1"/>
  <c r="J27" i="1" s="1"/>
  <c r="I26" i="1"/>
  <c r="J26" i="1" s="1"/>
  <c r="I25" i="1"/>
  <c r="J25" i="1" s="1"/>
  <c r="I24" i="1"/>
  <c r="J24" i="1" s="1"/>
  <c r="I23" i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E14" i="1"/>
  <c r="E13" i="1"/>
  <c r="L109" i="2" l="1"/>
  <c r="L35" i="2"/>
  <c r="M35" i="2" s="1"/>
  <c r="H102" i="2"/>
  <c r="L102" i="2" s="1"/>
  <c r="M102" i="2" s="1"/>
  <c r="K84" i="2"/>
  <c r="K93" i="2" s="1"/>
  <c r="L87" i="2"/>
  <c r="M87" i="2" s="1"/>
  <c r="L89" i="2"/>
  <c r="M89" i="2" s="1"/>
  <c r="H97" i="2"/>
  <c r="H98" i="2"/>
  <c r="L99" i="2"/>
  <c r="M99" i="2" s="1"/>
  <c r="L101" i="2"/>
  <c r="M101" i="2" s="1"/>
  <c r="H103" i="2"/>
  <c r="L103" i="2" s="1"/>
  <c r="M103" i="2" s="1"/>
  <c r="L98" i="2"/>
  <c r="M98" i="2" s="1"/>
  <c r="L88" i="2"/>
  <c r="M88" i="2" s="1"/>
  <c r="L91" i="2"/>
  <c r="M91" i="2" s="1"/>
  <c r="L105" i="2"/>
  <c r="M105" i="2" s="1"/>
  <c r="L83" i="2"/>
  <c r="M83" i="2" s="1"/>
  <c r="L95" i="2"/>
  <c r="M95" i="2" s="1"/>
  <c r="N95" i="2" s="1"/>
  <c r="L104" i="2"/>
  <c r="M104" i="2" s="1"/>
  <c r="H84" i="2"/>
  <c r="L97" i="2"/>
  <c r="M97" i="2" s="1"/>
  <c r="L79" i="2"/>
  <c r="M79" i="2" s="1"/>
  <c r="L85" i="2"/>
  <c r="M85" i="2" s="1"/>
  <c r="L86" i="2"/>
  <c r="M86" i="2" s="1"/>
  <c r="L90" i="2"/>
  <c r="M90" i="2" s="1"/>
  <c r="L94" i="2"/>
  <c r="M94" i="2" s="1"/>
  <c r="N94" i="2" s="1"/>
  <c r="L26" i="2"/>
  <c r="M26" i="2" s="1"/>
  <c r="L34" i="2"/>
  <c r="M34" i="2" s="1"/>
  <c r="J45" i="2"/>
  <c r="K45" i="2" s="1"/>
  <c r="G42" i="2"/>
  <c r="H42" i="2" s="1"/>
  <c r="G49" i="2"/>
  <c r="H49" i="2" s="1"/>
  <c r="G48" i="2"/>
  <c r="H48" i="2" s="1"/>
  <c r="G47" i="2"/>
  <c r="H47" i="2" s="1"/>
  <c r="J42" i="2"/>
  <c r="K42" i="2" s="1"/>
  <c r="L42" i="2" s="1"/>
  <c r="M42" i="2" s="1"/>
  <c r="G41" i="2"/>
  <c r="H41" i="2" s="1"/>
  <c r="J32" i="2"/>
  <c r="K32" i="2" s="1"/>
  <c r="J49" i="2"/>
  <c r="K49" i="2" s="1"/>
  <c r="J48" i="2"/>
  <c r="K48" i="2" s="1"/>
  <c r="J47" i="2"/>
  <c r="K47" i="2" s="1"/>
  <c r="G46" i="2"/>
  <c r="H46" i="2" s="1"/>
  <c r="J41" i="2"/>
  <c r="K41" i="2" s="1"/>
  <c r="F29" i="2"/>
  <c r="G29" i="2" s="1"/>
  <c r="H29" i="2" s="1"/>
  <c r="G32" i="2"/>
  <c r="H32" i="2" s="1"/>
  <c r="J46" i="2"/>
  <c r="K46" i="2" s="1"/>
  <c r="L46" i="2" s="1"/>
  <c r="M46" i="2" s="1"/>
  <c r="I29" i="2"/>
  <c r="J29" i="2" s="1"/>
  <c r="K29" i="2" s="1"/>
  <c r="G39" i="2"/>
  <c r="H39" i="2" s="1"/>
  <c r="G38" i="2"/>
  <c r="H38" i="2" s="1"/>
  <c r="G33" i="2"/>
  <c r="H33" i="2" s="1"/>
  <c r="J31" i="2"/>
  <c r="K31" i="2" s="1"/>
  <c r="J25" i="2"/>
  <c r="G24" i="2"/>
  <c r="G36" i="2"/>
  <c r="H36" i="2" s="1"/>
  <c r="G30" i="2"/>
  <c r="H30" i="2" s="1"/>
  <c r="J27" i="2"/>
  <c r="K27" i="2" s="1"/>
  <c r="G25" i="2"/>
  <c r="J23" i="2"/>
  <c r="K23" i="2" s="1"/>
  <c r="J39" i="2"/>
  <c r="K39" i="2" s="1"/>
  <c r="J38" i="2"/>
  <c r="K38" i="2" s="1"/>
  <c r="J33" i="2"/>
  <c r="K33" i="2" s="1"/>
  <c r="G31" i="2"/>
  <c r="H31" i="2" s="1"/>
  <c r="J30" i="2"/>
  <c r="K30" i="2" s="1"/>
  <c r="L30" i="2" s="1"/>
  <c r="M30" i="2" s="1"/>
  <c r="G23" i="2"/>
  <c r="H23" i="2" s="1"/>
  <c r="J36" i="2"/>
  <c r="K36" i="2" s="1"/>
  <c r="J24" i="2"/>
  <c r="G27" i="2"/>
  <c r="H27" i="2" s="1"/>
  <c r="G45" i="2"/>
  <c r="H45" i="2" s="1"/>
  <c r="L22" i="2"/>
  <c r="M22" i="2" s="1"/>
  <c r="L43" i="2"/>
  <c r="M43" i="2" s="1"/>
  <c r="H53" i="2"/>
  <c r="H58" i="2"/>
  <c r="K63" i="2"/>
  <c r="K53" i="2"/>
  <c r="L53" i="2" l="1"/>
  <c r="H93" i="2"/>
  <c r="L93" i="2"/>
  <c r="K96" i="2"/>
  <c r="L84" i="2"/>
  <c r="M84" i="2" s="1"/>
  <c r="L23" i="2"/>
  <c r="M23" i="2" s="1"/>
  <c r="L36" i="2"/>
  <c r="M36" i="2" s="1"/>
  <c r="L33" i="2"/>
  <c r="M33" i="2" s="1"/>
  <c r="L32" i="2"/>
  <c r="M32" i="2" s="1"/>
  <c r="L47" i="2"/>
  <c r="M47" i="2" s="1"/>
  <c r="K28" i="2"/>
  <c r="K37" i="2" s="1"/>
  <c r="L39" i="2"/>
  <c r="M39" i="2" s="1"/>
  <c r="N39" i="2" s="1"/>
  <c r="L31" i="2"/>
  <c r="M31" i="2" s="1"/>
  <c r="L48" i="2"/>
  <c r="M48" i="2" s="1"/>
  <c r="H28" i="2"/>
  <c r="L38" i="2"/>
  <c r="M38" i="2" s="1"/>
  <c r="N38" i="2" s="1"/>
  <c r="L27" i="2"/>
  <c r="M27" i="2" s="1"/>
  <c r="L29" i="2"/>
  <c r="M29" i="2" s="1"/>
  <c r="L41" i="2"/>
  <c r="M41" i="2" s="1"/>
  <c r="L49" i="2"/>
  <c r="M49" i="2" s="1"/>
  <c r="L45" i="2"/>
  <c r="M45" i="2" s="1"/>
  <c r="L28" i="2" l="1"/>
  <c r="H96" i="2"/>
  <c r="M93" i="2"/>
  <c r="K107" i="2"/>
  <c r="K117" i="2"/>
  <c r="K112" i="2"/>
  <c r="K40" i="2"/>
  <c r="M28" i="2"/>
  <c r="H37" i="2"/>
  <c r="K113" i="2" l="1"/>
  <c r="K118" i="2"/>
  <c r="K120" i="2" s="1"/>
  <c r="H117" i="2"/>
  <c r="L117" i="2" s="1"/>
  <c r="H107" i="2"/>
  <c r="H112" i="2"/>
  <c r="L112" i="2" s="1"/>
  <c r="K108" i="2"/>
  <c r="K110" i="2" s="1"/>
  <c r="L107" i="2"/>
  <c r="L96" i="2"/>
  <c r="M96" i="2" s="1"/>
  <c r="K56" i="2"/>
  <c r="K51" i="2"/>
  <c r="K61" i="2"/>
  <c r="H40" i="2"/>
  <c r="L40" i="2" s="1"/>
  <c r="L37" i="2"/>
  <c r="M37" i="2" s="1"/>
  <c r="H113" i="2" l="1"/>
  <c r="H115" i="2" s="1"/>
  <c r="M112" i="2"/>
  <c r="L113" i="2"/>
  <c r="H108" i="2"/>
  <c r="H110" i="2" s="1"/>
  <c r="M107" i="2"/>
  <c r="K115" i="2"/>
  <c r="L108" i="2"/>
  <c r="M117" i="2"/>
  <c r="H118" i="2"/>
  <c r="K57" i="2"/>
  <c r="M40" i="2"/>
  <c r="H51" i="2"/>
  <c r="H61" i="2"/>
  <c r="L61" i="2" s="1"/>
  <c r="H56" i="2"/>
  <c r="L56" i="2" s="1"/>
  <c r="K62" i="2"/>
  <c r="K52" i="2"/>
  <c r="L51" i="2"/>
  <c r="L115" i="2" l="1"/>
  <c r="M115" i="2"/>
  <c r="L110" i="2"/>
  <c r="M110" i="2" s="1"/>
  <c r="H120" i="2"/>
  <c r="L118" i="2"/>
  <c r="M118" i="2" s="1"/>
  <c r="M108" i="2"/>
  <c r="M113" i="2"/>
  <c r="M51" i="2"/>
  <c r="H52" i="2"/>
  <c r="L52" i="2" s="1"/>
  <c r="K64" i="2"/>
  <c r="M56" i="2"/>
  <c r="H57" i="2"/>
  <c r="K59" i="2"/>
  <c r="K54" i="2"/>
  <c r="H62" i="2"/>
  <c r="L62" i="2" s="1"/>
  <c r="M61" i="2"/>
  <c r="L120" i="2" l="1"/>
  <c r="M120" i="2" s="1"/>
  <c r="H54" i="2"/>
  <c r="L54" i="2" s="1"/>
  <c r="M54" i="2" s="1"/>
  <c r="H64" i="2"/>
  <c r="L64" i="2" s="1"/>
  <c r="H59" i="2"/>
  <c r="M52" i="2"/>
  <c r="L57" i="2"/>
  <c r="M57" i="2" s="1"/>
  <c r="M62" i="2"/>
  <c r="L59" i="2" l="1"/>
  <c r="M64" i="2"/>
  <c r="M59" i="2" l="1"/>
</calcChain>
</file>

<file path=xl/sharedStrings.xml><?xml version="1.0" encoding="utf-8"?>
<sst xmlns="http://schemas.openxmlformats.org/spreadsheetml/2006/main" count="220" uniqueCount="91">
  <si>
    <t xml:space="preserve"> </t>
  </si>
  <si>
    <r>
      <rPr>
        <b/>
        <sz val="11"/>
        <color theme="1"/>
        <rFont val="Arial"/>
        <family val="2"/>
      </rPr>
      <t>Input required at cells C13 and C14.</t>
    </r>
    <r>
      <rPr>
        <sz val="11"/>
        <color theme="1"/>
        <rFont val="Arial"/>
        <family val="2"/>
      </rPr>
      <t xml:space="preserve">  This workshseet calculates rate riders related to the Deferral/Variance Account Disposition (if applicable) and rate riders for Account 1568.  Rate Riders will not be generated for the microFIT class.</t>
    </r>
  </si>
  <si>
    <t>Default Rate Rider Recovery Period (in months)</t>
  </si>
  <si>
    <t>DVA Proposed Rate Rider Recovery Period (in months)</t>
  </si>
  <si>
    <t>LRAM Proposed Rate Rider Recovery Period (in months)</t>
  </si>
  <si>
    <t>Total Metered kWh</t>
  </si>
  <si>
    <t>Metered kW 
or kVA</t>
  </si>
  <si>
    <r>
      <t xml:space="preserve">Total Metered </t>
    </r>
    <r>
      <rPr>
        <b/>
        <sz val="10"/>
        <color rgb="FFFF0000"/>
        <rFont val="Arial"/>
        <family val="2"/>
      </rPr>
      <t xml:space="preserve">kWh </t>
    </r>
    <r>
      <rPr>
        <b/>
        <sz val="10"/>
        <rFont val="Arial"/>
        <family val="2"/>
      </rPr>
      <t xml:space="preserve">less WMP consumption </t>
    </r>
  </si>
  <si>
    <r>
      <t xml:space="preserve">Total Metered </t>
    </r>
    <r>
      <rPr>
        <b/>
        <sz val="10"/>
        <color rgb="FFFF0000"/>
        <rFont val="Arial"/>
        <family val="2"/>
      </rPr>
      <t xml:space="preserve">kW </t>
    </r>
    <r>
      <rPr>
        <b/>
        <sz val="10"/>
        <rFont val="Arial"/>
        <family val="2"/>
      </rPr>
      <t xml:space="preserve">less WMP consumption </t>
    </r>
  </si>
  <si>
    <r>
      <t xml:space="preserve">Allocation of Group 1 Account Balances to All Classes </t>
    </r>
    <r>
      <rPr>
        <b/>
        <vertAlign val="superscript"/>
        <sz val="10"/>
        <rFont val="Arial"/>
        <family val="2"/>
      </rPr>
      <t>2</t>
    </r>
  </si>
  <si>
    <r>
      <t xml:space="preserve">Allocation of Group 1 Account Balances to Non-WMP Classes Only (If Applicable) </t>
    </r>
    <r>
      <rPr>
        <b/>
        <vertAlign val="superscript"/>
        <sz val="10"/>
        <rFont val="Arial"/>
        <family val="2"/>
      </rPr>
      <t>2</t>
    </r>
  </si>
  <si>
    <t>Account 1568 Rate Rider</t>
  </si>
  <si>
    <t>Rate Class</t>
  </si>
  <si>
    <t>Unit</t>
  </si>
  <si>
    <t>RESIDENTIAL SERVICE CLASSIFICATION</t>
  </si>
  <si>
    <t>kWh</t>
  </si>
  <si>
    <t>GENERAL SERVICE LESS THAN 50 KW SERVICE CLASSIFICATION</t>
  </si>
  <si>
    <t>GENERAL SERVICE 50 TO 699 KW SERVICE CLASSIFICATION</t>
  </si>
  <si>
    <t>kW</t>
  </si>
  <si>
    <t>GENERAL SERVICE 700 TO 4,999 KW SERVICE CLASSIFICATION</t>
  </si>
  <si>
    <t>LARGE USE SERVICE CLASSIFICATION</t>
  </si>
  <si>
    <t>UNMETERED SCATTERED LOAD SERVICE CLASSIFICATION</t>
  </si>
  <si>
    <t>STREET LIGHTING SERVICE CLASSIFICATION</t>
  </si>
  <si>
    <t>STANDBY POWER SERVICE CLASSIFICATION</t>
  </si>
  <si>
    <t>EMBEDDED DISTRIBUTOR SERVICE CLASSIFICATION</t>
  </si>
  <si>
    <t>DISTRIBUTED GENERATION [DGEN] SERVICE CLASSIFICATION</t>
  </si>
  <si>
    <t>ENERGY FROM WASTE SERVICE CLASSIFICATION</t>
  </si>
  <si>
    <r>
      <t>1</t>
    </r>
    <r>
      <rPr>
        <sz val="11"/>
        <color theme="1"/>
        <rFont val="Calibri"/>
        <family val="2"/>
        <scheme val="minor"/>
      </rPr>
      <t xml:space="preserve"> When calculating the revenue reconciliation for distributors with Class A customers, the balances of sub-account 1580-CBR Class B will not be taken into consideration if there are Class A customers since the rate riders, if any, are calculated separately.</t>
    </r>
  </si>
  <si>
    <r>
      <t>2</t>
    </r>
    <r>
      <rPr>
        <sz val="11"/>
        <color theme="1"/>
        <rFont val="Calibri"/>
        <family val="2"/>
        <scheme val="minor"/>
      </rPr>
      <t xml:space="preserve"> Only for rate classes with WMP customers are the Deferral/Variance Account Rate Riders for Non-WMP (column H and J) calculated separately. For all rate classes without WMP customers, balances in account 1580 and 1588 are included in column G and disposed through a combined Deferral/Variance Account and Rate Rider.</t>
    </r>
  </si>
  <si>
    <t>12 Month</t>
  </si>
  <si>
    <t>24 Month</t>
  </si>
  <si>
    <t>YES</t>
  </si>
  <si>
    <t>RPP</t>
  </si>
  <si>
    <t>Non-RPP (Other)</t>
  </si>
  <si>
    <t>X</t>
  </si>
  <si>
    <t>Customer Class:</t>
  </si>
  <si>
    <t>RPP / Non-RPP:</t>
  </si>
  <si>
    <t>Consumption</t>
  </si>
  <si>
    <t>Demand</t>
  </si>
  <si>
    <t>Current Loss Factor</t>
  </si>
  <si>
    <t>Proposed/Approved Loss Factor</t>
  </si>
  <si>
    <t>Current OEB-Approved</t>
  </si>
  <si>
    <t>Proposed</t>
  </si>
  <si>
    <t>Impact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</si>
  <si>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</si>
  <si>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</si>
  <si>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</si>
  <si>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</si>
  <si>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</si>
  <si>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</si>
  <si>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</si>
  <si>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</si>
  <si>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RRRP Credit</t>
  </si>
  <si>
    <t>DRP Adjustment</t>
  </si>
  <si>
    <t>Fixed Rate Riders</t>
  </si>
  <si>
    <t>Volumetric Rate Riders</t>
  </si>
  <si>
    <t>ST_A</t>
  </si>
  <si>
    <t>Sub-Total A (excluding pass through)</t>
  </si>
  <si>
    <t>Line Losses on Cost of Power</t>
  </si>
  <si>
    <t>Total Deferral/Variance Account Rate Riders</t>
  </si>
  <si>
    <t>CBR Class B Rate Riders</t>
  </si>
  <si>
    <t>GA Rate Riders</t>
  </si>
  <si>
    <t>Low Voltage Service Charge</t>
  </si>
  <si>
    <t>Smart Meter Entity Charge (if applicable)</t>
  </si>
  <si>
    <t xml:space="preserve">Additional Fixed Rate Riders </t>
  </si>
  <si>
    <t xml:space="preserve">Additional Volumetric Rate Riders </t>
  </si>
  <si>
    <t>ST_B</t>
  </si>
  <si>
    <t>Sub-Total B - Distribution (includes Sub-Total A)</t>
  </si>
  <si>
    <t>RTSR - Network</t>
  </si>
  <si>
    <t>RTSR - Connection and/or Line and Transformation Connection</t>
  </si>
  <si>
    <t>ST_C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</si>
  <si>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</si>
  <si>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</si>
  <si>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</si>
  <si>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</si>
  <si>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 xml:space="preserve">Ontario Electricity Support Program 
(OESP) </t>
  </si>
  <si>
    <t>TOU - Off Peak</t>
  </si>
  <si>
    <t>TOU - Mid Peak</t>
  </si>
  <si>
    <t>TOU - On Peak</t>
  </si>
  <si>
    <t>Non-RPP (Retailer)</t>
  </si>
  <si>
    <t>Non-RPP Retailer Avg. Price</t>
  </si>
  <si>
    <t>Average IESO Wholesale Market Price</t>
  </si>
  <si>
    <t>Total Bill on TOU (before Taxes)</t>
  </si>
  <si>
    <t>HST</t>
  </si>
  <si>
    <t>Ontario Electricity Rebate</t>
  </si>
  <si>
    <t>RPP_TOTAL</t>
  </si>
  <si>
    <t>Total Bill on TOU</t>
  </si>
  <si>
    <t>Total Bill on Non-RPP Avg. Price</t>
  </si>
  <si>
    <t>Non-RPP (Retailer)_TOTAL</t>
  </si>
  <si>
    <t>Total Bill on Average IESO Wholesale Market Price</t>
  </si>
  <si>
    <t>Non-RPP (Other)_TOTAL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</si>
</sst>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164" formatCode="_ #,##0;[Red]\(#,##0\)"/>
    <numFmt numFmtId="165" formatCode="_ #,##0.0000;[Red]\(#,##0.0000\)"/>
    <numFmt numFmtId="166" formatCode="_ #,##0.00;[Red]\(#,##0.00\)"/>
    <numFmt numFmtId="167" formatCode="_(* #,##0.00_);_(* \(#,##0.00\);_(* &quot;-&quot;??_);_(@_)"/>
    <numFmt numFmtId="168" formatCode="_-* #,##0_-;\-* #,##0_-;_-* &quot;-&quot;??_-;_-@_-"/>
    <numFmt numFmtId="169" formatCode="_(&quot;$&quot;* #,##0.00_);_(&quot;$&quot;* \(#,##0.00\);_(&quot;$&quot;* &quot;-&quot;??_);_(@_)"/>
    <numFmt numFmtId="170" formatCode="0.0%"/>
    <numFmt numFmtId="171" formatCode="0.0000"/>
    <numFmt numFmtId="172" formatCode="_-&quot;$&quot;* #,##0.0000_-;\-&quot;$&quot;* #,##0.0000_-;_-&quot;$&quot;* &quot;-&quot;??_-;_-@_-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vertAlign val="superscript"/>
      <sz val="11"/>
      <color theme="1"/>
      <name val="Calibri"/>
      <family val="2"/>
      <scheme val="minor"/>
    </font>
    <font>
      <sz val="16"/>
      <color theme="0"/>
      <name val="Algerian"/>
      <family val="5"/>
    </font>
    <font>
      <sz val="16"/>
      <color indexed="12"/>
      <name val="Algerian"/>
      <family val="5"/>
    </font>
    <font>
      <sz val="8"/>
      <name val="Arial"/>
      <family val="2"/>
    </font>
    <font>
      <sz val="14"/>
      <color theme="0"/>
      <name val="Arial"/>
      <family val="2"/>
    </font>
    <font>
      <sz val="14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color rgb="FF00206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i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 applyAlignment="1">
      <alignment horizontal="left" vertical="top" wrapText="1"/>
    </xf>
    <xf numFmtId="0" fontId="5" fillId="0" borderId="0" xfId="1" applyFont="1" applyAlignment="1">
      <alignment horizontal="right" vertical="top" indent="2"/>
    </xf>
    <xf numFmtId="0" fontId="5" fillId="0" borderId="1" xfId="1" applyFont="1" applyBorder="1" applyAlignment="1">
      <alignment horizontal="right" vertical="top" indent="2"/>
    </xf>
    <xf numFmtId="0" fontId="5" fillId="2" borderId="2" xfId="1" applyFont="1" applyFill="1" applyBorder="1" applyAlignment="1">
      <alignment horizont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1" fontId="5" fillId="3" borderId="2" xfId="1" applyNumberFormat="1" applyFont="1" applyFill="1" applyBorder="1" applyAlignment="1" applyProtection="1">
      <alignment horizontal="center"/>
      <protection locked="0"/>
    </xf>
    <xf numFmtId="0" fontId="6" fillId="0" borderId="0" xfId="0" applyFont="1"/>
    <xf numFmtId="0" fontId="0" fillId="0" borderId="0" xfId="0" applyAlignment="1">
      <alignment horizontal="center" vertical="center"/>
    </xf>
    <xf numFmtId="0" fontId="7" fillId="0" borderId="0" xfId="0" applyFont="1"/>
    <xf numFmtId="0" fontId="5" fillId="0" borderId="0" xfId="1" applyFont="1" applyAlignment="1">
      <alignment horizontal="right" wrapText="1"/>
    </xf>
    <xf numFmtId="0" fontId="5" fillId="0" borderId="3" xfId="1" applyFont="1" applyBorder="1" applyAlignment="1">
      <alignment horizontal="right" wrapText="1"/>
    </xf>
    <xf numFmtId="0" fontId="5" fillId="0" borderId="0" xfId="1" applyFont="1" applyAlignment="1">
      <alignment horizontal="center" wrapText="1"/>
    </xf>
    <xf numFmtId="0" fontId="5" fillId="4" borderId="0" xfId="1" applyFont="1" applyFill="1" applyAlignment="1">
      <alignment horizontal="center" wrapText="1"/>
    </xf>
    <xf numFmtId="0" fontId="5" fillId="0" borderId="0" xfId="1" applyFont="1"/>
    <xf numFmtId="0" fontId="5" fillId="0" borderId="0" xfId="1" applyFont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horizontal="right" vertical="top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1" fillId="0" borderId="0" xfId="0" applyNumberFormat="1" applyFont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11" fillId="5" borderId="0" xfId="2" applyFont="1" applyFill="1" applyAlignment="1">
      <alignment vertical="top" wrapText="1"/>
    </xf>
    <xf numFmtId="0" fontId="12" fillId="5" borderId="0" xfId="2" applyFont="1" applyFill="1" applyAlignment="1">
      <alignment vertical="top" wrapText="1"/>
    </xf>
    <xf numFmtId="0" fontId="5" fillId="0" borderId="0" xfId="2" applyFont="1"/>
    <xf numFmtId="0" fontId="13" fillId="0" borderId="0" xfId="2" applyFont="1" applyAlignment="1">
      <alignment horizontal="right" vertical="top"/>
    </xf>
    <xf numFmtId="0" fontId="4" fillId="5" borderId="0" xfId="2" applyFill="1"/>
    <xf numFmtId="0" fontId="4" fillId="0" borderId="0" xfId="2"/>
    <xf numFmtId="0" fontId="14" fillId="5" borderId="0" xfId="2" applyFont="1" applyFill="1"/>
    <xf numFmtId="0" fontId="15" fillId="5" borderId="0" xfId="2" applyFont="1" applyFill="1"/>
    <xf numFmtId="0" fontId="15" fillId="5" borderId="0" xfId="2" applyFont="1" applyFill="1" applyAlignment="1">
      <alignment horizontal="left" indent="7"/>
    </xf>
    <xf numFmtId="0" fontId="4" fillId="5" borderId="0" xfId="2" applyFill="1" applyAlignment="1">
      <alignment horizontal="left" indent="1"/>
    </xf>
    <xf numFmtId="0" fontId="16" fillId="5" borderId="0" xfId="2" applyFont="1" applyFill="1"/>
    <xf numFmtId="0" fontId="17" fillId="5" borderId="0" xfId="2" applyFont="1" applyFill="1"/>
    <xf numFmtId="0" fontId="16" fillId="0" borderId="0" xfId="2" applyFont="1"/>
    <xf numFmtId="0" fontId="18" fillId="0" borderId="0" xfId="2" applyFont="1" applyAlignment="1">
      <alignment horizontal="center"/>
    </xf>
    <xf numFmtId="0" fontId="18" fillId="0" borderId="0" xfId="2" applyFont="1"/>
    <xf numFmtId="0" fontId="4" fillId="0" borderId="0" xfId="2" applyProtection="1">
      <protection locked="0"/>
    </xf>
    <xf numFmtId="0" fontId="16" fillId="0" borderId="0" xfId="2" applyFont="1" applyProtection="1">
      <protection locked="0"/>
    </xf>
    <xf numFmtId="0" fontId="5" fillId="0" borderId="0" xfId="2" applyFont="1" applyAlignment="1" applyProtection="1">
      <alignment horizontal="right" vertical="center"/>
      <protection locked="0"/>
    </xf>
    <xf numFmtId="0" fontId="8" fillId="2" borderId="2" xfId="2" applyFont="1" applyFill="1" applyBorder="1" applyAlignment="1" applyProtection="1">
      <alignment horizontal="left" vertical="top"/>
      <protection locked="0"/>
    </xf>
    <xf numFmtId="0" fontId="5" fillId="2" borderId="12" xfId="2" applyFont="1" applyFill="1" applyBorder="1" applyAlignment="1" applyProtection="1">
      <alignment horizontal="left" vertical="top"/>
      <protection locked="0"/>
    </xf>
    <xf numFmtId="0" fontId="19" fillId="2" borderId="0" xfId="2" applyFont="1" applyFill="1" applyAlignment="1" applyProtection="1">
      <alignment vertical="top"/>
      <protection locked="0"/>
    </xf>
    <xf numFmtId="168" fontId="5" fillId="2" borderId="2" xfId="3" applyNumberFormat="1" applyFont="1" applyFill="1" applyBorder="1" applyAlignment="1" applyProtection="1">
      <alignment horizontal="center" vertical="center"/>
      <protection locked="0"/>
    </xf>
    <xf numFmtId="0" fontId="5" fillId="0" borderId="0" xfId="2" applyFont="1" applyProtection="1">
      <protection locked="0"/>
    </xf>
    <xf numFmtId="0" fontId="17" fillId="2" borderId="0" xfId="2" applyFont="1" applyFill="1" applyAlignment="1" applyProtection="1">
      <alignment vertical="center"/>
      <protection locked="0"/>
    </xf>
    <xf numFmtId="0" fontId="5" fillId="0" borderId="0" xfId="2" applyFont="1" applyAlignment="1" applyProtection="1">
      <alignment horizontal="left"/>
      <protection locked="0"/>
    </xf>
    <xf numFmtId="0" fontId="5" fillId="0" borderId="0" xfId="2" applyFont="1" applyAlignment="1" applyProtection="1">
      <alignment horizontal="center"/>
      <protection locked="0"/>
    </xf>
    <xf numFmtId="0" fontId="17" fillId="0" borderId="0" xfId="2" applyFont="1" applyAlignment="1" applyProtection="1">
      <alignment horizontal="center"/>
      <protection locked="0"/>
    </xf>
    <xf numFmtId="171" fontId="5" fillId="2" borderId="2" xfId="5" applyNumberFormat="1" applyFont="1" applyFill="1" applyBorder="1" applyProtection="1">
      <protection locked="0"/>
    </xf>
    <xf numFmtId="0" fontId="5" fillId="0" borderId="4" xfId="2" applyFont="1" applyBorder="1" applyAlignment="1" applyProtection="1">
      <alignment horizontal="center"/>
      <protection locked="0"/>
    </xf>
    <xf numFmtId="0" fontId="5" fillId="0" borderId="5" xfId="2" applyFont="1" applyBorder="1" applyAlignment="1" applyProtection="1">
      <alignment horizontal="center"/>
      <protection locked="0"/>
    </xf>
    <xf numFmtId="0" fontId="5" fillId="0" borderId="6" xfId="2" applyFont="1" applyBorder="1" applyAlignment="1" applyProtection="1">
      <alignment horizontal="center"/>
      <protection locked="0"/>
    </xf>
    <xf numFmtId="0" fontId="5" fillId="2" borderId="0" xfId="2" applyFont="1" applyFill="1" applyAlignment="1" applyProtection="1">
      <alignment horizontal="center" wrapText="1"/>
      <protection locked="0"/>
    </xf>
    <xf numFmtId="0" fontId="5" fillId="0" borderId="13" xfId="2" applyFont="1" applyBorder="1" applyAlignment="1" applyProtection="1">
      <alignment horizontal="center"/>
      <protection locked="0"/>
    </xf>
    <xf numFmtId="0" fontId="5" fillId="0" borderId="1" xfId="2" applyFont="1" applyBorder="1" applyAlignment="1" applyProtection="1">
      <alignment horizontal="center"/>
      <protection locked="0"/>
    </xf>
    <xf numFmtId="0" fontId="5" fillId="0" borderId="7" xfId="2" applyFont="1" applyBorder="1" applyAlignment="1" applyProtection="1">
      <alignment horizontal="center"/>
      <protection locked="0"/>
    </xf>
    <xf numFmtId="0" fontId="5" fillId="0" borderId="14" xfId="2" applyFont="1" applyBorder="1" applyAlignment="1" applyProtection="1">
      <alignment horizontal="center" wrapText="1"/>
      <protection locked="0"/>
    </xf>
    <xf numFmtId="0" fontId="5" fillId="0" borderId="1" xfId="2" applyFont="1" applyBorder="1" applyAlignment="1" applyProtection="1">
      <alignment horizontal="center" wrapText="1"/>
      <protection locked="0"/>
    </xf>
    <xf numFmtId="0" fontId="4" fillId="2" borderId="0" xfId="2" applyFill="1" applyAlignment="1" applyProtection="1">
      <alignment horizontal="center" wrapText="1"/>
      <protection locked="0"/>
    </xf>
    <xf numFmtId="0" fontId="5" fillId="0" borderId="12" xfId="2" quotePrefix="1" applyFont="1" applyBorder="1" applyAlignment="1" applyProtection="1">
      <alignment horizontal="center"/>
      <protection locked="0"/>
    </xf>
    <xf numFmtId="0" fontId="5" fillId="0" borderId="11" xfId="2" quotePrefix="1" applyFont="1" applyBorder="1" applyAlignment="1" applyProtection="1">
      <alignment horizontal="center"/>
      <protection locked="0"/>
    </xf>
    <xf numFmtId="0" fontId="4" fillId="0" borderId="12" xfId="2" applyBorder="1" applyAlignment="1" applyProtection="1">
      <alignment wrapText="1"/>
      <protection locked="0"/>
    </xf>
    <xf numFmtId="0" fontId="4" fillId="0" borderId="11" xfId="2" applyBorder="1" applyAlignment="1" applyProtection="1">
      <alignment wrapText="1"/>
      <protection locked="0"/>
    </xf>
    <xf numFmtId="0" fontId="16" fillId="2" borderId="0" xfId="2" applyFont="1" applyFill="1" applyProtection="1">
      <protection locked="0"/>
    </xf>
    <xf numFmtId="0" fontId="4" fillId="0" borderId="0" xfId="2" applyAlignment="1">
      <alignment vertical="top"/>
    </xf>
    <xf numFmtId="0" fontId="4" fillId="2" borderId="0" xfId="2" applyFill="1" applyAlignment="1" applyProtection="1">
      <alignment vertical="top"/>
      <protection locked="0"/>
    </xf>
    <xf numFmtId="169" fontId="5" fillId="2" borderId="14" xfId="4" applyFont="1" applyFill="1" applyBorder="1" applyAlignment="1" applyProtection="1">
      <alignment horizontal="left" vertical="center"/>
      <protection locked="0"/>
    </xf>
    <xf numFmtId="0" fontId="4" fillId="0" borderId="14" xfId="2" applyBorder="1" applyAlignment="1" applyProtection="1">
      <alignment vertical="center"/>
      <protection locked="0"/>
    </xf>
    <xf numFmtId="169" fontId="20" fillId="0" borderId="1" xfId="4" applyFont="1" applyBorder="1" applyAlignment="1" applyProtection="1">
      <alignment vertical="center"/>
      <protection locked="0"/>
    </xf>
    <xf numFmtId="169" fontId="21" fillId="2" borderId="14" xfId="4" applyFont="1" applyFill="1" applyBorder="1" applyAlignment="1" applyProtection="1">
      <alignment horizontal="left" vertical="center"/>
      <protection locked="0"/>
    </xf>
    <xf numFmtId="0" fontId="21" fillId="0" borderId="1" xfId="2" applyFont="1" applyBorder="1" applyAlignment="1" applyProtection="1">
      <alignment vertical="center"/>
      <protection locked="0"/>
    </xf>
    <xf numFmtId="169" fontId="21" fillId="0" borderId="1" xfId="4" applyFont="1" applyBorder="1" applyAlignment="1" applyProtection="1">
      <alignment vertical="center"/>
      <protection locked="0"/>
    </xf>
    <xf numFmtId="169" fontId="4" fillId="0" borderId="14" xfId="2" applyNumberFormat="1" applyBorder="1" applyAlignment="1" applyProtection="1">
      <alignment vertical="center"/>
      <protection locked="0"/>
    </xf>
    <xf numFmtId="10" fontId="20" fillId="0" borderId="1" xfId="5" applyNumberFormat="1" applyFont="1" applyBorder="1" applyAlignment="1" applyProtection="1">
      <alignment vertical="center"/>
      <protection locked="0"/>
    </xf>
    <xf numFmtId="172" fontId="5" fillId="2" borderId="14" xfId="4" applyNumberFormat="1" applyFont="1" applyFill="1" applyBorder="1" applyAlignment="1" applyProtection="1">
      <alignment horizontal="left" vertical="center"/>
      <protection locked="0"/>
    </xf>
    <xf numFmtId="172" fontId="21" fillId="2" borderId="14" xfId="4" applyNumberFormat="1" applyFont="1" applyFill="1" applyBorder="1" applyAlignment="1" applyProtection="1">
      <alignment horizontal="left" vertical="center"/>
      <protection locked="0"/>
    </xf>
    <xf numFmtId="0" fontId="21" fillId="0" borderId="14" xfId="2" applyFont="1" applyBorder="1" applyAlignment="1" applyProtection="1">
      <alignment vertical="center"/>
      <protection locked="0"/>
    </xf>
    <xf numFmtId="0" fontId="5" fillId="7" borderId="4" xfId="2" applyFont="1" applyFill="1" applyBorder="1" applyAlignment="1" applyProtection="1">
      <alignment vertical="top"/>
      <protection locked="0"/>
    </xf>
    <xf numFmtId="0" fontId="4" fillId="7" borderId="5" xfId="2" applyFill="1" applyBorder="1" applyAlignment="1" applyProtection="1">
      <alignment vertical="top"/>
      <protection locked="0"/>
    </xf>
    <xf numFmtId="172" fontId="5" fillId="7" borderId="2" xfId="4" applyNumberFormat="1" applyFont="1" applyFill="1" applyBorder="1" applyAlignment="1" applyProtection="1">
      <alignment horizontal="left" vertical="center"/>
      <protection locked="0"/>
    </xf>
    <xf numFmtId="0" fontId="5" fillId="7" borderId="2" xfId="2" applyFont="1" applyFill="1" applyBorder="1" applyAlignment="1" applyProtection="1">
      <alignment vertical="center"/>
      <protection locked="0"/>
    </xf>
    <xf numFmtId="169" fontId="22" fillId="7" borderId="6" xfId="4" applyFont="1" applyFill="1" applyBorder="1" applyAlignment="1" applyProtection="1">
      <alignment vertical="center"/>
      <protection locked="0"/>
    </xf>
    <xf numFmtId="172" fontId="23" fillId="7" borderId="2" xfId="4" applyNumberFormat="1" applyFont="1" applyFill="1" applyBorder="1" applyAlignment="1" applyProtection="1">
      <alignment horizontal="left" vertical="center"/>
      <protection locked="0"/>
    </xf>
    <xf numFmtId="0" fontId="5" fillId="7" borderId="6" xfId="2" applyFont="1" applyFill="1" applyBorder="1" applyAlignment="1" applyProtection="1">
      <alignment vertical="center"/>
      <protection locked="0"/>
    </xf>
    <xf numFmtId="169" fontId="5" fillId="7" borderId="2" xfId="2" applyNumberFormat="1" applyFont="1" applyFill="1" applyBorder="1" applyAlignment="1" applyProtection="1">
      <alignment vertical="center"/>
      <protection locked="0"/>
    </xf>
    <xf numFmtId="10" fontId="5" fillId="7" borderId="6" xfId="5" applyNumberFormat="1" applyFont="1" applyFill="1" applyBorder="1" applyAlignment="1" applyProtection="1">
      <alignment vertical="center"/>
      <protection locked="0"/>
    </xf>
    <xf numFmtId="0" fontId="4" fillId="0" borderId="0" xfId="2" applyAlignment="1">
      <alignment vertical="top" wrapText="1"/>
    </xf>
    <xf numFmtId="168" fontId="4" fillId="6" borderId="14" xfId="3" applyNumberFormat="1" applyFont="1" applyFill="1" applyBorder="1" applyAlignment="1" applyProtection="1">
      <alignment vertical="center"/>
      <protection locked="0"/>
    </xf>
    <xf numFmtId="168" fontId="21" fillId="6" borderId="14" xfId="3" applyNumberFormat="1" applyFont="1" applyFill="1" applyBorder="1" applyAlignment="1" applyProtection="1">
      <alignment vertical="center"/>
      <protection locked="0"/>
    </xf>
    <xf numFmtId="168" fontId="4" fillId="0" borderId="14" xfId="3" applyNumberFormat="1" applyFont="1" applyFill="1" applyBorder="1" applyAlignment="1" applyProtection="1">
      <alignment vertical="center"/>
      <protection locked="0"/>
    </xf>
    <xf numFmtId="168" fontId="21" fillId="0" borderId="14" xfId="3" applyNumberFormat="1" applyFont="1" applyFill="1" applyBorder="1" applyAlignment="1" applyProtection="1">
      <alignment vertical="center"/>
      <protection locked="0"/>
    </xf>
    <xf numFmtId="44" fontId="5" fillId="2" borderId="14" xfId="4" applyNumberFormat="1" applyFont="1" applyFill="1" applyBorder="1" applyAlignment="1" applyProtection="1">
      <alignment horizontal="left" vertical="center"/>
      <protection locked="0"/>
    </xf>
    <xf numFmtId="44" fontId="21" fillId="2" borderId="14" xfId="4" applyNumberFormat="1" applyFont="1" applyFill="1" applyBorder="1" applyAlignment="1" applyProtection="1">
      <alignment horizontal="left" vertical="center"/>
      <protection locked="0"/>
    </xf>
    <xf numFmtId="0" fontId="5" fillId="7" borderId="4" xfId="2" applyFont="1" applyFill="1" applyBorder="1" applyAlignment="1" applyProtection="1">
      <alignment vertical="top" wrapText="1"/>
      <protection locked="0"/>
    </xf>
    <xf numFmtId="0" fontId="4" fillId="7" borderId="5" xfId="2" applyFill="1" applyBorder="1" applyProtection="1">
      <protection locked="0"/>
    </xf>
    <xf numFmtId="0" fontId="5" fillId="7" borderId="2" xfId="2" applyFont="1" applyFill="1" applyBorder="1" applyAlignment="1" applyProtection="1">
      <alignment horizontal="left" vertical="center"/>
      <protection locked="0"/>
    </xf>
    <xf numFmtId="0" fontId="4" fillId="7" borderId="2" xfId="2" applyFill="1" applyBorder="1" applyAlignment="1" applyProtection="1">
      <alignment vertical="center"/>
      <protection locked="0"/>
    </xf>
    <xf numFmtId="169" fontId="5" fillId="7" borderId="6" xfId="2" applyNumberFormat="1" applyFont="1" applyFill="1" applyBorder="1" applyAlignment="1" applyProtection="1">
      <alignment vertical="center"/>
      <protection locked="0"/>
    </xf>
    <xf numFmtId="0" fontId="23" fillId="7" borderId="2" xfId="2" applyFont="1" applyFill="1" applyBorder="1" applyAlignment="1" applyProtection="1">
      <alignment horizontal="left" vertical="center"/>
      <protection locked="0"/>
    </xf>
    <xf numFmtId="0" fontId="4" fillId="7" borderId="6" xfId="2" applyFill="1" applyBorder="1" applyAlignment="1" applyProtection="1">
      <alignment vertical="center"/>
      <protection locked="0"/>
    </xf>
    <xf numFmtId="0" fontId="4" fillId="0" borderId="0" xfId="2" applyAlignment="1">
      <alignment vertical="center"/>
    </xf>
    <xf numFmtId="172" fontId="23" fillId="2" borderId="14" xfId="4" applyNumberFormat="1" applyFont="1" applyFill="1" applyBorder="1" applyAlignment="1" applyProtection="1">
      <alignment horizontal="left" vertical="center"/>
      <protection locked="0"/>
    </xf>
    <xf numFmtId="0" fontId="24" fillId="0" borderId="0" xfId="2" applyFont="1" applyProtection="1">
      <protection locked="0"/>
    </xf>
    <xf numFmtId="0" fontId="4" fillId="0" borderId="10" xfId="2" applyBorder="1" applyAlignment="1">
      <alignment vertical="center" wrapText="1"/>
    </xf>
    <xf numFmtId="0" fontId="4" fillId="0" borderId="0" xfId="2" applyAlignment="1" applyProtection="1">
      <alignment vertical="top" wrapText="1"/>
      <protection locked="0"/>
    </xf>
    <xf numFmtId="169" fontId="4" fillId="0" borderId="1" xfId="4" applyFont="1" applyBorder="1" applyAlignment="1" applyProtection="1">
      <alignment vertical="center"/>
      <protection locked="0"/>
    </xf>
    <xf numFmtId="0" fontId="4" fillId="0" borderId="0" xfId="2" applyAlignment="1" applyProtection="1">
      <alignment vertical="top"/>
      <protection locked="0"/>
    </xf>
    <xf numFmtId="172" fontId="5" fillId="0" borderId="14" xfId="4" applyNumberFormat="1" applyFont="1" applyFill="1" applyBorder="1" applyAlignment="1" applyProtection="1">
      <alignment horizontal="left" vertical="center"/>
      <protection locked="0"/>
    </xf>
    <xf numFmtId="168" fontId="4" fillId="2" borderId="14" xfId="3" applyNumberFormat="1" applyFont="1" applyFill="1" applyBorder="1" applyAlignment="1" applyProtection="1">
      <alignment vertical="center"/>
      <protection locked="0"/>
    </xf>
    <xf numFmtId="172" fontId="21" fillId="0" borderId="14" xfId="4" applyNumberFormat="1" applyFont="1" applyFill="1" applyBorder="1" applyAlignment="1" applyProtection="1">
      <alignment horizontal="left" vertical="center"/>
      <protection locked="0"/>
    </xf>
    <xf numFmtId="168" fontId="21" fillId="2" borderId="14" xfId="3" applyNumberFormat="1" applyFont="1" applyFill="1" applyBorder="1" applyAlignment="1" applyProtection="1">
      <alignment vertical="center"/>
      <protection locked="0"/>
    </xf>
    <xf numFmtId="172" fontId="5" fillId="3" borderId="14" xfId="4" applyNumberFormat="1" applyFont="1" applyFill="1" applyBorder="1" applyAlignment="1" applyProtection="1">
      <alignment horizontal="left" vertical="center"/>
      <protection locked="0"/>
    </xf>
    <xf numFmtId="172" fontId="21" fillId="3" borderId="14" xfId="4" applyNumberFormat="1" applyFont="1" applyFill="1" applyBorder="1" applyAlignment="1" applyProtection="1">
      <alignment horizontal="left" vertical="center"/>
      <protection locked="0"/>
    </xf>
    <xf numFmtId="0" fontId="4" fillId="8" borderId="15" xfId="2" applyFill="1" applyBorder="1" applyProtection="1">
      <protection locked="0"/>
    </xf>
    <xf numFmtId="0" fontId="4" fillId="8" borderId="16" xfId="2" applyFill="1" applyBorder="1" applyAlignment="1" applyProtection="1">
      <alignment vertical="top"/>
      <protection locked="0"/>
    </xf>
    <xf numFmtId="172" fontId="4" fillId="8" borderId="17" xfId="4" applyNumberFormat="1" applyFont="1" applyFill="1" applyBorder="1" applyAlignment="1" applyProtection="1">
      <alignment vertical="top"/>
      <protection locked="0"/>
    </xf>
    <xf numFmtId="0" fontId="4" fillId="8" borderId="18" xfId="2" applyFill="1" applyBorder="1" applyAlignment="1" applyProtection="1">
      <alignment vertical="center"/>
      <protection locked="0"/>
    </xf>
    <xf numFmtId="169" fontId="4" fillId="8" borderId="16" xfId="4" applyFont="1" applyFill="1" applyBorder="1" applyAlignment="1" applyProtection="1">
      <alignment vertical="center"/>
      <protection locked="0"/>
    </xf>
    <xf numFmtId="0" fontId="4" fillId="8" borderId="17" xfId="2" applyFill="1" applyBorder="1" applyAlignment="1" applyProtection="1">
      <alignment vertical="center"/>
      <protection locked="0"/>
    </xf>
    <xf numFmtId="169" fontId="4" fillId="8" borderId="17" xfId="2" applyNumberFormat="1" applyFill="1" applyBorder="1" applyAlignment="1" applyProtection="1">
      <alignment vertical="center"/>
      <protection locked="0"/>
    </xf>
    <xf numFmtId="10" fontId="4" fillId="8" borderId="19" xfId="5" applyNumberFormat="1" applyFont="1" applyFill="1" applyBorder="1" applyAlignment="1" applyProtection="1">
      <alignment vertical="center"/>
      <protection locked="0"/>
    </xf>
    <xf numFmtId="0" fontId="5" fillId="0" borderId="0" xfId="2" applyFont="1" applyAlignment="1" applyProtection="1">
      <alignment vertical="top"/>
      <protection locked="0"/>
    </xf>
    <xf numFmtId="9" fontId="4" fillId="0" borderId="14" xfId="2" applyNumberFormat="1" applyBorder="1" applyAlignment="1" applyProtection="1">
      <alignment vertical="top"/>
      <protection locked="0"/>
    </xf>
    <xf numFmtId="9" fontId="4" fillId="0" borderId="0" xfId="2" applyNumberFormat="1" applyAlignment="1" applyProtection="1">
      <alignment vertical="center"/>
      <protection locked="0"/>
    </xf>
    <xf numFmtId="169" fontId="5" fillId="0" borderId="8" xfId="2" applyNumberFormat="1" applyFont="1" applyBorder="1" applyAlignment="1" applyProtection="1">
      <alignment vertical="center"/>
      <protection locked="0"/>
    </xf>
    <xf numFmtId="9" fontId="5" fillId="0" borderId="14" xfId="2" applyNumberFormat="1" applyFont="1" applyBorder="1" applyAlignment="1" applyProtection="1">
      <alignment vertical="center"/>
      <protection locked="0"/>
    </xf>
    <xf numFmtId="169" fontId="5" fillId="0" borderId="14" xfId="2" applyNumberFormat="1" applyFont="1" applyBorder="1" applyAlignment="1" applyProtection="1">
      <alignment vertical="center"/>
      <protection locked="0"/>
    </xf>
    <xf numFmtId="10" fontId="5" fillId="0" borderId="1" xfId="5" applyNumberFormat="1" applyFont="1" applyFill="1" applyBorder="1" applyAlignment="1" applyProtection="1">
      <alignment vertical="center"/>
      <protection locked="0"/>
    </xf>
    <xf numFmtId="0" fontId="4" fillId="0" borderId="0" xfId="2" applyAlignment="1" applyProtection="1">
      <alignment horizontal="left" vertical="top" indent="1"/>
      <protection locked="0"/>
    </xf>
    <xf numFmtId="0" fontId="4" fillId="0" borderId="0" xfId="2" applyAlignment="1" applyProtection="1">
      <alignment vertical="center"/>
      <protection locked="0"/>
    </xf>
    <xf numFmtId="169" fontId="4" fillId="0" borderId="8" xfId="2" applyNumberFormat="1" applyBorder="1" applyAlignment="1" applyProtection="1">
      <alignment vertical="center"/>
      <protection locked="0"/>
    </xf>
    <xf numFmtId="9" fontId="4" fillId="0" borderId="14" xfId="2" applyNumberFormat="1" applyBorder="1" applyAlignment="1" applyProtection="1">
      <alignment vertical="center"/>
      <protection locked="0"/>
    </xf>
    <xf numFmtId="10" fontId="4" fillId="0" borderId="1" xfId="5" applyNumberFormat="1" applyFont="1" applyFill="1" applyBorder="1" applyAlignment="1" applyProtection="1">
      <alignment vertical="center"/>
      <protection locked="0"/>
    </xf>
    <xf numFmtId="170" fontId="4" fillId="0" borderId="14" xfId="2" applyNumberFormat="1" applyBorder="1" applyAlignment="1" applyProtection="1">
      <alignment vertical="top"/>
      <protection locked="0"/>
    </xf>
    <xf numFmtId="0" fontId="5" fillId="9" borderId="0" xfId="2" applyFont="1" applyFill="1" applyAlignment="1" applyProtection="1">
      <alignment horizontal="left" vertical="top" wrapText="1"/>
      <protection locked="0"/>
    </xf>
    <xf numFmtId="0" fontId="4" fillId="9" borderId="12" xfId="2" applyFill="1" applyBorder="1" applyAlignment="1" applyProtection="1">
      <alignment vertical="top"/>
      <protection locked="0"/>
    </xf>
    <xf numFmtId="0" fontId="4" fillId="9" borderId="10" xfId="2" applyFill="1" applyBorder="1" applyAlignment="1" applyProtection="1">
      <alignment vertical="center"/>
      <protection locked="0"/>
    </xf>
    <xf numFmtId="169" fontId="5" fillId="9" borderId="8" xfId="2" applyNumberFormat="1" applyFont="1" applyFill="1" applyBorder="1" applyAlignment="1" applyProtection="1">
      <alignment vertical="center"/>
      <protection locked="0"/>
    </xf>
    <xf numFmtId="0" fontId="5" fillId="9" borderId="12" xfId="2" applyFont="1" applyFill="1" applyBorder="1" applyAlignment="1" applyProtection="1">
      <alignment vertical="center"/>
      <protection locked="0"/>
    </xf>
    <xf numFmtId="169" fontId="5" fillId="9" borderId="9" xfId="2" applyNumberFormat="1" applyFont="1" applyFill="1" applyBorder="1" applyAlignment="1" applyProtection="1">
      <alignment vertical="center"/>
      <protection locked="0"/>
    </xf>
    <xf numFmtId="169" fontId="5" fillId="9" borderId="12" xfId="2" applyNumberFormat="1" applyFont="1" applyFill="1" applyBorder="1" applyAlignment="1" applyProtection="1">
      <alignment vertical="center"/>
      <protection locked="0"/>
    </xf>
    <xf numFmtId="10" fontId="5" fillId="9" borderId="11" xfId="5" applyNumberFormat="1" applyFont="1" applyFill="1" applyBorder="1" applyAlignment="1" applyProtection="1">
      <alignment vertical="center"/>
      <protection locked="0"/>
    </xf>
    <xf numFmtId="0" fontId="4" fillId="9" borderId="14" xfId="2" applyFill="1" applyBorder="1" applyAlignment="1" applyProtection="1">
      <alignment vertical="top"/>
      <protection locked="0"/>
    </xf>
    <xf numFmtId="0" fontId="4" fillId="9" borderId="0" xfId="2" applyFill="1" applyAlignment="1" applyProtection="1">
      <alignment vertical="center"/>
      <protection locked="0"/>
    </xf>
    <xf numFmtId="0" fontId="5" fillId="9" borderId="14" xfId="2" applyFont="1" applyFill="1" applyBorder="1" applyAlignment="1" applyProtection="1">
      <alignment vertical="center"/>
      <protection locked="0"/>
    </xf>
    <xf numFmtId="169" fontId="5" fillId="9" borderId="14" xfId="2" applyNumberFormat="1" applyFont="1" applyFill="1" applyBorder="1" applyAlignment="1" applyProtection="1">
      <alignment vertical="center"/>
      <protection locked="0"/>
    </xf>
    <xf numFmtId="10" fontId="5" fillId="9" borderId="1" xfId="5" applyNumberFormat="1" applyFont="1" applyFill="1" applyBorder="1" applyAlignment="1" applyProtection="1">
      <alignment vertical="center"/>
      <protection locked="0"/>
    </xf>
    <xf numFmtId="172" fontId="4" fillId="8" borderId="18" xfId="4" applyNumberFormat="1" applyFont="1" applyFill="1" applyBorder="1" applyAlignment="1" applyProtection="1">
      <alignment vertical="top"/>
      <protection locked="0"/>
    </xf>
    <xf numFmtId="0" fontId="4" fillId="8" borderId="16" xfId="2" applyFill="1" applyBorder="1" applyAlignment="1" applyProtection="1">
      <alignment vertical="center"/>
      <protection locked="0"/>
    </xf>
    <xf numFmtId="169" fontId="4" fillId="8" borderId="20" xfId="4" applyFont="1" applyFill="1" applyBorder="1" applyAlignment="1" applyProtection="1">
      <alignment vertical="center"/>
      <protection locked="0"/>
    </xf>
    <xf numFmtId="169" fontId="4" fillId="8" borderId="18" xfId="2" applyNumberFormat="1" applyFill="1" applyBorder="1" applyAlignment="1" applyProtection="1">
      <alignment vertical="center"/>
      <protection locked="0"/>
    </xf>
    <xf numFmtId="172" fontId="4" fillId="8" borderId="18" xfId="4" applyNumberFormat="1" applyFill="1" applyBorder="1" applyAlignment="1" applyProtection="1">
      <alignment vertical="top"/>
      <protection locked="0"/>
    </xf>
    <xf numFmtId="169" fontId="4" fillId="8" borderId="20" xfId="4" applyFill="1" applyBorder="1" applyAlignment="1" applyProtection="1">
      <alignment vertical="center"/>
      <protection locked="0"/>
    </xf>
    <xf numFmtId="10" fontId="4" fillId="8" borderId="19" xfId="5" applyNumberFormat="1" applyFill="1" applyBorder="1" applyAlignment="1" applyProtection="1">
      <alignment vertical="center"/>
      <protection locked="0"/>
    </xf>
  </cellXfs>
  <cellStyles count="6">
    <cellStyle name="Comma 4" xfId="3" xr:uid="{C5458B25-41C6-4292-8DB7-5FD8DD37D7DB}"/>
    <cellStyle name="Currency 2" xfId="4" xr:uid="{A4898D78-EAB8-4469-BC60-1CD26ABC796C}"/>
    <cellStyle name="Normal" xfId="0" builtinId="0"/>
    <cellStyle name="Normal 2" xfId="2" xr:uid="{6A4C9770-0D64-4814-9B4C-DE32713A6779}"/>
    <cellStyle name="Normal_Sheet7" xfId="1" xr:uid="{443B7870-7BE5-4F7D-B1C5-622D3F4A133D}"/>
    <cellStyle name="Percent 2" xfId="5" xr:uid="{1E228212-8221-4F52-911E-0C4349032D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10</xdr:row>
      <xdr:rowOff>10766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51F1258-AF3E-4F84-8D43-9BC3D7206607}"/>
            </a:ext>
          </a:extLst>
        </xdr:cNvPr>
        <xdr:cNvGrpSpPr/>
      </xdr:nvGrpSpPr>
      <xdr:grpSpPr>
        <a:xfrm>
          <a:off x="0" y="0"/>
          <a:ext cx="11249025" cy="1915766"/>
          <a:chOff x="200024" y="4499942"/>
          <a:chExt cx="8857420" cy="1915766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F360A058-865C-45B3-813A-5362E8A821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4" y="4499942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 fLocksText="0">
        <xdr:nvSpPr>
          <xdr:cNvPr id="4" name="TextBox 3">
            <a:extLst>
              <a:ext uri="{FF2B5EF4-FFF2-40B4-BE49-F238E27FC236}">
                <a16:creationId xmlns:a16="http://schemas.microsoft.com/office/drawing/2014/main" id="{A194BB11-8866-437C-9E5A-4D45BAC5966A}"/>
              </a:ext>
            </a:extLst>
          </xdr:cNvPr>
          <xdr:cNvSpPr txBox="1"/>
        </xdr:nvSpPr>
        <xdr:spPr>
          <a:xfrm>
            <a:off x="314739" y="5814392"/>
            <a:ext cx="8630477" cy="44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/>
            <a:fld id="{096F383F-DA7D-47B7-AEB4-0B52DE5128C2}" type="TxLink">
              <a:rPr lang="en-CA" sz="1600" b="1" i="0" u="none" strike="noStrike" cap="none" spc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  <a:latin typeface="Arialri"/>
              </a:rPr>
              <a:pPr algn="ctr"/>
              <a:t> </a:t>
            </a:fld>
            <a:endParaRPr lang="en-CA" sz="1600" b="1" cap="none" spc="0">
              <a:ln w="11430">
                <a:solidFill>
                  <a:sysClr val="windowText" lastClr="000000"/>
                </a:solidFill>
              </a:ln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2AE6A174-CD5E-4878-8E4C-0694B2CB91DC}"/>
              </a:ext>
            </a:extLst>
          </xdr:cNvPr>
          <xdr:cNvSpPr/>
        </xdr:nvSpPr>
        <xdr:spPr>
          <a:xfrm>
            <a:off x="324975" y="499195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Incentive Rate-setting Mechanism Rate Generator </a:t>
            </a:r>
            <a:b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</a:br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for 2023 Filers</a:t>
            </a:r>
          </a:p>
          <a:p>
            <a:pPr algn="ctr" rtl="0"/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6" name="Picture 5">
            <a:extLst>
              <a:ext uri="{FF2B5EF4-FFF2-40B4-BE49-F238E27FC236}">
                <a16:creationId xmlns:a16="http://schemas.microsoft.com/office/drawing/2014/main" id="{9E346123-1295-4B6A-82BC-18AA0168B69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405848" y="4688417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F3283BB-6239-4455-B3D3-E8426EF7AA02}"/>
              </a:ext>
            </a:extLst>
          </xdr:cNvPr>
          <xdr:cNvSpPr/>
        </xdr:nvSpPr>
        <xdr:spPr>
          <a:xfrm>
            <a:off x="746395" y="465816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57150</xdr:rowOff>
    </xdr:from>
    <xdr:to>
      <xdr:col>13</xdr:col>
      <xdr:colOff>1438275</xdr:colOff>
      <xdr:row>8</xdr:row>
      <xdr:rowOff>1884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3D043B-1C01-4B69-894D-A4FC68E1B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7150"/>
          <a:ext cx="14030325" cy="1421109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3</xdr:col>
      <xdr:colOff>1814300</xdr:colOff>
      <xdr:row>1</xdr:row>
      <xdr:rowOff>47154</xdr:rowOff>
    </xdr:from>
    <xdr:to>
      <xdr:col>12</xdr:col>
      <xdr:colOff>508335</xdr:colOff>
      <xdr:row>4</xdr:row>
      <xdr:rowOff>18168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0457603-BE7A-4048-AAAF-337F7011302F}"/>
            </a:ext>
          </a:extLst>
        </xdr:cNvPr>
        <xdr:cNvSpPr/>
      </xdr:nvSpPr>
      <xdr:spPr>
        <a:xfrm>
          <a:off x="2042900" y="323379"/>
          <a:ext cx="10038310" cy="656814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tx1"/>
            </a:contourClr>
          </a:sp3d>
        </a:bodyPr>
        <a:lstStyle/>
        <a:p>
          <a:pPr algn="ctr" rtl="0"/>
          <a:r>
            <a:rPr lang="en-CA" sz="2800" b="1" i="0" cap="none" spc="0" baseline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  <a:latin typeface="+mn-lt"/>
              <a:ea typeface="+mn-ea"/>
              <a:cs typeface="+mn-cs"/>
            </a:rPr>
            <a:t>Incentive Rate-setting Mechanism Rate Generator </a:t>
          </a:r>
          <a:br>
            <a:rPr lang="en-CA" sz="2800" b="1" i="0" cap="none" spc="0" baseline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  <a:latin typeface="+mn-lt"/>
              <a:ea typeface="+mn-ea"/>
              <a:cs typeface="+mn-cs"/>
            </a:rPr>
          </a:br>
          <a:r>
            <a:rPr lang="en-CA" sz="2800" b="1" i="0" cap="none" spc="0" baseline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  <a:latin typeface="+mn-lt"/>
              <a:ea typeface="+mn-ea"/>
              <a:cs typeface="+mn-cs"/>
            </a:rPr>
            <a:t>for 2023 Filers</a:t>
          </a:r>
        </a:p>
        <a:p>
          <a:pPr algn="ctr" rtl="0"/>
          <a:endParaRPr lang="en-CA" sz="2800" b="1" cap="none" spc="0">
            <a:ln w="11430">
              <a:solidFill>
                <a:schemeClr val="tx1">
                  <a:lumMod val="95000"/>
                  <a:lumOff val="5000"/>
                </a:schemeClr>
              </a:solidFill>
            </a:ln>
            <a:solidFill>
              <a:schemeClr val="tx1"/>
            </a:solidFill>
            <a:effectLst>
              <a:outerShdw blurRad="60007" dist="200025" dir="15000000" sy="30000" kx="-1800000" algn="bl" rotWithShape="0">
                <a:prstClr val="black">
                  <a:alpha val="32000"/>
                </a:prstClr>
              </a:outerShdw>
            </a:effectLst>
          </a:endParaRPr>
        </a:p>
      </xdr:txBody>
    </xdr:sp>
    <xdr:clientData/>
  </xdr:twoCellAnchor>
  <xdr:twoCellAnchor>
    <xdr:from>
      <xdr:col>3</xdr:col>
      <xdr:colOff>16357</xdr:colOff>
      <xdr:row>1</xdr:row>
      <xdr:rowOff>6409</xdr:rowOff>
    </xdr:from>
    <xdr:to>
      <xdr:col>3</xdr:col>
      <xdr:colOff>407593</xdr:colOff>
      <xdr:row>3</xdr:row>
      <xdr:rowOff>20475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EAFA050-FB84-46F4-B6B8-C487CE733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37" t="-1608" r="-2437" b="-1608"/>
        <a:stretch>
          <a:fillRect/>
        </a:stretch>
      </xdr:blipFill>
      <xdr:spPr bwMode="auto">
        <a:xfrm>
          <a:off x="244957" y="282634"/>
          <a:ext cx="391236" cy="471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358613</xdr:colOff>
      <xdr:row>0</xdr:row>
      <xdr:rowOff>165301</xdr:rowOff>
    </xdr:from>
    <xdr:to>
      <xdr:col>4</xdr:col>
      <xdr:colOff>640216</xdr:colOff>
      <xdr:row>2</xdr:row>
      <xdr:rowOff>135597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84136EF5-E2E1-4FD5-A89C-60E47B0E1F37}"/>
            </a:ext>
          </a:extLst>
        </xdr:cNvPr>
        <xdr:cNvSpPr/>
      </xdr:nvSpPr>
      <xdr:spPr>
        <a:xfrm>
          <a:off x="587213" y="165301"/>
          <a:ext cx="2596178" cy="47512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 rtl="0"/>
          <a:r>
            <a:rPr lang="en-CA" sz="1800" b="0" i="0" cap="none" spc="0" baseline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Ontario Energy Board</a:t>
          </a:r>
          <a:endParaRPr lang="en-CA" sz="1800" b="0" cap="none" spc="0">
            <a:ln w="18415" cmpd="sng">
              <a:noFill/>
              <a:prstDash val="solid"/>
            </a:ln>
            <a:solidFill>
              <a:schemeClr val="tx1"/>
            </a:solidFill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4475B-A0AD-417B-BCF9-ED7191CF7290}">
  <dimension ref="A1:M31"/>
  <sheetViews>
    <sheetView workbookViewId="0">
      <selection activeCell="D22" sqref="D22"/>
    </sheetView>
  </sheetViews>
  <sheetFormatPr defaultColWidth="9.28515625" defaultRowHeight="15" x14ac:dyDescent="0.25"/>
  <cols>
    <col min="1" max="1" width="56.7109375" bestFit="1" customWidth="1"/>
    <col min="3" max="3" width="14.28515625" customWidth="1"/>
    <col min="4" max="6" width="14.42578125" customWidth="1"/>
    <col min="7" max="8" width="22.5703125" customWidth="1"/>
    <col min="9" max="10" width="12.85546875" bestFit="1" customWidth="1"/>
  </cols>
  <sheetData>
    <row r="1" spans="1:10" x14ac:dyDescent="0.25">
      <c r="A1" t="s">
        <v>0</v>
      </c>
    </row>
    <row r="11" spans="1:10" ht="39.75" customHeight="1" x14ac:dyDescent="0.25">
      <c r="A11" s="1" t="s">
        <v>1</v>
      </c>
      <c r="B11" s="1"/>
      <c r="C11" s="1"/>
      <c r="D11" s="1"/>
      <c r="E11" s="1"/>
      <c r="F11" s="1"/>
      <c r="G11" s="1"/>
      <c r="H11" s="1"/>
    </row>
    <row r="12" spans="1:10" ht="15" customHeight="1" x14ac:dyDescent="0.25">
      <c r="A12" s="2" t="s">
        <v>2</v>
      </c>
      <c r="B12" s="3"/>
      <c r="C12" s="4">
        <v>12</v>
      </c>
      <c r="D12" s="4">
        <v>12</v>
      </c>
      <c r="E12" s="5"/>
      <c r="F12" s="5"/>
      <c r="G12" s="5"/>
      <c r="H12" s="5"/>
      <c r="I12" s="6"/>
    </row>
    <row r="13" spans="1:10" x14ac:dyDescent="0.25">
      <c r="A13" s="2" t="s">
        <v>3</v>
      </c>
      <c r="B13" s="3"/>
      <c r="C13" s="7"/>
      <c r="D13" s="7"/>
      <c r="E13" s="8" t="str">
        <f>IF(C13&gt;0, "Rate Rider Recovery to be used below", "If no rate rider recovery period is proposed then the default recovery period of 12 months will be used")</f>
        <v>If no rate rider recovery period is proposed then the default recovery period of 12 months will be used</v>
      </c>
      <c r="F13" s="8"/>
      <c r="I13" s="6"/>
    </row>
    <row r="14" spans="1:10" ht="15" customHeight="1" x14ac:dyDescent="0.25">
      <c r="A14" s="2" t="s">
        <v>4</v>
      </c>
      <c r="B14" s="3"/>
      <c r="C14" s="7">
        <v>12</v>
      </c>
      <c r="D14" s="7">
        <v>24</v>
      </c>
      <c r="E14" s="8" t="str">
        <f>IF(C14&gt;0, "Rate Rider Recovery to be used below", "If no rate rider recovery period is proposed then the default recovery period of 12 months will be used")</f>
        <v>Rate Rider Recovery to be used below</v>
      </c>
      <c r="G14" s="9"/>
      <c r="H14" s="9"/>
      <c r="I14" t="s">
        <v>29</v>
      </c>
      <c r="J14" t="s">
        <v>30</v>
      </c>
    </row>
    <row r="15" spans="1:10" ht="42" customHeight="1" x14ac:dyDescent="0.25">
      <c r="B15" s="10"/>
      <c r="C15" s="11" t="s">
        <v>5</v>
      </c>
      <c r="D15" s="12" t="s">
        <v>6</v>
      </c>
      <c r="E15" s="12" t="s">
        <v>7</v>
      </c>
      <c r="F15" s="12" t="s">
        <v>8</v>
      </c>
      <c r="G15" s="13" t="s">
        <v>9</v>
      </c>
      <c r="H15" s="13" t="s">
        <v>10</v>
      </c>
      <c r="I15" s="14" t="s">
        <v>11</v>
      </c>
      <c r="J15" s="14" t="s">
        <v>11</v>
      </c>
    </row>
    <row r="16" spans="1:10" x14ac:dyDescent="0.25">
      <c r="A16" s="15" t="s">
        <v>12</v>
      </c>
      <c r="B16" s="16" t="s">
        <v>13</v>
      </c>
      <c r="C16" s="11"/>
      <c r="D16" s="12"/>
      <c r="E16" s="12"/>
      <c r="F16" s="12"/>
      <c r="G16" s="13"/>
      <c r="H16" s="13"/>
      <c r="I16" s="14"/>
      <c r="J16" s="14"/>
    </row>
    <row r="17" spans="1:10" x14ac:dyDescent="0.25">
      <c r="A17" s="17" t="s">
        <v>14</v>
      </c>
      <c r="B17" s="18" t="s">
        <v>15</v>
      </c>
      <c r="C17" s="19">
        <v>1479524940</v>
      </c>
      <c r="D17" s="19">
        <v>0</v>
      </c>
      <c r="E17" s="19">
        <v>1479524940</v>
      </c>
      <c r="F17" s="19">
        <v>0</v>
      </c>
      <c r="G17" s="20">
        <v>5009690.8731313078</v>
      </c>
      <c r="I17" s="21">
        <f>ROUND(IF(ISERROR(0/C17), 0, IF(OR(ISBLANK(C14), OR(C14=0, C14="")), (0/C17)/(C12/12), (0/C17)/(C14/12))),4)</f>
        <v>0</v>
      </c>
      <c r="J17" s="21">
        <f>I17</f>
        <v>0</v>
      </c>
    </row>
    <row r="18" spans="1:10" x14ac:dyDescent="0.25">
      <c r="A18" s="17" t="s">
        <v>16</v>
      </c>
      <c r="B18" s="18" t="s">
        <v>15</v>
      </c>
      <c r="C18" s="19">
        <v>320581842</v>
      </c>
      <c r="D18" s="19">
        <v>0</v>
      </c>
      <c r="E18" s="19">
        <v>320581842</v>
      </c>
      <c r="F18" s="19">
        <v>0</v>
      </c>
      <c r="G18" s="20">
        <v>1098464.4371222837</v>
      </c>
      <c r="I18" s="21">
        <f>ROUND(IF(ISERROR(1051851.7381924/C18), 0, IF(OR(ISBLANK(C14), OR(C14=0, C14="")), (1051851.7381924/C18)/(C12/12), (1051851.7381924/C18)/(C14/12))),4)</f>
        <v>3.3E-3</v>
      </c>
      <c r="J18" s="21">
        <f t="shared" ref="J18:J22" si="0">I18</f>
        <v>3.3E-3</v>
      </c>
    </row>
    <row r="19" spans="1:10" x14ac:dyDescent="0.25">
      <c r="A19" s="17" t="s">
        <v>17</v>
      </c>
      <c r="B19" s="18" t="s">
        <v>18</v>
      </c>
      <c r="C19" s="19">
        <v>1096519220</v>
      </c>
      <c r="D19" s="19">
        <v>3171783</v>
      </c>
      <c r="E19" s="19">
        <v>1089785172</v>
      </c>
      <c r="F19" s="19">
        <v>3145680</v>
      </c>
      <c r="G19" s="20">
        <v>2477485.5476809614</v>
      </c>
      <c r="H19" s="20">
        <v>1291379.3310189515</v>
      </c>
      <c r="I19" s="21">
        <f>ROUND(IF(ISERROR(764287.579729395/D19), 0, IF(OR(ISBLANK(C14), OR(C14=0, C14="")), (764287.579729395/D19)/(C12/12), (764287.579729395/D19)/(C14/12))),4)</f>
        <v>0.24099999999999999</v>
      </c>
      <c r="J19" s="21">
        <f t="shared" si="0"/>
        <v>0.24099999999999999</v>
      </c>
    </row>
    <row r="20" spans="1:10" x14ac:dyDescent="0.25">
      <c r="A20" s="17" t="s">
        <v>19</v>
      </c>
      <c r="B20" s="18" t="s">
        <v>18</v>
      </c>
      <c r="C20" s="19">
        <v>845503645</v>
      </c>
      <c r="D20" s="19">
        <v>1983220</v>
      </c>
      <c r="E20" s="19">
        <v>775328629</v>
      </c>
      <c r="F20" s="19">
        <v>1866477</v>
      </c>
      <c r="G20" s="20">
        <v>1910533.0322781622</v>
      </c>
      <c r="H20" s="20">
        <v>918752.97257013968</v>
      </c>
      <c r="I20" s="21">
        <f>ROUND(IF(ISERROR(397024.997142046/D20), 0, IF(OR(ISBLANK(C14), OR(C14=0, C14="")), (397024.997142046/D20)/(C12/12), (397024.997142046/D20)/(C14/12))),4)</f>
        <v>0.20019999999999999</v>
      </c>
      <c r="J20" s="21">
        <f t="shared" si="0"/>
        <v>0.20019999999999999</v>
      </c>
    </row>
    <row r="21" spans="1:10" x14ac:dyDescent="0.25">
      <c r="A21" s="17" t="s">
        <v>20</v>
      </c>
      <c r="B21" s="18" t="s">
        <v>18</v>
      </c>
      <c r="C21" s="19">
        <v>318590884</v>
      </c>
      <c r="D21" s="19">
        <v>610320</v>
      </c>
      <c r="E21" s="19">
        <v>318590884</v>
      </c>
      <c r="F21" s="19">
        <v>610320</v>
      </c>
      <c r="G21" s="20">
        <v>1097064.403780584</v>
      </c>
      <c r="I21" s="21">
        <f>ROUND(IF(ISERROR(131125.627545693/D21), 0, IF(OR(ISBLANK(C14), OR(C14=0, C14="")), (131125.627545693/D21)/(C12/12), (131125.627545693/D21)/(C14/12))),4)</f>
        <v>0.21479999999999999</v>
      </c>
      <c r="J21" s="21">
        <f t="shared" si="0"/>
        <v>0.21479999999999999</v>
      </c>
    </row>
    <row r="22" spans="1:10" x14ac:dyDescent="0.25">
      <c r="A22" s="17" t="s">
        <v>21</v>
      </c>
      <c r="B22" s="18" t="s">
        <v>15</v>
      </c>
      <c r="C22" s="19">
        <v>5972556</v>
      </c>
      <c r="D22" s="19">
        <v>0</v>
      </c>
      <c r="E22" s="19">
        <v>5972556</v>
      </c>
      <c r="F22" s="19">
        <v>0</v>
      </c>
      <c r="G22" s="20">
        <v>20570.015067854929</v>
      </c>
      <c r="I22" s="21">
        <f>ROUND(IF(ISERROR(31735.1353236643/C22), 0, IF(OR(ISBLANK(C14), OR(C14=0, C14="")), (31735.1353236643/C22)/(C12/12), (31735.1353236643/C22)/(C14/12))),4)</f>
        <v>5.3E-3</v>
      </c>
      <c r="J22" s="21">
        <f t="shared" si="0"/>
        <v>5.3E-3</v>
      </c>
    </row>
    <row r="23" spans="1:10" x14ac:dyDescent="0.25">
      <c r="A23" s="17" t="s">
        <v>22</v>
      </c>
      <c r="B23" s="18" t="s">
        <v>18</v>
      </c>
      <c r="C23" s="19">
        <v>22576207</v>
      </c>
      <c r="D23" s="19">
        <v>63704</v>
      </c>
      <c r="E23" s="19">
        <v>22576207</v>
      </c>
      <c r="F23" s="19">
        <v>63704</v>
      </c>
      <c r="G23" s="20">
        <v>77638.863955480745</v>
      </c>
      <c r="I23" s="21">
        <f>ROUND(IF(ISERROR(882058.090895285/D23), 0, IF(OR(ISBLANK(C14), OR(C14=0, C14="")), (882058.090895285/D23)/(C12/12), (882058.090895285/D23)/(C14/12))),4)</f>
        <v>13.8462</v>
      </c>
      <c r="J23" s="21">
        <f>ROUND(IF(ISERROR(882058.090895285/F23), 0, IF(OR(ISBLANK(D14), OR(D14=0, D14="")), (882058.090895285/F23)/(D12/12), (882058.090895285/F23)/(D14/12))),4)</f>
        <v>6.9230999999999998</v>
      </c>
    </row>
    <row r="24" spans="1:10" x14ac:dyDescent="0.25">
      <c r="A24" s="17" t="s">
        <v>23</v>
      </c>
      <c r="B24" s="18" t="s">
        <v>18</v>
      </c>
      <c r="C24" s="19">
        <v>0</v>
      </c>
      <c r="D24" s="19">
        <v>0</v>
      </c>
      <c r="E24" s="19">
        <v>0</v>
      </c>
      <c r="F24" s="19">
        <v>0</v>
      </c>
      <c r="G24" s="20">
        <v>0</v>
      </c>
      <c r="I24" s="21">
        <f>ROUND(IF(ISERROR(0/D24), 0, IF(OR(ISBLANK(C14), OR(C14=0, C14="")), (0/D24)/(C12/12), (0/D24)/(C14/12))),4)</f>
        <v>0</v>
      </c>
      <c r="J24" s="21">
        <f t="shared" ref="J24:J27" si="1">I24</f>
        <v>0</v>
      </c>
    </row>
    <row r="25" spans="1:10" x14ac:dyDescent="0.25">
      <c r="A25" s="17" t="s">
        <v>24</v>
      </c>
      <c r="B25" s="18" t="s">
        <v>15</v>
      </c>
      <c r="C25" s="19">
        <v>20220547</v>
      </c>
      <c r="D25" s="19">
        <v>0</v>
      </c>
      <c r="E25" s="19">
        <v>20220547</v>
      </c>
      <c r="F25" s="19">
        <v>0</v>
      </c>
      <c r="G25" s="20">
        <v>69902.752636754885</v>
      </c>
      <c r="I25" s="21">
        <f>ROUND(IF(ISERROR(0/C25), 0, IF(OR(ISBLANK(C14), OR(C14=0, C14="")), (0/C25)/(C12/12), (0/C25)/(C14/12))),4)</f>
        <v>0</v>
      </c>
      <c r="J25" s="21">
        <f t="shared" si="1"/>
        <v>0</v>
      </c>
    </row>
    <row r="26" spans="1:10" x14ac:dyDescent="0.25">
      <c r="A26" s="17" t="s">
        <v>25</v>
      </c>
      <c r="B26" s="18" t="s">
        <v>15</v>
      </c>
      <c r="C26" s="19">
        <v>287811</v>
      </c>
      <c r="D26" s="19">
        <v>0</v>
      </c>
      <c r="E26" s="19">
        <v>287811</v>
      </c>
      <c r="F26" s="19">
        <v>0</v>
      </c>
      <c r="G26" s="20">
        <v>991.45779610266754</v>
      </c>
      <c r="I26" s="21">
        <f>ROUND(IF(ISERROR(0/C26), 0, IF(OR(ISBLANK(C14), OR(C14=0, C14="")), (0/C26)/(C12/12), (0/C26)/(C14/12))),4)</f>
        <v>0</v>
      </c>
      <c r="J26" s="21">
        <f t="shared" si="1"/>
        <v>0</v>
      </c>
    </row>
    <row r="27" spans="1:10" x14ac:dyDescent="0.25">
      <c r="A27" s="17" t="s">
        <v>26</v>
      </c>
      <c r="B27" s="18" t="s">
        <v>18</v>
      </c>
      <c r="C27" s="19">
        <v>0</v>
      </c>
      <c r="D27" s="19">
        <v>0</v>
      </c>
      <c r="E27" s="19">
        <v>0</v>
      </c>
      <c r="F27" s="19">
        <v>0</v>
      </c>
      <c r="G27" s="20">
        <v>0</v>
      </c>
      <c r="I27" s="21">
        <f>ROUND(IF(ISERROR(0/D27), 0, IF(OR(ISBLANK(C14), OR(C14=0, C14="")), (0/D27)/(C12/12), (0/D27)/(C14/12))),4)</f>
        <v>0</v>
      </c>
      <c r="J27" s="21">
        <f t="shared" si="1"/>
        <v>0</v>
      </c>
    </row>
    <row r="28" spans="1:10" x14ac:dyDescent="0.25">
      <c r="J28" s="22"/>
    </row>
    <row r="30" spans="1:10" ht="17.25" x14ac:dyDescent="0.25">
      <c r="A30" s="23" t="s">
        <v>27</v>
      </c>
    </row>
    <row r="31" spans="1:10" ht="30" customHeight="1" x14ac:dyDescent="0.25">
      <c r="A31" s="24" t="s">
        <v>28</v>
      </c>
      <c r="B31" s="25"/>
      <c r="C31" s="25"/>
      <c r="D31" s="25"/>
      <c r="E31" s="25"/>
      <c r="F31" s="25"/>
      <c r="G31" s="25"/>
      <c r="H31" s="25"/>
      <c r="I31" s="25"/>
    </row>
  </sheetData>
  <mergeCells count="13">
    <mergeCell ref="I15:I16"/>
    <mergeCell ref="A31:I31"/>
    <mergeCell ref="J15:J16"/>
    <mergeCell ref="A11:H11"/>
    <mergeCell ref="A12:B12"/>
    <mergeCell ref="A13:B13"/>
    <mergeCell ref="A14:B14"/>
    <mergeCell ref="C15:C16"/>
    <mergeCell ref="D15:D16"/>
    <mergeCell ref="E15:E16"/>
    <mergeCell ref="F15:F16"/>
    <mergeCell ref="G15:G16"/>
    <mergeCell ref="H15:H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DB177-E79C-42F9-85EB-64B93E1318F5}">
  <dimension ref="A1:CA121"/>
  <sheetViews>
    <sheetView tabSelected="1" topLeftCell="C1" workbookViewId="0">
      <selection activeCell="L14" sqref="L14"/>
    </sheetView>
  </sheetViews>
  <sheetFormatPr defaultColWidth="9.28515625" defaultRowHeight="12.75" x14ac:dyDescent="0.2"/>
  <cols>
    <col min="1" max="1" width="9" style="41" hidden="1" customWidth="1"/>
    <col min="2" max="2" width="4.7109375" style="41" hidden="1" customWidth="1"/>
    <col min="3" max="3" width="3.42578125" style="42" customWidth="1"/>
    <col min="4" max="4" width="34.7109375" style="41" customWidth="1"/>
    <col min="5" max="5" width="13.28515625" style="41" customWidth="1"/>
    <col min="6" max="6" width="26.7109375" style="41" customWidth="1"/>
    <col min="7" max="7" width="12.5703125" style="41" bestFit="1" customWidth="1"/>
    <col min="8" max="8" width="18.28515625" style="41" customWidth="1"/>
    <col min="9" max="9" width="12.7109375" style="41" customWidth="1"/>
    <col min="10" max="10" width="15.85546875" style="41" bestFit="1" customWidth="1"/>
    <col min="11" max="11" width="19.7109375" style="41" bestFit="1" customWidth="1"/>
    <col min="12" max="12" width="16.28515625" style="41" bestFit="1" customWidth="1"/>
    <col min="13" max="13" width="15.7109375" style="41" customWidth="1"/>
    <col min="14" max="14" width="22.28515625" style="41" customWidth="1"/>
    <col min="15" max="15" width="14.42578125" style="41" customWidth="1"/>
    <col min="16" max="16" width="3.7109375" style="41" customWidth="1"/>
    <col min="17" max="17" width="11.28515625" style="41" customWidth="1"/>
    <col min="18" max="19" width="9.28515625" style="41"/>
    <col min="20" max="20" width="9.28515625" style="41" hidden="1" customWidth="1"/>
    <col min="21" max="16384" width="9.28515625" style="41"/>
  </cols>
  <sheetData>
    <row r="1" spans="3:79" s="30" customFormat="1" ht="21.75" x14ac:dyDescent="0.2">
      <c r="C1" s="26"/>
      <c r="D1" s="27"/>
      <c r="E1" s="27"/>
      <c r="F1" s="27"/>
      <c r="G1" s="27"/>
      <c r="H1" s="27"/>
      <c r="I1" s="27"/>
      <c r="J1" s="27"/>
      <c r="K1" s="27"/>
      <c r="L1" s="28"/>
      <c r="M1" s="29"/>
      <c r="P1" s="31"/>
      <c r="AZ1" s="30" t="s">
        <v>31</v>
      </c>
      <c r="CA1" s="30">
        <v>1</v>
      </c>
    </row>
    <row r="2" spans="3:79" s="30" customFormat="1" ht="18" x14ac:dyDescent="0.25">
      <c r="C2" s="32"/>
      <c r="D2" s="33"/>
      <c r="E2" s="33"/>
      <c r="F2" s="33"/>
      <c r="G2" s="33"/>
      <c r="H2" s="33"/>
      <c r="I2" s="33"/>
      <c r="J2" s="33"/>
      <c r="K2" s="33"/>
      <c r="L2" s="28"/>
      <c r="M2" s="29"/>
      <c r="P2" s="31"/>
    </row>
    <row r="3" spans="3:79" s="30" customFormat="1" ht="18" x14ac:dyDescent="0.25">
      <c r="C3" s="34"/>
      <c r="D3" s="34"/>
      <c r="E3" s="34"/>
      <c r="F3" s="34"/>
      <c r="G3" s="34"/>
      <c r="H3" s="34"/>
      <c r="I3" s="34"/>
      <c r="J3" s="34"/>
      <c r="K3" s="34"/>
      <c r="L3" s="28"/>
      <c r="M3" s="29"/>
      <c r="P3" s="31"/>
    </row>
    <row r="4" spans="3:79" s="30" customFormat="1" ht="18" x14ac:dyDescent="0.25">
      <c r="C4" s="32"/>
      <c r="D4" s="33"/>
      <c r="E4" s="33"/>
      <c r="F4" s="33"/>
      <c r="G4" s="33"/>
      <c r="H4" s="33"/>
      <c r="I4" s="35"/>
      <c r="J4" s="35"/>
      <c r="K4" s="35"/>
      <c r="L4" s="28"/>
      <c r="M4" s="29"/>
      <c r="P4" s="31"/>
    </row>
    <row r="5" spans="3:79" s="30" customFormat="1" ht="15.75" x14ac:dyDescent="0.25">
      <c r="C5" s="36"/>
      <c r="E5" s="37"/>
      <c r="L5" s="28"/>
      <c r="M5" s="29"/>
      <c r="P5" s="31"/>
    </row>
    <row r="6" spans="3:79" s="30" customFormat="1" x14ac:dyDescent="0.2">
      <c r="C6" s="36"/>
      <c r="L6" s="28"/>
      <c r="M6" s="29"/>
      <c r="P6" s="31"/>
    </row>
    <row r="7" spans="3:79" s="30" customFormat="1" ht="9.75" customHeight="1" x14ac:dyDescent="0.2">
      <c r="C7" s="36"/>
      <c r="L7" s="28"/>
      <c r="M7" s="29"/>
      <c r="P7" s="31"/>
    </row>
    <row r="8" spans="3:79" s="30" customFormat="1" ht="2.25" customHeight="1" x14ac:dyDescent="0.2">
      <c r="C8" s="36"/>
      <c r="M8" s="29"/>
      <c r="N8" s="31"/>
      <c r="O8" s="31"/>
      <c r="P8" s="31"/>
    </row>
    <row r="9" spans="3:79" s="31" customFormat="1" ht="2.25" customHeight="1" x14ac:dyDescent="0.2">
      <c r="C9" s="38"/>
    </row>
    <row r="10" spans="3:79" s="31" customFormat="1" ht="2.25" customHeight="1" x14ac:dyDescent="0.25">
      <c r="C10" s="38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40"/>
      <c r="O10" s="40"/>
    </row>
    <row r="11" spans="3:79" s="31" customFormat="1" ht="2.25" customHeight="1" x14ac:dyDescent="0.25">
      <c r="C11" s="38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</row>
    <row r="12" spans="3:79" x14ac:dyDescent="0.2">
      <c r="C12" s="41"/>
      <c r="D12" s="43" t="s">
        <v>35</v>
      </c>
      <c r="E12" s="44" t="s">
        <v>22</v>
      </c>
      <c r="F12" s="44"/>
      <c r="G12" s="44"/>
      <c r="H12" s="44"/>
      <c r="I12" s="44"/>
      <c r="J12" s="44"/>
      <c r="T12" s="41" t="s">
        <v>34</v>
      </c>
    </row>
    <row r="13" spans="3:79" x14ac:dyDescent="0.2">
      <c r="C13" s="41"/>
      <c r="D13" s="43" t="s">
        <v>36</v>
      </c>
      <c r="E13" s="45" t="s">
        <v>33</v>
      </c>
      <c r="F13" s="45"/>
      <c r="G13" s="45"/>
      <c r="H13" s="46"/>
      <c r="I13" s="46"/>
    </row>
    <row r="14" spans="3:79" ht="15.75" x14ac:dyDescent="0.2">
      <c r="C14" s="41"/>
      <c r="D14" s="43" t="s">
        <v>37</v>
      </c>
      <c r="E14" s="47">
        <v>1945504.6382250001</v>
      </c>
      <c r="F14" s="48" t="s">
        <v>15</v>
      </c>
      <c r="J14" s="49"/>
      <c r="K14" s="49"/>
      <c r="L14" s="49"/>
      <c r="M14" s="49"/>
      <c r="N14" s="49"/>
    </row>
    <row r="15" spans="3:79" ht="15.75" x14ac:dyDescent="0.25">
      <c r="C15" s="41"/>
      <c r="D15" s="43" t="s">
        <v>38</v>
      </c>
      <c r="E15" s="47">
        <v>5308.666666666667</v>
      </c>
      <c r="F15" s="50" t="s">
        <v>18</v>
      </c>
      <c r="G15" s="51"/>
      <c r="H15" s="52"/>
      <c r="I15" s="52"/>
      <c r="J15" s="52"/>
    </row>
    <row r="16" spans="3:79" x14ac:dyDescent="0.2">
      <c r="C16" s="41"/>
      <c r="D16" s="43" t="s">
        <v>39</v>
      </c>
      <c r="E16" s="53">
        <v>1.0341</v>
      </c>
    </row>
    <row r="17" spans="1:13" x14ac:dyDescent="0.2">
      <c r="C17" s="41"/>
      <c r="D17" s="43" t="s">
        <v>40</v>
      </c>
      <c r="E17" s="53">
        <v>1.0341</v>
      </c>
    </row>
    <row r="18" spans="1:13" x14ac:dyDescent="0.2">
      <c r="C18" s="41"/>
    </row>
    <row r="19" spans="1:13" x14ac:dyDescent="0.2">
      <c r="C19" s="41"/>
      <c r="E19" s="48"/>
      <c r="F19" s="54" t="s">
        <v>41</v>
      </c>
      <c r="G19" s="55"/>
      <c r="H19" s="56"/>
      <c r="I19" s="54" t="s">
        <v>42</v>
      </c>
      <c r="J19" s="55"/>
      <c r="K19" s="56"/>
      <c r="L19" s="54" t="s">
        <v>43</v>
      </c>
      <c r="M19" s="56"/>
    </row>
    <row r="20" spans="1:13" x14ac:dyDescent="0.2">
      <c r="C20" s="41"/>
      <c r="E20" s="57"/>
      <c r="F20" s="58" t="s">
        <v>44</v>
      </c>
      <c r="G20" s="58" t="s">
        <v>45</v>
      </c>
      <c r="H20" s="59" t="s">
        <v>46</v>
      </c>
      <c r="I20" s="58" t="s">
        <v>44</v>
      </c>
      <c r="J20" s="60" t="s">
        <v>45</v>
      </c>
      <c r="K20" s="59" t="s">
        <v>46</v>
      </c>
      <c r="L20" s="61" t="s">
        <v>47</v>
      </c>
      <c r="M20" s="62" t="s">
        <v>48</v>
      </c>
    </row>
    <row r="21" spans="1:13" x14ac:dyDescent="0.2">
      <c r="C21" s="41"/>
      <c r="E21" s="63"/>
      <c r="F21" s="64" t="s">
        <v>49</v>
      </c>
      <c r="G21" s="64"/>
      <c r="H21" s="65" t="s">
        <v>49</v>
      </c>
      <c r="I21" s="64" t="s">
        <v>49</v>
      </c>
      <c r="J21" s="65"/>
      <c r="K21" s="65" t="s">
        <v>49</v>
      </c>
      <c r="L21" s="66"/>
      <c r="M21" s="67"/>
    </row>
    <row r="22" spans="1:13" x14ac:dyDescent="0.2">
      <c r="A22" s="41" t="str">
        <f>$E12</f>
        <v>STREET LIGHTING SERVICE CLASSIFICATION</v>
      </c>
      <c r="C22" s="68"/>
      <c r="D22" s="69" t="s">
        <v>50</v>
      </c>
      <c r="E22" s="70"/>
      <c r="F22" s="71">
        <v>2.5099999999999998</v>
      </c>
      <c r="G22" s="72">
        <v>21254</v>
      </c>
      <c r="H22" s="73">
        <f>G22*F22</f>
        <v>53347.539999999994</v>
      </c>
      <c r="I22" s="74">
        <v>2.59</v>
      </c>
      <c r="J22" s="75">
        <v>21254</v>
      </c>
      <c r="K22" s="76">
        <f>J22*I22</f>
        <v>55047.86</v>
      </c>
      <c r="L22" s="77">
        <f t="shared" ref="L22:L43" si="0">K22-H22</f>
        <v>1700.320000000007</v>
      </c>
      <c r="M22" s="78">
        <f>IF(ISERROR(L22/H22), "", L22/H22)</f>
        <v>3.1872509960159501E-2</v>
      </c>
    </row>
    <row r="23" spans="1:13" x14ac:dyDescent="0.2">
      <c r="A23" s="41" t="str">
        <f>A22</f>
        <v>STREET LIGHTING SERVICE CLASSIFICATION</v>
      </c>
      <c r="C23" s="68"/>
      <c r="D23" s="69" t="s">
        <v>51</v>
      </c>
      <c r="E23" s="70"/>
      <c r="F23" s="79">
        <v>12.576599999999999</v>
      </c>
      <c r="G23" s="72">
        <f>IF($E15&gt;0, $E15, $E14)</f>
        <v>5308.666666666667</v>
      </c>
      <c r="H23" s="73">
        <f t="shared" ref="H23:H35" si="1">G23*F23</f>
        <v>66764.977199999994</v>
      </c>
      <c r="I23" s="80">
        <v>12.953900000000001</v>
      </c>
      <c r="J23" s="75">
        <f>IF($E15&gt;0, $E15, $E14)</f>
        <v>5308.666666666667</v>
      </c>
      <c r="K23" s="76">
        <f>J23*I23</f>
        <v>68767.93713333334</v>
      </c>
      <c r="L23" s="77">
        <f t="shared" si="0"/>
        <v>2002.9599333333463</v>
      </c>
      <c r="M23" s="78">
        <f t="shared" ref="M23:M33" si="2">IF(ISERROR(L23/H23), "", L23/H23)</f>
        <v>3.0000159025491982E-2</v>
      </c>
    </row>
    <row r="24" spans="1:13" hidden="1" x14ac:dyDescent="0.2">
      <c r="A24" s="41" t="str">
        <f t="shared" ref="A24:A65" si="3">A23</f>
        <v>STREET LIGHTING SERVICE CLASSIFICATION</v>
      </c>
      <c r="C24" s="68"/>
      <c r="D24" s="69" t="s">
        <v>52</v>
      </c>
      <c r="E24" s="70"/>
      <c r="F24" s="79"/>
      <c r="G24" s="72">
        <f>IF($E15&gt;0, $E15, $E14)</f>
        <v>5308.666666666667</v>
      </c>
      <c r="H24" s="73">
        <v>0</v>
      </c>
      <c r="I24" s="80"/>
      <c r="J24" s="75">
        <f>IF($E15&gt;0, $E15, $E14)</f>
        <v>5308.666666666667</v>
      </c>
      <c r="K24" s="76">
        <v>0</v>
      </c>
      <c r="L24" s="77"/>
      <c r="M24" s="78"/>
    </row>
    <row r="25" spans="1:13" hidden="1" x14ac:dyDescent="0.2">
      <c r="A25" s="41" t="str">
        <f t="shared" si="3"/>
        <v>STREET LIGHTING SERVICE CLASSIFICATION</v>
      </c>
      <c r="C25" s="68"/>
      <c r="D25" s="69" t="s">
        <v>53</v>
      </c>
      <c r="E25" s="70"/>
      <c r="F25" s="79"/>
      <c r="G25" s="72">
        <f>IF($E15&gt;0, $E15, $E14)</f>
        <v>5308.666666666667</v>
      </c>
      <c r="H25" s="73">
        <v>0</v>
      </c>
      <c r="I25" s="80"/>
      <c r="J25" s="81">
        <f>IF($E15&gt;0, $E15, $E14)</f>
        <v>5308.666666666667</v>
      </c>
      <c r="K25" s="76">
        <v>0</v>
      </c>
      <c r="L25" s="77">
        <f>K25-H25</f>
        <v>0</v>
      </c>
      <c r="M25" s="78" t="str">
        <f>IF(ISERROR(L25/H25), "", L25/H25)</f>
        <v/>
      </c>
    </row>
    <row r="26" spans="1:13" x14ac:dyDescent="0.2">
      <c r="A26" s="41" t="str">
        <f t="shared" si="3"/>
        <v>STREET LIGHTING SERVICE CLASSIFICATION</v>
      </c>
      <c r="C26" s="68"/>
      <c r="D26" s="69" t="s">
        <v>54</v>
      </c>
      <c r="E26" s="70"/>
      <c r="F26" s="71">
        <v>0.04</v>
      </c>
      <c r="G26" s="72">
        <v>21254</v>
      </c>
      <c r="H26" s="73">
        <f t="shared" si="1"/>
        <v>850.16</v>
      </c>
      <c r="I26" s="74">
        <v>0.04</v>
      </c>
      <c r="J26" s="75">
        <v>21254</v>
      </c>
      <c r="K26" s="76">
        <f t="shared" ref="K26:K33" si="4">J26*I26</f>
        <v>850.16</v>
      </c>
      <c r="L26" s="77">
        <f t="shared" si="0"/>
        <v>0</v>
      </c>
      <c r="M26" s="78">
        <f t="shared" si="2"/>
        <v>0</v>
      </c>
    </row>
    <row r="27" spans="1:13" x14ac:dyDescent="0.2">
      <c r="A27" s="41" t="str">
        <f t="shared" si="3"/>
        <v>STREET LIGHTING SERVICE CLASSIFICATION</v>
      </c>
      <c r="C27" s="68"/>
      <c r="D27" s="69" t="s">
        <v>55</v>
      </c>
      <c r="E27" s="70"/>
      <c r="F27" s="79">
        <v>5.1966999999999999</v>
      </c>
      <c r="G27" s="72">
        <f>IF($E15&gt;0, $E15, $E14)</f>
        <v>5308.666666666667</v>
      </c>
      <c r="H27" s="73">
        <f t="shared" si="1"/>
        <v>27587.548066666666</v>
      </c>
      <c r="I27" s="80">
        <v>14.066099999999999</v>
      </c>
      <c r="J27" s="75">
        <f>IF($E15&gt;0, $E15, $E14)</f>
        <v>5308.666666666667</v>
      </c>
      <c r="K27" s="76">
        <f t="shared" si="4"/>
        <v>74672.236199999999</v>
      </c>
      <c r="L27" s="77">
        <f t="shared" si="0"/>
        <v>47084.688133333329</v>
      </c>
      <c r="M27" s="78">
        <f t="shared" si="2"/>
        <v>1.7067369676910347</v>
      </c>
    </row>
    <row r="28" spans="1:13" x14ac:dyDescent="0.2">
      <c r="A28" s="41" t="str">
        <f t="shared" si="3"/>
        <v>STREET LIGHTING SERVICE CLASSIFICATION</v>
      </c>
      <c r="B28" s="41" t="s">
        <v>56</v>
      </c>
      <c r="C28" s="68" t="e">
        <f>#REF!</f>
        <v>#REF!</v>
      </c>
      <c r="D28" s="82" t="s">
        <v>57</v>
      </c>
      <c r="E28" s="83"/>
      <c r="F28" s="84"/>
      <c r="G28" s="85"/>
      <c r="H28" s="86">
        <f>SUM(H22:H27)</f>
        <v>148550.22526666665</v>
      </c>
      <c r="I28" s="87"/>
      <c r="J28" s="88"/>
      <c r="K28" s="86">
        <f>SUM(K22:K27)</f>
        <v>199338.19333333336</v>
      </c>
      <c r="L28" s="89">
        <f t="shared" si="0"/>
        <v>50787.968066666712</v>
      </c>
      <c r="M28" s="90">
        <f>IF((H28)=0,"",(L28/H28))</f>
        <v>0.34189088556073083</v>
      </c>
    </row>
    <row r="29" spans="1:13" x14ac:dyDescent="0.2">
      <c r="A29" s="41" t="str">
        <f t="shared" si="3"/>
        <v>STREET LIGHTING SERVICE CLASSIFICATION</v>
      </c>
      <c r="C29" s="68"/>
      <c r="D29" s="91" t="s">
        <v>58</v>
      </c>
      <c r="E29" s="70"/>
      <c r="F29" s="79">
        <f>IF((E14*12&gt;=150000), 0, IF(E13="RPP",(F45*0.64+F46*0.18+F47*0.18),IF(E13="Non-RPP (Retailer)",F48,F49)))</f>
        <v>0</v>
      </c>
      <c r="G29" s="92">
        <f>IF(F29=0, 0, $E14*E16-E14)</f>
        <v>0</v>
      </c>
      <c r="H29" s="73">
        <f>G29*F29</f>
        <v>0</v>
      </c>
      <c r="I29" s="80">
        <f>IF((E14*12&gt;=150000), 0, IF(E13="RPP",(I45*0.64+I46*0.18+I47*0.18),IF(E13="Non-RPP (Retailer)",I48,I49)))</f>
        <v>0</v>
      </c>
      <c r="J29" s="93">
        <f>IF(I29=0, 0, E14*E17-E14)</f>
        <v>0</v>
      </c>
      <c r="K29" s="76">
        <f>J29*I29</f>
        <v>0</v>
      </c>
      <c r="L29" s="77">
        <f>K29-H29</f>
        <v>0</v>
      </c>
      <c r="M29" s="78" t="str">
        <f>IF(ISERROR(L29/H29), "", L29/H29)</f>
        <v/>
      </c>
    </row>
    <row r="30" spans="1:13" ht="25.5" x14ac:dyDescent="0.2">
      <c r="A30" s="41" t="str">
        <f t="shared" si="3"/>
        <v>STREET LIGHTING SERVICE CLASSIFICATION</v>
      </c>
      <c r="C30" s="68"/>
      <c r="D30" s="91" t="s">
        <v>59</v>
      </c>
      <c r="E30" s="70"/>
      <c r="F30" s="79">
        <v>-0.3256</v>
      </c>
      <c r="G30" s="94">
        <f>IF($E15&gt;0, $E15, $E14)</f>
        <v>5308.666666666667</v>
      </c>
      <c r="H30" s="73">
        <f t="shared" si="1"/>
        <v>-1728.5018666666667</v>
      </c>
      <c r="I30" s="80">
        <v>1.2186999999999999</v>
      </c>
      <c r="J30" s="95">
        <f>IF($E15&gt;0, $E15, $E14)</f>
        <v>5308.666666666667</v>
      </c>
      <c r="K30" s="76">
        <f t="shared" si="4"/>
        <v>6469.6720666666661</v>
      </c>
      <c r="L30" s="77">
        <f t="shared" si="0"/>
        <v>8198.1739333333335</v>
      </c>
      <c r="M30" s="78">
        <f t="shared" si="2"/>
        <v>-4.742936117936118</v>
      </c>
    </row>
    <row r="31" spans="1:13" x14ac:dyDescent="0.2">
      <c r="A31" s="41" t="str">
        <f t="shared" si="3"/>
        <v>STREET LIGHTING SERVICE CLASSIFICATION</v>
      </c>
      <c r="C31" s="68"/>
      <c r="D31" s="91" t="s">
        <v>60</v>
      </c>
      <c r="E31" s="70"/>
      <c r="F31" s="79">
        <v>0</v>
      </c>
      <c r="G31" s="94">
        <f>IF($E15&gt;0, $E15, $E14)</f>
        <v>5308.666666666667</v>
      </c>
      <c r="H31" s="73">
        <f>G31*F31</f>
        <v>0</v>
      </c>
      <c r="I31" s="80">
        <v>-3.9100000000000003E-2</v>
      </c>
      <c r="J31" s="95">
        <f>IF($E15&gt;0, $E15, $E14)</f>
        <v>5308.666666666667</v>
      </c>
      <c r="K31" s="76">
        <f>J31*I31</f>
        <v>-207.56886666666671</v>
      </c>
      <c r="L31" s="77">
        <f t="shared" si="0"/>
        <v>-207.56886666666671</v>
      </c>
      <c r="M31" s="78" t="str">
        <f t="shared" si="2"/>
        <v/>
      </c>
    </row>
    <row r="32" spans="1:13" x14ac:dyDescent="0.2">
      <c r="A32" s="41" t="str">
        <f t="shared" si="3"/>
        <v>STREET LIGHTING SERVICE CLASSIFICATION</v>
      </c>
      <c r="C32" s="68"/>
      <c r="D32" s="91" t="s">
        <v>61</v>
      </c>
      <c r="E32" s="70"/>
      <c r="F32" s="79">
        <v>2.9999999999999997E-4</v>
      </c>
      <c r="G32" s="94">
        <f>E14</f>
        <v>1945504.6382250001</v>
      </c>
      <c r="H32" s="73">
        <f>G32*F32</f>
        <v>583.65139146749993</v>
      </c>
      <c r="I32" s="80">
        <v>-2.5999999999999999E-3</v>
      </c>
      <c r="J32" s="95">
        <f>E14</f>
        <v>1945504.6382250001</v>
      </c>
      <c r="K32" s="76">
        <f t="shared" si="4"/>
        <v>-5058.3120593849999</v>
      </c>
      <c r="L32" s="77">
        <f t="shared" si="0"/>
        <v>-5641.9634508524996</v>
      </c>
      <c r="M32" s="78">
        <f t="shared" si="2"/>
        <v>-9.6666666666666679</v>
      </c>
    </row>
    <row r="33" spans="1:14" x14ac:dyDescent="0.2">
      <c r="A33" s="41" t="str">
        <f t="shared" si="3"/>
        <v>STREET LIGHTING SERVICE CLASSIFICATION</v>
      </c>
      <c r="C33" s="68"/>
      <c r="D33" s="69" t="s">
        <v>62</v>
      </c>
      <c r="E33" s="70"/>
      <c r="F33" s="79">
        <v>0</v>
      </c>
      <c r="G33" s="94">
        <f>IF($E15&gt;0, $E15, $E14)</f>
        <v>5308.666666666667</v>
      </c>
      <c r="H33" s="73">
        <f t="shared" si="1"/>
        <v>0</v>
      </c>
      <c r="I33" s="80"/>
      <c r="J33" s="95">
        <f>IF($E15&gt;0, $E15, $E14)</f>
        <v>5308.666666666667</v>
      </c>
      <c r="K33" s="76">
        <f t="shared" si="4"/>
        <v>0</v>
      </c>
      <c r="L33" s="77">
        <f t="shared" si="0"/>
        <v>0</v>
      </c>
      <c r="M33" s="78" t="str">
        <f t="shared" si="2"/>
        <v/>
      </c>
    </row>
    <row r="34" spans="1:14" ht="25.5" x14ac:dyDescent="0.2">
      <c r="A34" s="41" t="str">
        <f t="shared" si="3"/>
        <v>STREET LIGHTING SERVICE CLASSIFICATION</v>
      </c>
      <c r="C34" s="68"/>
      <c r="D34" s="91" t="s">
        <v>63</v>
      </c>
      <c r="E34" s="70"/>
      <c r="F34" s="96">
        <v>0</v>
      </c>
      <c r="G34" s="72">
        <v>21254</v>
      </c>
      <c r="H34" s="73">
        <f>G34*F34</f>
        <v>0</v>
      </c>
      <c r="I34" s="97">
        <v>0</v>
      </c>
      <c r="J34" s="81">
        <v>21254</v>
      </c>
      <c r="K34" s="76">
        <f>J34*I34</f>
        <v>0</v>
      </c>
      <c r="L34" s="77">
        <f t="shared" si="0"/>
        <v>0</v>
      </c>
      <c r="M34" s="78" t="str">
        <f>IF(ISERROR(L34/H34), "", L34/H34)</f>
        <v/>
      </c>
    </row>
    <row r="35" spans="1:14" x14ac:dyDescent="0.2">
      <c r="A35" s="41" t="str">
        <f t="shared" si="3"/>
        <v>STREET LIGHTING SERVICE CLASSIFICATION</v>
      </c>
      <c r="C35" s="68"/>
      <c r="D35" s="69" t="s">
        <v>64</v>
      </c>
      <c r="E35" s="70"/>
      <c r="F35" s="71">
        <v>0</v>
      </c>
      <c r="G35" s="72">
        <v>21254</v>
      </c>
      <c r="H35" s="73">
        <f t="shared" si="1"/>
        <v>0</v>
      </c>
      <c r="I35" s="74">
        <v>0</v>
      </c>
      <c r="J35" s="81">
        <v>21254</v>
      </c>
      <c r="K35" s="76">
        <f>J35*I35</f>
        <v>0</v>
      </c>
      <c r="L35" s="77">
        <f>K35-H35</f>
        <v>0</v>
      </c>
      <c r="M35" s="78" t="str">
        <f>IF(ISERROR(L35/H35), "", L35/H35)</f>
        <v/>
      </c>
    </row>
    <row r="36" spans="1:14" x14ac:dyDescent="0.2">
      <c r="A36" s="41" t="str">
        <f t="shared" si="3"/>
        <v>STREET LIGHTING SERVICE CLASSIFICATION</v>
      </c>
      <c r="C36" s="68"/>
      <c r="D36" s="69" t="s">
        <v>65</v>
      </c>
      <c r="E36" s="70"/>
      <c r="F36" s="79">
        <v>0</v>
      </c>
      <c r="G36" s="94">
        <f>IF($E15&gt;0, $E15, $E14)</f>
        <v>5308.666666666667</v>
      </c>
      <c r="H36" s="73">
        <f>G36*F36</f>
        <v>0</v>
      </c>
      <c r="I36" s="80">
        <v>0</v>
      </c>
      <c r="J36" s="95">
        <f>IF($E15&gt;0, $E15, $E14)</f>
        <v>5308.666666666667</v>
      </c>
      <c r="K36" s="76">
        <f>J36*I36</f>
        <v>0</v>
      </c>
      <c r="L36" s="77">
        <f t="shared" si="0"/>
        <v>0</v>
      </c>
      <c r="M36" s="78" t="str">
        <f>IF(ISERROR(L36/H36), "", L36/H36)</f>
        <v/>
      </c>
    </row>
    <row r="37" spans="1:14" ht="25.5" x14ac:dyDescent="0.2">
      <c r="A37" s="41" t="str">
        <f t="shared" si="3"/>
        <v>STREET LIGHTING SERVICE CLASSIFICATION</v>
      </c>
      <c r="B37" s="41" t="s">
        <v>66</v>
      </c>
      <c r="C37" s="68" t="e">
        <f>#REF!</f>
        <v>#REF!</v>
      </c>
      <c r="D37" s="98" t="s">
        <v>67</v>
      </c>
      <c r="E37" s="99"/>
      <c r="F37" s="100"/>
      <c r="G37" s="101"/>
      <c r="H37" s="102">
        <f>SUM(H28:H36)</f>
        <v>147405.37479146748</v>
      </c>
      <c r="I37" s="103"/>
      <c r="J37" s="104"/>
      <c r="K37" s="102">
        <f>SUM(K28:K36)</f>
        <v>200541.98447394834</v>
      </c>
      <c r="L37" s="89">
        <f t="shared" si="0"/>
        <v>53136.609682480863</v>
      </c>
      <c r="M37" s="90">
        <f>IF((H37)=0,"",(L37/H37))</f>
        <v>0.36047945848414653</v>
      </c>
    </row>
    <row r="38" spans="1:14" x14ac:dyDescent="0.2">
      <c r="A38" s="41" t="str">
        <f t="shared" si="3"/>
        <v>STREET LIGHTING SERVICE CLASSIFICATION</v>
      </c>
      <c r="C38" s="68"/>
      <c r="D38" s="105" t="s">
        <v>68</v>
      </c>
      <c r="E38" s="70"/>
      <c r="F38" s="79">
        <v>2.8512</v>
      </c>
      <c r="G38" s="92">
        <f>IF($E15&gt;0, $E15, $E14*$E16)</f>
        <v>5308.666666666667</v>
      </c>
      <c r="H38" s="73">
        <f>G38*F38</f>
        <v>15136.070400000001</v>
      </c>
      <c r="I38" s="106">
        <v>3.1486000000000001</v>
      </c>
      <c r="J38" s="93">
        <f>IF($E15&gt;0, $E15, $E14*$E17)</f>
        <v>5308.666666666667</v>
      </c>
      <c r="K38" s="76">
        <f>J38*I38</f>
        <v>16714.867866666667</v>
      </c>
      <c r="L38" s="77">
        <f t="shared" si="0"/>
        <v>1578.7974666666669</v>
      </c>
      <c r="M38" s="78">
        <f>IF(ISERROR(L38/H38), "", L38/H38)</f>
        <v>0.10430695847362514</v>
      </c>
      <c r="N38" s="107" t="str">
        <f>IF(ISERROR(ABS(M38)), "", IF(ABS(M38)&gt;=4%, "In the manager's summary, discuss the reasoning for the change in RTSR rates", ""))</f>
        <v>In the manager's summary, discuss the reasoning for the change in RTSR rates</v>
      </c>
    </row>
    <row r="39" spans="1:14" ht="25.5" x14ac:dyDescent="0.2">
      <c r="A39" s="41" t="str">
        <f t="shared" si="3"/>
        <v>STREET LIGHTING SERVICE CLASSIFICATION</v>
      </c>
      <c r="C39" s="68"/>
      <c r="D39" s="108" t="s">
        <v>69</v>
      </c>
      <c r="E39" s="70"/>
      <c r="F39" s="79">
        <v>1.8795999999999999</v>
      </c>
      <c r="G39" s="92">
        <f>IF($E15&gt;0, $E15, $E14*$E16)</f>
        <v>5308.666666666667</v>
      </c>
      <c r="H39" s="73">
        <f>G39*F39</f>
        <v>9978.1698666666671</v>
      </c>
      <c r="I39" s="106">
        <v>1.9948999999999999</v>
      </c>
      <c r="J39" s="93">
        <f>IF($E15&gt;0, $E15, $E14*$E17)</f>
        <v>5308.666666666667</v>
      </c>
      <c r="K39" s="76">
        <f>J39*I39</f>
        <v>10590.259133333333</v>
      </c>
      <c r="L39" s="77">
        <f t="shared" si="0"/>
        <v>612.08926666666594</v>
      </c>
      <c r="M39" s="78">
        <f>IF(ISERROR(L39/H39), "", L39/H39)</f>
        <v>6.1342838901893945E-2</v>
      </c>
      <c r="N39" s="107" t="str">
        <f>IF(ISERROR(ABS(M39)), "", IF(ABS(M39)&gt;=4%, "In the manager's summary, discuss the reasoning for the change in RTSR rates", ""))</f>
        <v>In the manager's summary, discuss the reasoning for the change in RTSR rates</v>
      </c>
    </row>
    <row r="40" spans="1:14" ht="25.5" x14ac:dyDescent="0.2">
      <c r="A40" s="41" t="str">
        <f t="shared" si="3"/>
        <v>STREET LIGHTING SERVICE CLASSIFICATION</v>
      </c>
      <c r="B40" s="41" t="s">
        <v>70</v>
      </c>
      <c r="C40" s="68" t="e">
        <f>#REF!</f>
        <v>#REF!</v>
      </c>
      <c r="D40" s="98" t="s">
        <v>71</v>
      </c>
      <c r="E40" s="83"/>
      <c r="F40" s="100"/>
      <c r="G40" s="101"/>
      <c r="H40" s="102">
        <f>SUM(H37:H39)</f>
        <v>172519.61505813414</v>
      </c>
      <c r="I40" s="103"/>
      <c r="J40" s="88"/>
      <c r="K40" s="102">
        <f>SUM(K37:K39)</f>
        <v>227847.11147394835</v>
      </c>
      <c r="L40" s="89">
        <f t="shared" si="0"/>
        <v>55327.49641581421</v>
      </c>
      <c r="M40" s="90">
        <f>IF((H40)=0,"",(L40/H40))</f>
        <v>0.32070264240486762</v>
      </c>
    </row>
    <row r="41" spans="1:14" ht="25.5" x14ac:dyDescent="0.2">
      <c r="A41" s="41" t="str">
        <f t="shared" si="3"/>
        <v>STREET LIGHTING SERVICE CLASSIFICATION</v>
      </c>
      <c r="C41" s="68"/>
      <c r="D41" s="109" t="s">
        <v>72</v>
      </c>
      <c r="E41" s="70"/>
      <c r="F41" s="79">
        <v>3.4000000000000002E-3</v>
      </c>
      <c r="G41" s="92">
        <f>E14*E16</f>
        <v>2011846.3463884727</v>
      </c>
      <c r="H41" s="110">
        <f t="shared" ref="H41:H47" si="5">G41*F41</f>
        <v>6840.277577720808</v>
      </c>
      <c r="I41" s="79">
        <v>3.4000000000000002E-3</v>
      </c>
      <c r="J41" s="93">
        <f>E14*E17</f>
        <v>2011846.3463884727</v>
      </c>
      <c r="K41" s="76">
        <f t="shared" ref="K41:K47" si="6">J41*I41</f>
        <v>6840.277577720808</v>
      </c>
      <c r="L41" s="77">
        <f t="shared" si="0"/>
        <v>0</v>
      </c>
      <c r="M41" s="78">
        <f t="shared" ref="M41:M49" si="7">IF(ISERROR(L41/H41), "", L41/H41)</f>
        <v>0</v>
      </c>
    </row>
    <row r="42" spans="1:14" ht="25.5" x14ac:dyDescent="0.2">
      <c r="A42" s="41" t="str">
        <f t="shared" si="3"/>
        <v>STREET LIGHTING SERVICE CLASSIFICATION</v>
      </c>
      <c r="C42" s="68"/>
      <c r="D42" s="109" t="s">
        <v>73</v>
      </c>
      <c r="E42" s="70"/>
      <c r="F42" s="79">
        <v>5.0000000000000001E-4</v>
      </c>
      <c r="G42" s="92">
        <f>E14*E16</f>
        <v>2011846.3463884727</v>
      </c>
      <c r="H42" s="110">
        <f t="shared" si="5"/>
        <v>1005.9231731942364</v>
      </c>
      <c r="I42" s="79">
        <v>5.0000000000000001E-4</v>
      </c>
      <c r="J42" s="93">
        <f>E14*E17</f>
        <v>2011846.3463884727</v>
      </c>
      <c r="K42" s="76">
        <f t="shared" si="6"/>
        <v>1005.9231731942364</v>
      </c>
      <c r="L42" s="77">
        <f t="shared" si="0"/>
        <v>0</v>
      </c>
      <c r="M42" s="78">
        <f t="shared" si="7"/>
        <v>0</v>
      </c>
    </row>
    <row r="43" spans="1:14" x14ac:dyDescent="0.2">
      <c r="A43" s="41" t="str">
        <f t="shared" si="3"/>
        <v>STREET LIGHTING SERVICE CLASSIFICATION</v>
      </c>
      <c r="C43" s="68"/>
      <c r="D43" s="111" t="s">
        <v>74</v>
      </c>
      <c r="E43" s="70"/>
      <c r="F43" s="96">
        <v>0.25</v>
      </c>
      <c r="G43" s="72">
        <v>21254</v>
      </c>
      <c r="H43" s="110">
        <f t="shared" si="5"/>
        <v>5313.5</v>
      </c>
      <c r="I43" s="97">
        <v>0.25</v>
      </c>
      <c r="J43" s="75">
        <v>21254</v>
      </c>
      <c r="K43" s="76">
        <f t="shared" si="6"/>
        <v>5313.5</v>
      </c>
      <c r="L43" s="77">
        <f t="shared" si="0"/>
        <v>0</v>
      </c>
      <c r="M43" s="78">
        <f t="shared" si="7"/>
        <v>0</v>
      </c>
    </row>
    <row r="44" spans="1:14" ht="25.5" hidden="1" x14ac:dyDescent="0.2">
      <c r="A44" s="41" t="str">
        <f t="shared" si="3"/>
        <v>STREET LIGHTING SERVICE CLASSIFICATION</v>
      </c>
      <c r="C44" s="68"/>
      <c r="D44" s="109" t="s">
        <v>75</v>
      </c>
      <c r="E44" s="70"/>
      <c r="F44" s="79"/>
      <c r="G44" s="92"/>
      <c r="H44" s="110"/>
      <c r="I44" s="80"/>
      <c r="J44" s="93"/>
      <c r="K44" s="76"/>
      <c r="L44" s="77"/>
      <c r="M44" s="78"/>
    </row>
    <row r="45" spans="1:14" hidden="1" x14ac:dyDescent="0.2">
      <c r="A45" s="41" t="str">
        <f t="shared" si="3"/>
        <v>STREET LIGHTING SERVICE CLASSIFICATION</v>
      </c>
      <c r="B45" s="41" t="s">
        <v>32</v>
      </c>
      <c r="C45" s="68"/>
      <c r="D45" s="111" t="s">
        <v>76</v>
      </c>
      <c r="E45" s="70"/>
      <c r="F45" s="112">
        <v>8.2000000000000003E-2</v>
      </c>
      <c r="G45" s="113">
        <f>IF(AND(E14*12&gt;=150000),0.64*E14*E16,0.64*E14)</f>
        <v>1287581.6616886226</v>
      </c>
      <c r="H45" s="110">
        <f t="shared" si="5"/>
        <v>105581.69625846705</v>
      </c>
      <c r="I45" s="114">
        <v>8.2000000000000003E-2</v>
      </c>
      <c r="J45" s="115">
        <f>IF(AND(E14*12&gt;=150000),0.64*E14*E17,0.64*E14)</f>
        <v>1287581.6616886226</v>
      </c>
      <c r="K45" s="76">
        <f t="shared" si="6"/>
        <v>105581.69625846705</v>
      </c>
      <c r="L45" s="77">
        <f>K45-H45</f>
        <v>0</v>
      </c>
      <c r="M45" s="78">
        <f t="shared" si="7"/>
        <v>0</v>
      </c>
    </row>
    <row r="46" spans="1:14" hidden="1" x14ac:dyDescent="0.2">
      <c r="A46" s="41" t="str">
        <f t="shared" si="3"/>
        <v>STREET LIGHTING SERVICE CLASSIFICATION</v>
      </c>
      <c r="B46" s="41" t="s">
        <v>32</v>
      </c>
      <c r="C46" s="68"/>
      <c r="D46" s="111" t="s">
        <v>77</v>
      </c>
      <c r="E46" s="70"/>
      <c r="F46" s="112">
        <v>0.113</v>
      </c>
      <c r="G46" s="113">
        <f>IF(AND(E14*12&gt;=150000),0.18*E14*E16,0.18*E14)</f>
        <v>362132.34234992502</v>
      </c>
      <c r="H46" s="110">
        <f t="shared" si="5"/>
        <v>40920.954685541532</v>
      </c>
      <c r="I46" s="114">
        <v>0.113</v>
      </c>
      <c r="J46" s="115">
        <f>IF(AND(E14*12&gt;=150000),0.18*E14*E17,0.18*E14)</f>
        <v>362132.34234992502</v>
      </c>
      <c r="K46" s="76">
        <f t="shared" si="6"/>
        <v>40920.954685541532</v>
      </c>
      <c r="L46" s="77">
        <f>K46-H46</f>
        <v>0</v>
      </c>
      <c r="M46" s="78">
        <f t="shared" si="7"/>
        <v>0</v>
      </c>
    </row>
    <row r="47" spans="1:14" hidden="1" x14ac:dyDescent="0.2">
      <c r="A47" s="41" t="str">
        <f t="shared" si="3"/>
        <v>STREET LIGHTING SERVICE CLASSIFICATION</v>
      </c>
      <c r="B47" s="41" t="s">
        <v>32</v>
      </c>
      <c r="C47" s="68"/>
      <c r="D47" s="41" t="s">
        <v>78</v>
      </c>
      <c r="E47" s="70"/>
      <c r="F47" s="112">
        <v>0.17</v>
      </c>
      <c r="G47" s="113">
        <f>IF(AND(E14*12&gt;=150000),0.18*E14*E16,0.18*E14)</f>
        <v>362132.34234992502</v>
      </c>
      <c r="H47" s="110">
        <f t="shared" si="5"/>
        <v>61562.498199487258</v>
      </c>
      <c r="I47" s="114">
        <v>0.17</v>
      </c>
      <c r="J47" s="115">
        <f>IF(AND(E14*12&gt;=150000),0.18*E14*E17,0.18*E14)</f>
        <v>362132.34234992502</v>
      </c>
      <c r="K47" s="76">
        <f t="shared" si="6"/>
        <v>61562.498199487258</v>
      </c>
      <c r="L47" s="77">
        <f>K47-H47</f>
        <v>0</v>
      </c>
      <c r="M47" s="78">
        <f t="shared" si="7"/>
        <v>0</v>
      </c>
    </row>
    <row r="48" spans="1:14" hidden="1" x14ac:dyDescent="0.2">
      <c r="A48" s="41" t="str">
        <f t="shared" si="3"/>
        <v>STREET LIGHTING SERVICE CLASSIFICATION</v>
      </c>
      <c r="B48" s="41" t="s">
        <v>79</v>
      </c>
      <c r="C48" s="68"/>
      <c r="D48" s="111" t="s">
        <v>80</v>
      </c>
      <c r="E48" s="70"/>
      <c r="F48" s="116">
        <v>9.6699999999999994E-2</v>
      </c>
      <c r="G48" s="113">
        <f>IF(AND(E14*12&gt;=150000),E14*E16,E14)</f>
        <v>2011846.3463884727</v>
      </c>
      <c r="H48" s="110">
        <f>G48*F48</f>
        <v>194545.54169576531</v>
      </c>
      <c r="I48" s="117">
        <f>F48</f>
        <v>9.6699999999999994E-2</v>
      </c>
      <c r="J48" s="115">
        <f>IF(AND(E14*12&gt;=150000),E14*E17,E14)</f>
        <v>2011846.3463884727</v>
      </c>
      <c r="K48" s="76">
        <f>J48*I48</f>
        <v>194545.54169576531</v>
      </c>
      <c r="L48" s="77">
        <f>K48-H48</f>
        <v>0</v>
      </c>
      <c r="M48" s="78">
        <f t="shared" si="7"/>
        <v>0</v>
      </c>
    </row>
    <row r="49" spans="1:13" ht="13.5" thickBot="1" x14ac:dyDescent="0.25">
      <c r="A49" s="41" t="str">
        <f t="shared" si="3"/>
        <v>STREET LIGHTING SERVICE CLASSIFICATION</v>
      </c>
      <c r="B49" s="41" t="s">
        <v>33</v>
      </c>
      <c r="C49" s="68"/>
      <c r="D49" s="111" t="s">
        <v>81</v>
      </c>
      <c r="E49" s="70"/>
      <c r="F49" s="116">
        <v>9.6699999999999994E-2</v>
      </c>
      <c r="G49" s="113">
        <f>IF(AND(E14*12&gt;=150000),E14*E16,E14)</f>
        <v>2011846.3463884727</v>
      </c>
      <c r="H49" s="110">
        <f>G49*F49</f>
        <v>194545.54169576531</v>
      </c>
      <c r="I49" s="117">
        <f>F49</f>
        <v>9.6699999999999994E-2</v>
      </c>
      <c r="J49" s="115">
        <f>IF(AND(E14*12&gt;=150000),E14*E17,E14)</f>
        <v>2011846.3463884727</v>
      </c>
      <c r="K49" s="76">
        <f>J49*I49</f>
        <v>194545.54169576531</v>
      </c>
      <c r="L49" s="77">
        <f>K49-H49</f>
        <v>0</v>
      </c>
      <c r="M49" s="78">
        <f t="shared" si="7"/>
        <v>0</v>
      </c>
    </row>
    <row r="50" spans="1:13" ht="13.5" thickBot="1" x14ac:dyDescent="0.25">
      <c r="A50" s="41" t="str">
        <f t="shared" si="3"/>
        <v>STREET LIGHTING SERVICE CLASSIFICATION</v>
      </c>
      <c r="C50" s="68"/>
      <c r="D50" s="118"/>
      <c r="E50" s="119"/>
      <c r="F50" s="120"/>
      <c r="G50" s="121"/>
      <c r="H50" s="122"/>
      <c r="I50" s="120"/>
      <c r="J50" s="123"/>
      <c r="K50" s="122"/>
      <c r="L50" s="124"/>
      <c r="M50" s="125"/>
    </row>
    <row r="51" spans="1:13" hidden="1" x14ac:dyDescent="0.2">
      <c r="A51" s="41" t="str">
        <f t="shared" si="3"/>
        <v>STREET LIGHTING SERVICE CLASSIFICATION</v>
      </c>
      <c r="B51" s="41" t="s">
        <v>32</v>
      </c>
      <c r="C51" s="68"/>
      <c r="D51" s="126" t="s">
        <v>82</v>
      </c>
      <c r="E51" s="111"/>
      <c r="F51" s="127"/>
      <c r="G51" s="128"/>
      <c r="H51" s="129">
        <f>SUM(H41:H47,H40)</f>
        <v>393744.46495254501</v>
      </c>
      <c r="I51" s="130"/>
      <c r="J51" s="130"/>
      <c r="K51" s="129">
        <f>SUM(K41:K47,K40)</f>
        <v>449071.96136835922</v>
      </c>
      <c r="L51" s="131">
        <f>K51-H51</f>
        <v>55327.49641581421</v>
      </c>
      <c r="M51" s="132">
        <f>IF((H51)=0,"",(L51/H51))</f>
        <v>0.14051625188555325</v>
      </c>
    </row>
    <row r="52" spans="1:13" hidden="1" x14ac:dyDescent="0.2">
      <c r="A52" s="41" t="str">
        <f t="shared" si="3"/>
        <v>STREET LIGHTING SERVICE CLASSIFICATION</v>
      </c>
      <c r="B52" s="41" t="s">
        <v>32</v>
      </c>
      <c r="C52" s="68"/>
      <c r="D52" s="133" t="s">
        <v>83</v>
      </c>
      <c r="E52" s="111"/>
      <c r="F52" s="127">
        <v>0.13</v>
      </c>
      <c r="G52" s="134"/>
      <c r="H52" s="135">
        <f>H51*F52</f>
        <v>51186.780443830852</v>
      </c>
      <c r="I52" s="136">
        <v>0.13</v>
      </c>
      <c r="J52" s="72"/>
      <c r="K52" s="135">
        <f>K51*I52</f>
        <v>58379.354977886702</v>
      </c>
      <c r="L52" s="77">
        <f>K52-H52</f>
        <v>7192.5745340558497</v>
      </c>
      <c r="M52" s="137">
        <f>IF((H52)=0,"",(L52/H52))</f>
        <v>0.14051625188555331</v>
      </c>
    </row>
    <row r="53" spans="1:13" ht="15" hidden="1" x14ac:dyDescent="0.25">
      <c r="A53" s="41" t="str">
        <f t="shared" si="3"/>
        <v>STREET LIGHTING SERVICE CLASSIFICATION</v>
      </c>
      <c r="B53" s="41" t="s">
        <v>32</v>
      </c>
      <c r="C53" s="68"/>
      <c r="D53" s="133" t="s">
        <v>84</v>
      </c>
      <c r="E53"/>
      <c r="F53" s="138">
        <v>0.17</v>
      </c>
      <c r="G53" s="134"/>
      <c r="H53" s="135">
        <f>IF(OR(ISNUMBER(SEARCH("[DGEN]", E12))=TRUE, ISNUMBER(SEARCH("STREET LIGHT", E12))=TRUE), 0, IF(AND(E14=0, E15=0),0, IF(AND(E15=0, E14*12&gt;250000), 0, IF(AND(E14=0, E15&gt;=50), 0, IF(E14*12&lt;=250000, F53*H51*-1, IF(E15&lt;50, F53*H51*-1, 0))))))</f>
        <v>0</v>
      </c>
      <c r="I53" s="138">
        <v>0.17</v>
      </c>
      <c r="J53" s="72"/>
      <c r="K53" s="135">
        <f>IF(OR(ISNUMBER(SEARCH("[DGEN]", E12))=TRUE, ISNUMBER(SEARCH("STREET LIGHT", E12))=TRUE), 0, IF(AND(E14=0, E15=0),0, IF(AND(E15=0, E14*12&gt;250000), 0, IF(AND(E14=0, E15&gt;=50), 0, IF(E14*12&lt;=250000, I53*K51*-1, IF(E15&lt;50, I53*K51*-1, 0))))))</f>
        <v>0</v>
      </c>
      <c r="L53" s="77">
        <f>K53-H53</f>
        <v>0</v>
      </c>
      <c r="M53" s="137"/>
    </row>
    <row r="54" spans="1:13" hidden="1" x14ac:dyDescent="0.2">
      <c r="A54" s="41" t="str">
        <f t="shared" si="3"/>
        <v>STREET LIGHTING SERVICE CLASSIFICATION</v>
      </c>
      <c r="B54" s="41" t="s">
        <v>85</v>
      </c>
      <c r="C54" s="68"/>
      <c r="D54" s="139" t="s">
        <v>86</v>
      </c>
      <c r="E54" s="139"/>
      <c r="F54" s="140"/>
      <c r="G54" s="141"/>
      <c r="H54" s="142">
        <f>H51+H52+H53</f>
        <v>444931.24539637589</v>
      </c>
      <c r="I54" s="143"/>
      <c r="J54" s="143"/>
      <c r="K54" s="144">
        <f>K51+K52+K53</f>
        <v>507451.31634624593</v>
      </c>
      <c r="L54" s="145">
        <f>K54-H54</f>
        <v>62520.070949870045</v>
      </c>
      <c r="M54" s="146">
        <f>IF((H54)=0,"",(L54/H54))</f>
        <v>0.14051625188555322</v>
      </c>
    </row>
    <row r="55" spans="1:13" ht="13.5" hidden="1" thickBot="1" x14ac:dyDescent="0.25">
      <c r="A55" s="41" t="str">
        <f t="shared" si="3"/>
        <v>STREET LIGHTING SERVICE CLASSIFICATION</v>
      </c>
      <c r="B55" s="41" t="s">
        <v>32</v>
      </c>
      <c r="C55" s="68"/>
      <c r="D55" s="118"/>
      <c r="E55" s="119"/>
      <c r="F55" s="120"/>
      <c r="G55" s="121"/>
      <c r="H55" s="122"/>
      <c r="I55" s="120"/>
      <c r="J55" s="123"/>
      <c r="K55" s="122"/>
      <c r="L55" s="124"/>
      <c r="M55" s="125"/>
    </row>
    <row r="56" spans="1:13" hidden="1" x14ac:dyDescent="0.2">
      <c r="A56" s="41" t="str">
        <f t="shared" si="3"/>
        <v>STREET LIGHTING SERVICE CLASSIFICATION</v>
      </c>
      <c r="B56" s="41" t="s">
        <v>79</v>
      </c>
      <c r="C56" s="68"/>
      <c r="D56" s="126" t="s">
        <v>87</v>
      </c>
      <c r="E56" s="111"/>
      <c r="F56" s="127"/>
      <c r="G56" s="128"/>
      <c r="H56" s="129">
        <f>SUM(H48,H41:H44,H40)</f>
        <v>380224.85750481451</v>
      </c>
      <c r="I56" s="130"/>
      <c r="J56" s="130"/>
      <c r="K56" s="129">
        <f>SUM(K48,K41:K44,K40)</f>
        <v>435552.35392062867</v>
      </c>
      <c r="L56" s="131">
        <f>K56-H56</f>
        <v>55327.496415814152</v>
      </c>
      <c r="M56" s="132">
        <f>IF((H56)=0,"",(L56/H56))</f>
        <v>0.14551257058492967</v>
      </c>
    </row>
    <row r="57" spans="1:13" hidden="1" x14ac:dyDescent="0.2">
      <c r="A57" s="41" t="str">
        <f t="shared" si="3"/>
        <v>STREET LIGHTING SERVICE CLASSIFICATION</v>
      </c>
      <c r="B57" s="41" t="s">
        <v>79</v>
      </c>
      <c r="C57" s="68"/>
      <c r="D57" s="133" t="s">
        <v>83</v>
      </c>
      <c r="E57" s="111"/>
      <c r="F57" s="127">
        <v>0.13</v>
      </c>
      <c r="G57" s="128"/>
      <c r="H57" s="135">
        <f>H56*F57</f>
        <v>49429.231475625886</v>
      </c>
      <c r="I57" s="127">
        <v>0.13</v>
      </c>
      <c r="J57" s="136"/>
      <c r="K57" s="135">
        <f>K56*I57</f>
        <v>56621.806009681728</v>
      </c>
      <c r="L57" s="77">
        <f>K57-H57</f>
        <v>7192.5745340558424</v>
      </c>
      <c r="M57" s="137">
        <f>IF((H57)=0,"",(L57/H57))</f>
        <v>0.14551257058492975</v>
      </c>
    </row>
    <row r="58" spans="1:13" ht="15" hidden="1" x14ac:dyDescent="0.25">
      <c r="A58" s="41" t="str">
        <f t="shared" si="3"/>
        <v>STREET LIGHTING SERVICE CLASSIFICATION</v>
      </c>
      <c r="B58" s="41" t="s">
        <v>79</v>
      </c>
      <c r="C58" s="68"/>
      <c r="D58" s="133" t="s">
        <v>84</v>
      </c>
      <c r="E58"/>
      <c r="F58" s="138">
        <v>0.17</v>
      </c>
      <c r="G58" s="128"/>
      <c r="H58" s="135">
        <f>IF(OR(ISNUMBER(SEARCH("[DGEN]", E12))=TRUE, ISNUMBER(SEARCH("STREET LIGHT", E12))=TRUE), 0, IF(AND(E14=0, E15=0),0, IF(AND(E15=0, E14*12&gt;250000), 0, IF(AND(E14=0, E15&gt;=50), 0, IF(E14*12&lt;=250000, F58*H56*-1, IF(E15&lt;50, F58*H56*-1, 0))))))</f>
        <v>0</v>
      </c>
      <c r="I58" s="138">
        <v>0.17</v>
      </c>
      <c r="J58" s="136"/>
      <c r="K58" s="135">
        <f>IF(OR(ISNUMBER(SEARCH("[DGEN]", E12))=TRUE, ISNUMBER(SEARCH("STREET LIGHT", E12))=TRUE), 0, IF(AND(E14=0, E15=0),0, IF(AND(E15=0, E14*12&gt;250000), 0, IF(AND(E14=0, E15&gt;=50), 0, IF(E14*12&lt;=250000, I58*K56*-1, IF(E15&lt;50, I58*K56*-1, 0))))))</f>
        <v>0</v>
      </c>
      <c r="L58" s="77"/>
      <c r="M58" s="137"/>
    </row>
    <row r="59" spans="1:13" hidden="1" x14ac:dyDescent="0.2">
      <c r="A59" s="41" t="str">
        <f t="shared" si="3"/>
        <v>STREET LIGHTING SERVICE CLASSIFICATION</v>
      </c>
      <c r="B59" s="41" t="s">
        <v>88</v>
      </c>
      <c r="C59" s="68"/>
      <c r="D59" s="139" t="s">
        <v>87</v>
      </c>
      <c r="E59" s="139"/>
      <c r="F59" s="147"/>
      <c r="G59" s="148"/>
      <c r="H59" s="142">
        <f>SUM(H56,H57)</f>
        <v>429654.0889804404</v>
      </c>
      <c r="I59" s="149"/>
      <c r="J59" s="149"/>
      <c r="K59" s="142">
        <f>SUM(K56,K57)</f>
        <v>492174.15993031039</v>
      </c>
      <c r="L59" s="150">
        <f>K59-H59</f>
        <v>62520.070949869987</v>
      </c>
      <c r="M59" s="151">
        <f>IF((H59)=0,"",(L59/H59))</f>
        <v>0.14551257058492967</v>
      </c>
    </row>
    <row r="60" spans="1:13" ht="13.5" hidden="1" thickBot="1" x14ac:dyDescent="0.25">
      <c r="A60" s="41" t="str">
        <f t="shared" si="3"/>
        <v>STREET LIGHTING SERVICE CLASSIFICATION</v>
      </c>
      <c r="B60" s="41" t="s">
        <v>79</v>
      </c>
      <c r="C60" s="68"/>
      <c r="D60" s="118"/>
      <c r="E60" s="119"/>
      <c r="F60" s="152"/>
      <c r="G60" s="153"/>
      <c r="H60" s="154"/>
      <c r="I60" s="152"/>
      <c r="J60" s="121"/>
      <c r="K60" s="154"/>
      <c r="L60" s="155"/>
      <c r="M60" s="125"/>
    </row>
    <row r="61" spans="1:13" x14ac:dyDescent="0.2">
      <c r="A61" s="41" t="str">
        <f t="shared" si="3"/>
        <v>STREET LIGHTING SERVICE CLASSIFICATION</v>
      </c>
      <c r="B61" s="41" t="s">
        <v>33</v>
      </c>
      <c r="C61" s="68"/>
      <c r="D61" s="126" t="s">
        <v>89</v>
      </c>
      <c r="E61" s="111"/>
      <c r="F61" s="127"/>
      <c r="G61" s="128"/>
      <c r="H61" s="129">
        <f>SUM(H49,H41:H44,H40)</f>
        <v>380224.85750481451</v>
      </c>
      <c r="I61" s="130"/>
      <c r="J61" s="130"/>
      <c r="K61" s="129">
        <f>SUM(K49,K41:K44,K40)</f>
        <v>435552.35392062867</v>
      </c>
      <c r="L61" s="131">
        <f>K61-H61</f>
        <v>55327.496415814152</v>
      </c>
      <c r="M61" s="132">
        <f>IF((H61)=0,"",(L61/H61))</f>
        <v>0.14551257058492967</v>
      </c>
    </row>
    <row r="62" spans="1:13" x14ac:dyDescent="0.2">
      <c r="A62" s="41" t="str">
        <f t="shared" si="3"/>
        <v>STREET LIGHTING SERVICE CLASSIFICATION</v>
      </c>
      <c r="B62" s="41" t="s">
        <v>33</v>
      </c>
      <c r="C62" s="68"/>
      <c r="D62" s="133" t="s">
        <v>83</v>
      </c>
      <c r="E62" s="111"/>
      <c r="F62" s="127">
        <v>0.13</v>
      </c>
      <c r="G62" s="128"/>
      <c r="H62" s="135">
        <f>H61*F62</f>
        <v>49429.231475625886</v>
      </c>
      <c r="I62" s="127">
        <v>0.13</v>
      </c>
      <c r="J62" s="136"/>
      <c r="K62" s="135">
        <f>K61*I62</f>
        <v>56621.806009681728</v>
      </c>
      <c r="L62" s="77">
        <f>K62-H62</f>
        <v>7192.5745340558424</v>
      </c>
      <c r="M62" s="137">
        <f>IF((H62)=0,"",(L62/H62))</f>
        <v>0.14551257058492975</v>
      </c>
    </row>
    <row r="63" spans="1:13" ht="15" x14ac:dyDescent="0.25">
      <c r="A63" s="41" t="str">
        <f t="shared" si="3"/>
        <v>STREET LIGHTING SERVICE CLASSIFICATION</v>
      </c>
      <c r="B63" s="41" t="s">
        <v>33</v>
      </c>
      <c r="C63" s="68"/>
      <c r="D63" s="133" t="s">
        <v>84</v>
      </c>
      <c r="E63"/>
      <c r="F63" s="138">
        <v>0.17</v>
      </c>
      <c r="G63" s="128"/>
      <c r="H63" s="135">
        <f>IF(OR(ISNUMBER(SEARCH("[DGEN]", E12))=TRUE, ISNUMBER(SEARCH("STREET LIGHT", E12))=TRUE), 0, IF(AND(E14=0, E15=0),0, IF(AND(E15=0, E14*12&gt;250000), 0, IF(AND(E14=0, E15&gt;=50), 0, IF(E14*12&lt;=250000, F63*H61*-1, IF(E15&lt;50, F63*H61*-1, 0))))))</f>
        <v>0</v>
      </c>
      <c r="I63" s="138">
        <v>0.17</v>
      </c>
      <c r="J63" s="136"/>
      <c r="K63" s="135">
        <f>IF(OR(ISNUMBER(SEARCH("[DGEN]", E12))=TRUE, ISNUMBER(SEARCH("STREET LIGHT", E12))=TRUE), 0, IF(AND(E14=0, E15=0),0, IF(AND(E15=0, E14*12&gt;250000), 0, IF(AND(E14=0, E15&gt;=50), 0, IF(E14*12&lt;=250000, I63*K61*-1, IF(E15&lt;50, I63*K61*-1, 0))))))</f>
        <v>0</v>
      </c>
      <c r="L63" s="77"/>
      <c r="M63" s="137"/>
    </row>
    <row r="64" spans="1:13" ht="13.5" thickBot="1" x14ac:dyDescent="0.25">
      <c r="A64" s="41" t="str">
        <f t="shared" si="3"/>
        <v>STREET LIGHTING SERVICE CLASSIFICATION</v>
      </c>
      <c r="B64" s="41" t="s">
        <v>90</v>
      </c>
      <c r="C64" s="68" t="e">
        <f>#REF!</f>
        <v>#REF!</v>
      </c>
      <c r="D64" s="139" t="s">
        <v>89</v>
      </c>
      <c r="E64" s="139"/>
      <c r="F64" s="147"/>
      <c r="G64" s="148"/>
      <c r="H64" s="142">
        <f>SUM(H61,H62)</f>
        <v>429654.0889804404</v>
      </c>
      <c r="I64" s="149"/>
      <c r="J64" s="149"/>
      <c r="K64" s="142">
        <f>SUM(K61,K62)</f>
        <v>492174.15993031039</v>
      </c>
      <c r="L64" s="150">
        <f>K64-H64</f>
        <v>62520.070949869987</v>
      </c>
      <c r="M64" s="151">
        <f>IF((H64)=0,"",(L64/H64))</f>
        <v>0.14551257058492967</v>
      </c>
    </row>
    <row r="65" spans="1:20" ht="13.5" thickBot="1" x14ac:dyDescent="0.25">
      <c r="A65" s="41" t="str">
        <f t="shared" si="3"/>
        <v>STREET LIGHTING SERVICE CLASSIFICATION</v>
      </c>
      <c r="B65" s="41" t="s">
        <v>33</v>
      </c>
      <c r="C65" s="68"/>
      <c r="D65" s="118"/>
      <c r="E65" s="119"/>
      <c r="F65" s="156"/>
      <c r="G65" s="153"/>
      <c r="H65" s="157"/>
      <c r="I65" s="156"/>
      <c r="J65" s="121"/>
      <c r="K65" s="157"/>
      <c r="L65" s="155"/>
      <c r="M65" s="158"/>
    </row>
    <row r="68" spans="1:20" x14ac:dyDescent="0.2">
      <c r="C68" s="41"/>
      <c r="D68" s="43" t="s">
        <v>35</v>
      </c>
      <c r="E68" s="44" t="s">
        <v>22</v>
      </c>
      <c r="F68" s="44"/>
      <c r="G68" s="44"/>
      <c r="H68" s="44"/>
      <c r="I68" s="44"/>
      <c r="J68" s="44"/>
      <c r="T68" s="41" t="s">
        <v>34</v>
      </c>
    </row>
    <row r="69" spans="1:20" x14ac:dyDescent="0.2">
      <c r="C69" s="41"/>
      <c r="D69" s="43" t="s">
        <v>36</v>
      </c>
      <c r="E69" s="45" t="s">
        <v>33</v>
      </c>
      <c r="F69" s="45"/>
      <c r="G69" s="45"/>
      <c r="H69" s="46"/>
      <c r="I69" s="46"/>
    </row>
    <row r="70" spans="1:20" ht="15.75" x14ac:dyDescent="0.2">
      <c r="C70" s="41"/>
      <c r="D70" s="43" t="s">
        <v>37</v>
      </c>
      <c r="E70" s="47">
        <v>1945504.6382250001</v>
      </c>
      <c r="F70" s="48" t="s">
        <v>15</v>
      </c>
      <c r="J70" s="49"/>
      <c r="K70" s="49"/>
      <c r="L70" s="49"/>
      <c r="M70" s="49"/>
      <c r="N70" s="49"/>
    </row>
    <row r="71" spans="1:20" ht="15.75" x14ac:dyDescent="0.25">
      <c r="C71" s="41"/>
      <c r="D71" s="43" t="s">
        <v>38</v>
      </c>
      <c r="E71" s="47">
        <v>5308.666666666667</v>
      </c>
      <c r="F71" s="50" t="s">
        <v>18</v>
      </c>
      <c r="G71" s="51"/>
      <c r="H71" s="52"/>
      <c r="I71" s="52"/>
      <c r="J71" s="52"/>
    </row>
    <row r="72" spans="1:20" x14ac:dyDescent="0.2">
      <c r="C72" s="41"/>
      <c r="D72" s="43" t="s">
        <v>39</v>
      </c>
      <c r="E72" s="53">
        <v>1.0341</v>
      </c>
    </row>
    <row r="73" spans="1:20" x14ac:dyDescent="0.2">
      <c r="C73" s="41"/>
      <c r="D73" s="43" t="s">
        <v>40</v>
      </c>
      <c r="E73" s="53">
        <v>1.0341</v>
      </c>
    </row>
    <row r="74" spans="1:20" x14ac:dyDescent="0.2">
      <c r="C74" s="41"/>
    </row>
    <row r="75" spans="1:20" x14ac:dyDescent="0.2">
      <c r="C75" s="41"/>
      <c r="E75" s="48"/>
      <c r="F75" s="54" t="s">
        <v>41</v>
      </c>
      <c r="G75" s="55"/>
      <c r="H75" s="56"/>
      <c r="I75" s="54" t="s">
        <v>42</v>
      </c>
      <c r="J75" s="55"/>
      <c r="K75" s="56"/>
      <c r="L75" s="54" t="s">
        <v>43</v>
      </c>
      <c r="M75" s="56"/>
    </row>
    <row r="76" spans="1:20" x14ac:dyDescent="0.2">
      <c r="C76" s="41"/>
      <c r="E76" s="57"/>
      <c r="F76" s="58" t="s">
        <v>44</v>
      </c>
      <c r="G76" s="58" t="s">
        <v>45</v>
      </c>
      <c r="H76" s="59" t="s">
        <v>46</v>
      </c>
      <c r="I76" s="58" t="s">
        <v>44</v>
      </c>
      <c r="J76" s="60" t="s">
        <v>45</v>
      </c>
      <c r="K76" s="59" t="s">
        <v>46</v>
      </c>
      <c r="L76" s="61" t="s">
        <v>47</v>
      </c>
      <c r="M76" s="62" t="s">
        <v>48</v>
      </c>
    </row>
    <row r="77" spans="1:20" x14ac:dyDescent="0.2">
      <c r="C77" s="41"/>
      <c r="E77" s="63"/>
      <c r="F77" s="64" t="s">
        <v>49</v>
      </c>
      <c r="G77" s="64"/>
      <c r="H77" s="65" t="s">
        <v>49</v>
      </c>
      <c r="I77" s="64" t="s">
        <v>49</v>
      </c>
      <c r="J77" s="65"/>
      <c r="K77" s="65" t="s">
        <v>49</v>
      </c>
      <c r="L77" s="66"/>
      <c r="M77" s="67"/>
    </row>
    <row r="78" spans="1:20" x14ac:dyDescent="0.2">
      <c r="A78" s="41" t="str">
        <f>$E68</f>
        <v>STREET LIGHTING SERVICE CLASSIFICATION</v>
      </c>
      <c r="C78" s="68"/>
      <c r="D78" s="69" t="s">
        <v>50</v>
      </c>
      <c r="E78" s="70"/>
      <c r="F78" s="71">
        <v>2.5099999999999998</v>
      </c>
      <c r="G78" s="72">
        <v>21254</v>
      </c>
      <c r="H78" s="73">
        <f>G78*F78</f>
        <v>53347.539999999994</v>
      </c>
      <c r="I78" s="74">
        <v>2.59</v>
      </c>
      <c r="J78" s="75">
        <v>21254</v>
      </c>
      <c r="K78" s="76">
        <f>J78*I78</f>
        <v>55047.86</v>
      </c>
      <c r="L78" s="77">
        <f t="shared" ref="L78:L99" si="8">K78-H78</f>
        <v>1700.320000000007</v>
      </c>
      <c r="M78" s="78">
        <f>IF(ISERROR(L78/H78), "", L78/H78)</f>
        <v>3.1872509960159501E-2</v>
      </c>
    </row>
    <row r="79" spans="1:20" x14ac:dyDescent="0.2">
      <c r="A79" s="41" t="str">
        <f>A78</f>
        <v>STREET LIGHTING SERVICE CLASSIFICATION</v>
      </c>
      <c r="C79" s="68"/>
      <c r="D79" s="69" t="s">
        <v>51</v>
      </c>
      <c r="E79" s="70"/>
      <c r="F79" s="79">
        <v>12.576599999999999</v>
      </c>
      <c r="G79" s="72">
        <f>IF($E71&gt;0, $E71, $E70)</f>
        <v>5308.666666666667</v>
      </c>
      <c r="H79" s="73">
        <f t="shared" ref="H79:H91" si="9">G79*F79</f>
        <v>66764.977199999994</v>
      </c>
      <c r="I79" s="80">
        <v>12.953900000000001</v>
      </c>
      <c r="J79" s="75">
        <f>IF($E71&gt;0, $E71, $E70)</f>
        <v>5308.666666666667</v>
      </c>
      <c r="K79" s="76">
        <f>J79*I79</f>
        <v>68767.93713333334</v>
      </c>
      <c r="L79" s="77">
        <f t="shared" si="8"/>
        <v>2002.9599333333463</v>
      </c>
      <c r="M79" s="78">
        <f t="shared" ref="M79:M89" si="10">IF(ISERROR(L79/H79), "", L79/H79)</f>
        <v>3.0000159025491982E-2</v>
      </c>
    </row>
    <row r="80" spans="1:20" hidden="1" x14ac:dyDescent="0.2">
      <c r="A80" s="41" t="str">
        <f t="shared" ref="A80:A121" si="11">A79</f>
        <v>STREET LIGHTING SERVICE CLASSIFICATION</v>
      </c>
      <c r="C80" s="68"/>
      <c r="D80" s="69" t="s">
        <v>52</v>
      </c>
      <c r="E80" s="70"/>
      <c r="F80" s="79"/>
      <c r="G80" s="72">
        <f>IF($E71&gt;0, $E71, $E70)</f>
        <v>5308.666666666667</v>
      </c>
      <c r="H80" s="73">
        <v>0</v>
      </c>
      <c r="I80" s="80"/>
      <c r="J80" s="75">
        <f>IF($E71&gt;0, $E71, $E70)</f>
        <v>5308.666666666667</v>
      </c>
      <c r="K80" s="76">
        <v>0</v>
      </c>
      <c r="L80" s="77"/>
      <c r="M80" s="78"/>
    </row>
    <row r="81" spans="1:14" hidden="1" x14ac:dyDescent="0.2">
      <c r="A81" s="41" t="str">
        <f t="shared" si="11"/>
        <v>STREET LIGHTING SERVICE CLASSIFICATION</v>
      </c>
      <c r="C81" s="68"/>
      <c r="D81" s="69" t="s">
        <v>53</v>
      </c>
      <c r="E81" s="70"/>
      <c r="F81" s="79"/>
      <c r="G81" s="72">
        <f>IF($E71&gt;0, $E71, $E70)</f>
        <v>5308.666666666667</v>
      </c>
      <c r="H81" s="73">
        <v>0</v>
      </c>
      <c r="I81" s="80"/>
      <c r="J81" s="81">
        <f>IF($E71&gt;0, $E71, $E70)</f>
        <v>5308.666666666667</v>
      </c>
      <c r="K81" s="76">
        <v>0</v>
      </c>
      <c r="L81" s="77">
        <f>K81-H81</f>
        <v>0</v>
      </c>
      <c r="M81" s="78" t="str">
        <f>IF(ISERROR(L81/H81), "", L81/H81)</f>
        <v/>
      </c>
    </row>
    <row r="82" spans="1:14" x14ac:dyDescent="0.2">
      <c r="A82" s="41" t="str">
        <f t="shared" si="11"/>
        <v>STREET LIGHTING SERVICE CLASSIFICATION</v>
      </c>
      <c r="C82" s="68"/>
      <c r="D82" s="69" t="s">
        <v>54</v>
      </c>
      <c r="E82" s="70"/>
      <c r="F82" s="71">
        <v>0.04</v>
      </c>
      <c r="G82" s="72">
        <v>21254</v>
      </c>
      <c r="H82" s="73">
        <f t="shared" ref="H82:H94" si="12">G82*F82</f>
        <v>850.16</v>
      </c>
      <c r="I82" s="74">
        <v>0.04</v>
      </c>
      <c r="J82" s="75">
        <v>21254</v>
      </c>
      <c r="K82" s="76">
        <f t="shared" ref="K82:K89" si="13">J82*I82</f>
        <v>850.16</v>
      </c>
      <c r="L82" s="77">
        <f t="shared" ref="L82:L103" si="14">K82-H82</f>
        <v>0</v>
      </c>
      <c r="M82" s="78">
        <f t="shared" ref="M82:M92" si="15">IF(ISERROR(L82/H82), "", L82/H82)</f>
        <v>0</v>
      </c>
    </row>
    <row r="83" spans="1:14" x14ac:dyDescent="0.2">
      <c r="A83" s="41" t="str">
        <f t="shared" si="11"/>
        <v>STREET LIGHTING SERVICE CLASSIFICATION</v>
      </c>
      <c r="C83" s="68"/>
      <c r="D83" s="69" t="s">
        <v>55</v>
      </c>
      <c r="E83" s="70"/>
      <c r="F83" s="79">
        <v>5.1966999999999999</v>
      </c>
      <c r="G83" s="72">
        <f>IF($E71&gt;0, $E71, $E70)</f>
        <v>5308.666666666667</v>
      </c>
      <c r="H83" s="73">
        <f t="shared" si="12"/>
        <v>27587.548066666666</v>
      </c>
      <c r="I83" s="80">
        <v>7.1429999999999998</v>
      </c>
      <c r="J83" s="75">
        <f>IF($E71&gt;0, $E71, $E70)</f>
        <v>5308.666666666667</v>
      </c>
      <c r="K83" s="76">
        <f t="shared" si="13"/>
        <v>37919.806000000004</v>
      </c>
      <c r="L83" s="77">
        <f t="shared" si="14"/>
        <v>10332.257933333338</v>
      </c>
      <c r="M83" s="78">
        <f t="shared" si="15"/>
        <v>0.37452614158985525</v>
      </c>
    </row>
    <row r="84" spans="1:14" x14ac:dyDescent="0.2">
      <c r="A84" s="41" t="str">
        <f t="shared" si="11"/>
        <v>STREET LIGHTING SERVICE CLASSIFICATION</v>
      </c>
      <c r="B84" s="41" t="s">
        <v>56</v>
      </c>
      <c r="C84" s="68" t="e">
        <f>#REF!</f>
        <v>#REF!</v>
      </c>
      <c r="D84" s="82" t="s">
        <v>57</v>
      </c>
      <c r="E84" s="83"/>
      <c r="F84" s="84"/>
      <c r="G84" s="85"/>
      <c r="H84" s="86">
        <f>SUM(H78:H83)</f>
        <v>148550.22526666665</v>
      </c>
      <c r="I84" s="87"/>
      <c r="J84" s="88"/>
      <c r="K84" s="86">
        <f>SUM(K78:K83)</f>
        <v>162585.76313333336</v>
      </c>
      <c r="L84" s="89">
        <f t="shared" si="14"/>
        <v>14035.537866666709</v>
      </c>
      <c r="M84" s="90">
        <f>IF((H84)=0,"",(L84/H84))</f>
        <v>9.448345057350889E-2</v>
      </c>
    </row>
    <row r="85" spans="1:14" x14ac:dyDescent="0.2">
      <c r="A85" s="41" t="str">
        <f t="shared" si="11"/>
        <v>STREET LIGHTING SERVICE CLASSIFICATION</v>
      </c>
      <c r="C85" s="68"/>
      <c r="D85" s="91" t="s">
        <v>58</v>
      </c>
      <c r="E85" s="70"/>
      <c r="F85" s="79">
        <f>IF((E70*12&gt;=150000), 0, IF(E69="RPP",(F101*0.64+F102*0.18+F103*0.18),IF(E69="Non-RPP (Retailer)",F104,F105)))</f>
        <v>0</v>
      </c>
      <c r="G85" s="92">
        <f>IF(F85=0, 0, $E70*E72-E70)</f>
        <v>0</v>
      </c>
      <c r="H85" s="73">
        <f>G85*F85</f>
        <v>0</v>
      </c>
      <c r="I85" s="80">
        <f>IF((E70*12&gt;=150000), 0, IF(E69="RPP",(I101*0.64+I102*0.18+I103*0.18),IF(E69="Non-RPP (Retailer)",I104,I105)))</f>
        <v>0</v>
      </c>
      <c r="J85" s="93">
        <f>IF(I85=0, 0, E70*E73-E70)</f>
        <v>0</v>
      </c>
      <c r="K85" s="76">
        <f>J85*I85</f>
        <v>0</v>
      </c>
      <c r="L85" s="77">
        <f>K85-H85</f>
        <v>0</v>
      </c>
      <c r="M85" s="78" t="str">
        <f>IF(ISERROR(L85/H85), "", L85/H85)</f>
        <v/>
      </c>
    </row>
    <row r="86" spans="1:14" ht="25.5" x14ac:dyDescent="0.2">
      <c r="A86" s="41" t="str">
        <f t="shared" si="11"/>
        <v>STREET LIGHTING SERVICE CLASSIFICATION</v>
      </c>
      <c r="C86" s="68"/>
      <c r="D86" s="91" t="s">
        <v>59</v>
      </c>
      <c r="E86" s="70"/>
      <c r="F86" s="79">
        <v>-0.3256</v>
      </c>
      <c r="G86" s="94">
        <f>IF($E71&gt;0, $E71, $E70)</f>
        <v>5308.666666666667</v>
      </c>
      <c r="H86" s="73">
        <f t="shared" ref="H86:H98" si="16">G86*F86</f>
        <v>-1728.5018666666667</v>
      </c>
      <c r="I86" s="80">
        <v>1.2186999999999999</v>
      </c>
      <c r="J86" s="95">
        <f>IF($E71&gt;0, $E71, $E70)</f>
        <v>5308.666666666667</v>
      </c>
      <c r="K86" s="76">
        <f t="shared" ref="K86:K93" si="17">J86*I86</f>
        <v>6469.6720666666661</v>
      </c>
      <c r="L86" s="77">
        <f t="shared" ref="L86:L107" si="18">K86-H86</f>
        <v>8198.1739333333335</v>
      </c>
      <c r="M86" s="78">
        <f t="shared" ref="M86:M96" si="19">IF(ISERROR(L86/H86), "", L86/H86)</f>
        <v>-4.742936117936118</v>
      </c>
    </row>
    <row r="87" spans="1:14" x14ac:dyDescent="0.2">
      <c r="A87" s="41" t="str">
        <f t="shared" si="11"/>
        <v>STREET LIGHTING SERVICE CLASSIFICATION</v>
      </c>
      <c r="C87" s="68"/>
      <c r="D87" s="91" t="s">
        <v>60</v>
      </c>
      <c r="E87" s="70"/>
      <c r="F87" s="79">
        <v>0</v>
      </c>
      <c r="G87" s="94">
        <f>IF($E71&gt;0, $E71, $E70)</f>
        <v>5308.666666666667</v>
      </c>
      <c r="H87" s="73">
        <f>G87*F87</f>
        <v>0</v>
      </c>
      <c r="I87" s="80">
        <v>-3.9100000000000003E-2</v>
      </c>
      <c r="J87" s="95">
        <f>IF($E71&gt;0, $E71, $E70)</f>
        <v>5308.666666666667</v>
      </c>
      <c r="K87" s="76">
        <f>J87*I87</f>
        <v>-207.56886666666671</v>
      </c>
      <c r="L87" s="77">
        <f t="shared" si="18"/>
        <v>-207.56886666666671</v>
      </c>
      <c r="M87" s="78" t="str">
        <f t="shared" si="19"/>
        <v/>
      </c>
    </row>
    <row r="88" spans="1:14" x14ac:dyDescent="0.2">
      <c r="A88" s="41" t="str">
        <f t="shared" si="11"/>
        <v>STREET LIGHTING SERVICE CLASSIFICATION</v>
      </c>
      <c r="C88" s="68"/>
      <c r="D88" s="91" t="s">
        <v>61</v>
      </c>
      <c r="E88" s="70"/>
      <c r="F88" s="79">
        <v>2.9999999999999997E-4</v>
      </c>
      <c r="G88" s="94">
        <f>E70</f>
        <v>1945504.6382250001</v>
      </c>
      <c r="H88" s="73">
        <f>G88*F88</f>
        <v>583.65139146749993</v>
      </c>
      <c r="I88" s="80">
        <v>-2.5999999999999999E-3</v>
      </c>
      <c r="J88" s="95">
        <f>E70</f>
        <v>1945504.6382250001</v>
      </c>
      <c r="K88" s="76">
        <f t="shared" ref="K88:K95" si="20">J88*I88</f>
        <v>-5058.3120593849999</v>
      </c>
      <c r="L88" s="77">
        <f t="shared" si="18"/>
        <v>-5641.9634508524996</v>
      </c>
      <c r="M88" s="78">
        <f t="shared" si="19"/>
        <v>-9.6666666666666679</v>
      </c>
    </row>
    <row r="89" spans="1:14" x14ac:dyDescent="0.2">
      <c r="A89" s="41" t="str">
        <f t="shared" si="11"/>
        <v>STREET LIGHTING SERVICE CLASSIFICATION</v>
      </c>
      <c r="C89" s="68"/>
      <c r="D89" s="69" t="s">
        <v>62</v>
      </c>
      <c r="E89" s="70"/>
      <c r="F89" s="79">
        <v>0</v>
      </c>
      <c r="G89" s="94">
        <f>IF($E71&gt;0, $E71, $E70)</f>
        <v>5308.666666666667</v>
      </c>
      <c r="H89" s="73">
        <f t="shared" ref="H89:H101" si="21">G89*F89</f>
        <v>0</v>
      </c>
      <c r="I89" s="80"/>
      <c r="J89" s="95">
        <f>IF($E71&gt;0, $E71, $E70)</f>
        <v>5308.666666666667</v>
      </c>
      <c r="K89" s="76">
        <f t="shared" si="20"/>
        <v>0</v>
      </c>
      <c r="L89" s="77">
        <f t="shared" si="18"/>
        <v>0</v>
      </c>
      <c r="M89" s="78" t="str">
        <f t="shared" si="19"/>
        <v/>
      </c>
    </row>
    <row r="90" spans="1:14" ht="25.5" x14ac:dyDescent="0.2">
      <c r="A90" s="41" t="str">
        <f t="shared" si="11"/>
        <v>STREET LIGHTING SERVICE CLASSIFICATION</v>
      </c>
      <c r="C90" s="68"/>
      <c r="D90" s="91" t="s">
        <v>63</v>
      </c>
      <c r="E90" s="70"/>
      <c r="F90" s="96">
        <v>0</v>
      </c>
      <c r="G90" s="72">
        <v>21254</v>
      </c>
      <c r="H90" s="73">
        <f>G90*F90</f>
        <v>0</v>
      </c>
      <c r="I90" s="97">
        <v>0</v>
      </c>
      <c r="J90" s="81">
        <v>21254</v>
      </c>
      <c r="K90" s="76">
        <f>J90*I90</f>
        <v>0</v>
      </c>
      <c r="L90" s="77">
        <f t="shared" si="18"/>
        <v>0</v>
      </c>
      <c r="M90" s="78" t="str">
        <f>IF(ISERROR(L90/H90), "", L90/H90)</f>
        <v/>
      </c>
    </row>
    <row r="91" spans="1:14" x14ac:dyDescent="0.2">
      <c r="A91" s="41" t="str">
        <f t="shared" si="11"/>
        <v>STREET LIGHTING SERVICE CLASSIFICATION</v>
      </c>
      <c r="C91" s="68"/>
      <c r="D91" s="69" t="s">
        <v>64</v>
      </c>
      <c r="E91" s="70"/>
      <c r="F91" s="71">
        <v>0</v>
      </c>
      <c r="G91" s="72">
        <v>21254</v>
      </c>
      <c r="H91" s="73">
        <f t="shared" ref="H91:H103" si="22">G91*F91</f>
        <v>0</v>
      </c>
      <c r="I91" s="74">
        <v>0</v>
      </c>
      <c r="J91" s="81">
        <v>21254</v>
      </c>
      <c r="K91" s="76">
        <f>J91*I91</f>
        <v>0</v>
      </c>
      <c r="L91" s="77">
        <f>K91-H91</f>
        <v>0</v>
      </c>
      <c r="M91" s="78" t="str">
        <f>IF(ISERROR(L91/H91), "", L91/H91)</f>
        <v/>
      </c>
    </row>
    <row r="92" spans="1:14" x14ac:dyDescent="0.2">
      <c r="A92" s="41" t="str">
        <f t="shared" si="11"/>
        <v>STREET LIGHTING SERVICE CLASSIFICATION</v>
      </c>
      <c r="C92" s="68"/>
      <c r="D92" s="69" t="s">
        <v>65</v>
      </c>
      <c r="E92" s="70"/>
      <c r="F92" s="79">
        <v>0</v>
      </c>
      <c r="G92" s="94">
        <f>IF($E71&gt;0, $E71, $E70)</f>
        <v>5308.666666666667</v>
      </c>
      <c r="H92" s="73">
        <f>G92*F92</f>
        <v>0</v>
      </c>
      <c r="I92" s="80">
        <v>0</v>
      </c>
      <c r="J92" s="95">
        <f>IF($E71&gt;0, $E71, $E70)</f>
        <v>5308.666666666667</v>
      </c>
      <c r="K92" s="76">
        <f>J92*I92</f>
        <v>0</v>
      </c>
      <c r="L92" s="77">
        <f t="shared" ref="L92:L113" si="23">K92-H92</f>
        <v>0</v>
      </c>
      <c r="M92" s="78" t="str">
        <f>IF(ISERROR(L92/H92), "", L92/H92)</f>
        <v/>
      </c>
    </row>
    <row r="93" spans="1:14" ht="25.5" x14ac:dyDescent="0.2">
      <c r="A93" s="41" t="str">
        <f t="shared" si="11"/>
        <v>STREET LIGHTING SERVICE CLASSIFICATION</v>
      </c>
      <c r="B93" s="41" t="s">
        <v>66</v>
      </c>
      <c r="C93" s="68" t="e">
        <f>#REF!</f>
        <v>#REF!</v>
      </c>
      <c r="D93" s="98" t="s">
        <v>67</v>
      </c>
      <c r="E93" s="99"/>
      <c r="F93" s="100"/>
      <c r="G93" s="101"/>
      <c r="H93" s="102">
        <f>SUM(H84:H92)</f>
        <v>147405.37479146748</v>
      </c>
      <c r="I93" s="103"/>
      <c r="J93" s="104"/>
      <c r="K93" s="102">
        <f>SUM(K84:K92)</f>
        <v>163789.55427394834</v>
      </c>
      <c r="L93" s="89">
        <f t="shared" si="23"/>
        <v>16384.17948248086</v>
      </c>
      <c r="M93" s="90">
        <f>IF((H93)=0,"",(L93/H93))</f>
        <v>0.11115048895373966</v>
      </c>
    </row>
    <row r="94" spans="1:14" x14ac:dyDescent="0.2">
      <c r="A94" s="41" t="str">
        <f t="shared" si="11"/>
        <v>STREET LIGHTING SERVICE CLASSIFICATION</v>
      </c>
      <c r="C94" s="68"/>
      <c r="D94" s="105" t="s">
        <v>68</v>
      </c>
      <c r="E94" s="70"/>
      <c r="F94" s="79">
        <v>2.8512</v>
      </c>
      <c r="G94" s="92">
        <f>IF($E71&gt;0, $E71, $E70*$E72)</f>
        <v>5308.666666666667</v>
      </c>
      <c r="H94" s="73">
        <f>G94*F94</f>
        <v>15136.070400000001</v>
      </c>
      <c r="I94" s="106">
        <v>3.1486000000000001</v>
      </c>
      <c r="J94" s="93">
        <f>IF($E71&gt;0, $E71, $E70*$E73)</f>
        <v>5308.666666666667</v>
      </c>
      <c r="K94" s="76">
        <f>J94*I94</f>
        <v>16714.867866666667</v>
      </c>
      <c r="L94" s="77">
        <f t="shared" si="23"/>
        <v>1578.7974666666669</v>
      </c>
      <c r="M94" s="78">
        <f>IF(ISERROR(L94/H94), "", L94/H94)</f>
        <v>0.10430695847362514</v>
      </c>
      <c r="N94" s="107" t="str">
        <f>IF(ISERROR(ABS(M94)), "", IF(ABS(M94)&gt;=4%, "In the manager's summary, discuss the reasoning for the change in RTSR rates", ""))</f>
        <v>In the manager's summary, discuss the reasoning for the change in RTSR rates</v>
      </c>
    </row>
    <row r="95" spans="1:14" ht="25.5" x14ac:dyDescent="0.2">
      <c r="A95" s="41" t="str">
        <f t="shared" si="11"/>
        <v>STREET LIGHTING SERVICE CLASSIFICATION</v>
      </c>
      <c r="C95" s="68"/>
      <c r="D95" s="108" t="s">
        <v>69</v>
      </c>
      <c r="E95" s="70"/>
      <c r="F95" s="79">
        <v>1.8795999999999999</v>
      </c>
      <c r="G95" s="92">
        <f>IF($E71&gt;0, $E71, $E70*$E72)</f>
        <v>5308.666666666667</v>
      </c>
      <c r="H95" s="73">
        <f>G95*F95</f>
        <v>9978.1698666666671</v>
      </c>
      <c r="I95" s="106">
        <v>1.9948999999999999</v>
      </c>
      <c r="J95" s="93">
        <f>IF($E71&gt;0, $E71, $E70*$E73)</f>
        <v>5308.666666666667</v>
      </c>
      <c r="K95" s="76">
        <f>J95*I95</f>
        <v>10590.259133333333</v>
      </c>
      <c r="L95" s="77">
        <f t="shared" si="23"/>
        <v>612.08926666666594</v>
      </c>
      <c r="M95" s="78">
        <f>IF(ISERROR(L95/H95), "", L95/H95)</f>
        <v>6.1342838901893945E-2</v>
      </c>
      <c r="N95" s="107" t="str">
        <f>IF(ISERROR(ABS(M95)), "", IF(ABS(M95)&gt;=4%, "In the manager's summary, discuss the reasoning for the change in RTSR rates", ""))</f>
        <v>In the manager's summary, discuss the reasoning for the change in RTSR rates</v>
      </c>
    </row>
    <row r="96" spans="1:14" ht="25.5" x14ac:dyDescent="0.2">
      <c r="A96" s="41" t="str">
        <f t="shared" si="11"/>
        <v>STREET LIGHTING SERVICE CLASSIFICATION</v>
      </c>
      <c r="B96" s="41" t="s">
        <v>70</v>
      </c>
      <c r="C96" s="68" t="e">
        <f>#REF!</f>
        <v>#REF!</v>
      </c>
      <c r="D96" s="98" t="s">
        <v>71</v>
      </c>
      <c r="E96" s="83"/>
      <c r="F96" s="100"/>
      <c r="G96" s="101"/>
      <c r="H96" s="102">
        <f>SUM(H93:H95)</f>
        <v>172519.61505813414</v>
      </c>
      <c r="I96" s="103"/>
      <c r="J96" s="88"/>
      <c r="K96" s="102">
        <f>SUM(K93:K95)</f>
        <v>191094.68127394834</v>
      </c>
      <c r="L96" s="89">
        <f t="shared" si="23"/>
        <v>18575.066215814208</v>
      </c>
      <c r="M96" s="90">
        <f>IF((H96)=0,"",(L96/H96))</f>
        <v>0.10766930015207225</v>
      </c>
    </row>
    <row r="97" spans="1:13" ht="25.5" x14ac:dyDescent="0.2">
      <c r="A97" s="41" t="str">
        <f t="shared" si="11"/>
        <v>STREET LIGHTING SERVICE CLASSIFICATION</v>
      </c>
      <c r="C97" s="68"/>
      <c r="D97" s="109" t="s">
        <v>72</v>
      </c>
      <c r="E97" s="70"/>
      <c r="F97" s="79">
        <v>3.4000000000000002E-3</v>
      </c>
      <c r="G97" s="92">
        <f>E70*E72</f>
        <v>2011846.3463884727</v>
      </c>
      <c r="H97" s="110">
        <f t="shared" ref="H97:H103" si="24">G97*F97</f>
        <v>6840.277577720808</v>
      </c>
      <c r="I97" s="80">
        <v>3.4000000000000002E-3</v>
      </c>
      <c r="J97" s="93">
        <f>E70*E73</f>
        <v>2011846.3463884727</v>
      </c>
      <c r="K97" s="76">
        <f t="shared" ref="K97:K103" si="25">J97*I97</f>
        <v>6840.277577720808</v>
      </c>
      <c r="L97" s="77">
        <f t="shared" si="23"/>
        <v>0</v>
      </c>
      <c r="M97" s="78">
        <f t="shared" ref="M97:M105" si="26">IF(ISERROR(L97/H97), "", L97/H97)</f>
        <v>0</v>
      </c>
    </row>
    <row r="98" spans="1:13" ht="25.5" x14ac:dyDescent="0.2">
      <c r="A98" s="41" t="str">
        <f t="shared" si="11"/>
        <v>STREET LIGHTING SERVICE CLASSIFICATION</v>
      </c>
      <c r="C98" s="68"/>
      <c r="D98" s="109" t="s">
        <v>73</v>
      </c>
      <c r="E98" s="70"/>
      <c r="F98" s="79">
        <v>5.0000000000000001E-4</v>
      </c>
      <c r="G98" s="92">
        <f>E70*E72</f>
        <v>2011846.3463884727</v>
      </c>
      <c r="H98" s="110">
        <f t="shared" si="24"/>
        <v>1005.9231731942364</v>
      </c>
      <c r="I98" s="80">
        <v>5.0000000000000001E-4</v>
      </c>
      <c r="J98" s="93">
        <f>E70*E73</f>
        <v>2011846.3463884727</v>
      </c>
      <c r="K98" s="76">
        <f t="shared" si="25"/>
        <v>1005.9231731942364</v>
      </c>
      <c r="L98" s="77">
        <f t="shared" si="23"/>
        <v>0</v>
      </c>
      <c r="M98" s="78">
        <f t="shared" si="26"/>
        <v>0</v>
      </c>
    </row>
    <row r="99" spans="1:13" x14ac:dyDescent="0.2">
      <c r="A99" s="41" t="str">
        <f t="shared" si="11"/>
        <v>STREET LIGHTING SERVICE CLASSIFICATION</v>
      </c>
      <c r="C99" s="68"/>
      <c r="D99" s="111" t="s">
        <v>74</v>
      </c>
      <c r="E99" s="70"/>
      <c r="F99" s="96">
        <v>0.25</v>
      </c>
      <c r="G99" s="72">
        <v>21254</v>
      </c>
      <c r="H99" s="110">
        <f t="shared" si="24"/>
        <v>5313.5</v>
      </c>
      <c r="I99" s="97">
        <v>0.25</v>
      </c>
      <c r="J99" s="75">
        <v>21254</v>
      </c>
      <c r="K99" s="76">
        <f t="shared" si="25"/>
        <v>5313.5</v>
      </c>
      <c r="L99" s="77">
        <f t="shared" si="23"/>
        <v>0</v>
      </c>
      <c r="M99" s="78">
        <f t="shared" si="26"/>
        <v>0</v>
      </c>
    </row>
    <row r="100" spans="1:13" ht="25.5" hidden="1" x14ac:dyDescent="0.2">
      <c r="A100" s="41" t="str">
        <f t="shared" si="11"/>
        <v>STREET LIGHTING SERVICE CLASSIFICATION</v>
      </c>
      <c r="C100" s="68"/>
      <c r="D100" s="109" t="s">
        <v>75</v>
      </c>
      <c r="E100" s="70"/>
      <c r="F100" s="79"/>
      <c r="G100" s="92"/>
      <c r="H100" s="110"/>
      <c r="I100" s="80"/>
      <c r="J100" s="93"/>
      <c r="K100" s="76"/>
      <c r="L100" s="77"/>
      <c r="M100" s="78"/>
    </row>
    <row r="101" spans="1:13" hidden="1" x14ac:dyDescent="0.2">
      <c r="A101" s="41" t="str">
        <f t="shared" si="11"/>
        <v>STREET LIGHTING SERVICE CLASSIFICATION</v>
      </c>
      <c r="B101" s="41" t="s">
        <v>32</v>
      </c>
      <c r="C101" s="68"/>
      <c r="D101" s="111" t="s">
        <v>76</v>
      </c>
      <c r="E101" s="70"/>
      <c r="F101" s="112">
        <v>8.2000000000000003E-2</v>
      </c>
      <c r="G101" s="113">
        <f>IF(AND(E70*12&gt;=150000),0.64*E70*E72,0.64*E70)</f>
        <v>1287581.6616886226</v>
      </c>
      <c r="H101" s="110">
        <f t="shared" ref="H101:H107" si="27">G101*F101</f>
        <v>105581.69625846705</v>
      </c>
      <c r="I101" s="114">
        <v>8.2000000000000003E-2</v>
      </c>
      <c r="J101" s="115">
        <f>IF(AND(E70*12&gt;=150000),0.64*E70*E73,0.64*E70)</f>
        <v>1287581.6616886226</v>
      </c>
      <c r="K101" s="76">
        <f t="shared" ref="K101:K107" si="28">J101*I101</f>
        <v>105581.69625846705</v>
      </c>
      <c r="L101" s="77">
        <f>K101-H101</f>
        <v>0</v>
      </c>
      <c r="M101" s="78">
        <f t="shared" ref="M101:M109" si="29">IF(ISERROR(L101/H101), "", L101/H101)</f>
        <v>0</v>
      </c>
    </row>
    <row r="102" spans="1:13" hidden="1" x14ac:dyDescent="0.2">
      <c r="A102" s="41" t="str">
        <f t="shared" si="11"/>
        <v>STREET LIGHTING SERVICE CLASSIFICATION</v>
      </c>
      <c r="B102" s="41" t="s">
        <v>32</v>
      </c>
      <c r="C102" s="68"/>
      <c r="D102" s="111" t="s">
        <v>77</v>
      </c>
      <c r="E102" s="70"/>
      <c r="F102" s="112">
        <v>0.113</v>
      </c>
      <c r="G102" s="113">
        <f>IF(AND(E70*12&gt;=150000),0.18*E70*E72,0.18*E70)</f>
        <v>362132.34234992502</v>
      </c>
      <c r="H102" s="110">
        <f t="shared" si="27"/>
        <v>40920.954685541532</v>
      </c>
      <c r="I102" s="114">
        <v>0.113</v>
      </c>
      <c r="J102" s="115">
        <f>IF(AND(E70*12&gt;=150000),0.18*E70*E73,0.18*E70)</f>
        <v>362132.34234992502</v>
      </c>
      <c r="K102" s="76">
        <f t="shared" si="28"/>
        <v>40920.954685541532</v>
      </c>
      <c r="L102" s="77">
        <f>K102-H102</f>
        <v>0</v>
      </c>
      <c r="M102" s="78">
        <f t="shared" si="29"/>
        <v>0</v>
      </c>
    </row>
    <row r="103" spans="1:13" hidden="1" x14ac:dyDescent="0.2">
      <c r="A103" s="41" t="str">
        <f t="shared" si="11"/>
        <v>STREET LIGHTING SERVICE CLASSIFICATION</v>
      </c>
      <c r="B103" s="41" t="s">
        <v>32</v>
      </c>
      <c r="C103" s="68"/>
      <c r="D103" s="41" t="s">
        <v>78</v>
      </c>
      <c r="E103" s="70"/>
      <c r="F103" s="112">
        <v>0.17</v>
      </c>
      <c r="G103" s="113">
        <f>IF(AND(E70*12&gt;=150000),0.18*E70*E72,0.18*E70)</f>
        <v>362132.34234992502</v>
      </c>
      <c r="H103" s="110">
        <f t="shared" si="27"/>
        <v>61562.498199487258</v>
      </c>
      <c r="I103" s="114">
        <v>0.17</v>
      </c>
      <c r="J103" s="115">
        <f>IF(AND(E70*12&gt;=150000),0.18*E70*E73,0.18*E70)</f>
        <v>362132.34234992502</v>
      </c>
      <c r="K103" s="76">
        <f t="shared" si="28"/>
        <v>61562.498199487258</v>
      </c>
      <c r="L103" s="77">
        <f>K103-H103</f>
        <v>0</v>
      </c>
      <c r="M103" s="78">
        <f t="shared" si="29"/>
        <v>0</v>
      </c>
    </row>
    <row r="104" spans="1:13" hidden="1" x14ac:dyDescent="0.2">
      <c r="A104" s="41" t="str">
        <f t="shared" si="11"/>
        <v>STREET LIGHTING SERVICE CLASSIFICATION</v>
      </c>
      <c r="B104" s="41" t="s">
        <v>79</v>
      </c>
      <c r="C104" s="68"/>
      <c r="D104" s="111" t="s">
        <v>80</v>
      </c>
      <c r="E104" s="70"/>
      <c r="F104" s="116">
        <v>9.6699999999999994E-2</v>
      </c>
      <c r="G104" s="113">
        <f>IF(AND(E70*12&gt;=150000),E70*E72,E70)</f>
        <v>2011846.3463884727</v>
      </c>
      <c r="H104" s="110">
        <f>G104*F104</f>
        <v>194545.54169576531</v>
      </c>
      <c r="I104" s="117">
        <f>F104</f>
        <v>9.6699999999999994E-2</v>
      </c>
      <c r="J104" s="115">
        <f>IF(AND(E70*12&gt;=150000),E70*E73,E70)</f>
        <v>2011846.3463884727</v>
      </c>
      <c r="K104" s="76">
        <f>J104*I104</f>
        <v>194545.54169576531</v>
      </c>
      <c r="L104" s="77">
        <f>K104-H104</f>
        <v>0</v>
      </c>
      <c r="M104" s="78">
        <f t="shared" si="29"/>
        <v>0</v>
      </c>
    </row>
    <row r="105" spans="1:13" ht="13.5" thickBot="1" x14ac:dyDescent="0.25">
      <c r="A105" s="41" t="str">
        <f t="shared" si="11"/>
        <v>STREET LIGHTING SERVICE CLASSIFICATION</v>
      </c>
      <c r="B105" s="41" t="s">
        <v>33</v>
      </c>
      <c r="C105" s="68"/>
      <c r="D105" s="111" t="s">
        <v>81</v>
      </c>
      <c r="E105" s="70"/>
      <c r="F105" s="116">
        <v>9.6699999999999994E-2</v>
      </c>
      <c r="G105" s="113">
        <f>IF(AND(E70*12&gt;=150000),E70*E72,E70)</f>
        <v>2011846.3463884727</v>
      </c>
      <c r="H105" s="110">
        <f>G105*F105</f>
        <v>194545.54169576531</v>
      </c>
      <c r="I105" s="117">
        <f>F105</f>
        <v>9.6699999999999994E-2</v>
      </c>
      <c r="J105" s="115">
        <f>IF(AND(E70*12&gt;=150000),E70*E73,E70)</f>
        <v>2011846.3463884727</v>
      </c>
      <c r="K105" s="76">
        <f>J105*I105</f>
        <v>194545.54169576531</v>
      </c>
      <c r="L105" s="77">
        <f>K105-H105</f>
        <v>0</v>
      </c>
      <c r="M105" s="78">
        <f t="shared" si="29"/>
        <v>0</v>
      </c>
    </row>
    <row r="106" spans="1:13" ht="13.5" thickBot="1" x14ac:dyDescent="0.25">
      <c r="A106" s="41" t="str">
        <f t="shared" si="11"/>
        <v>STREET LIGHTING SERVICE CLASSIFICATION</v>
      </c>
      <c r="C106" s="68"/>
      <c r="D106" s="118"/>
      <c r="E106" s="119"/>
      <c r="F106" s="120"/>
      <c r="G106" s="121"/>
      <c r="H106" s="122"/>
      <c r="I106" s="120"/>
      <c r="J106" s="123"/>
      <c r="K106" s="122"/>
      <c r="L106" s="124"/>
      <c r="M106" s="125"/>
    </row>
    <row r="107" spans="1:13" hidden="1" x14ac:dyDescent="0.2">
      <c r="A107" s="41" t="str">
        <f t="shared" si="11"/>
        <v>STREET LIGHTING SERVICE CLASSIFICATION</v>
      </c>
      <c r="B107" s="41" t="s">
        <v>32</v>
      </c>
      <c r="C107" s="68"/>
      <c r="D107" s="126" t="s">
        <v>82</v>
      </c>
      <c r="E107" s="111"/>
      <c r="F107" s="127"/>
      <c r="G107" s="128"/>
      <c r="H107" s="129">
        <f>SUM(H97:H103,H96)</f>
        <v>393744.46495254501</v>
      </c>
      <c r="I107" s="130"/>
      <c r="J107" s="130"/>
      <c r="K107" s="129">
        <f>SUM(K97:K103,K96)</f>
        <v>412319.53116835922</v>
      </c>
      <c r="L107" s="131">
        <f>K107-H107</f>
        <v>18575.066215814208</v>
      </c>
      <c r="M107" s="132">
        <f>IF((H107)=0,"",(L107/H107))</f>
        <v>4.7175434499258082E-2</v>
      </c>
    </row>
    <row r="108" spans="1:13" hidden="1" x14ac:dyDescent="0.2">
      <c r="A108" s="41" t="str">
        <f t="shared" si="11"/>
        <v>STREET LIGHTING SERVICE CLASSIFICATION</v>
      </c>
      <c r="B108" s="41" t="s">
        <v>32</v>
      </c>
      <c r="C108" s="68"/>
      <c r="D108" s="133" t="s">
        <v>83</v>
      </c>
      <c r="E108" s="111"/>
      <c r="F108" s="127">
        <v>0.13</v>
      </c>
      <c r="G108" s="134"/>
      <c r="H108" s="135">
        <f>H107*F108</f>
        <v>51186.780443830852</v>
      </c>
      <c r="I108" s="136">
        <v>0.13</v>
      </c>
      <c r="J108" s="72"/>
      <c r="K108" s="135">
        <f>K107*I108</f>
        <v>53601.539051886699</v>
      </c>
      <c r="L108" s="77">
        <f>K108-H108</f>
        <v>2414.7586080558467</v>
      </c>
      <c r="M108" s="137">
        <f>IF((H108)=0,"",(L108/H108))</f>
        <v>4.7175434499258082E-2</v>
      </c>
    </row>
    <row r="109" spans="1:13" ht="15" hidden="1" x14ac:dyDescent="0.25">
      <c r="A109" s="41" t="str">
        <f t="shared" si="11"/>
        <v>STREET LIGHTING SERVICE CLASSIFICATION</v>
      </c>
      <c r="B109" s="41" t="s">
        <v>32</v>
      </c>
      <c r="C109" s="68"/>
      <c r="D109" s="133" t="s">
        <v>84</v>
      </c>
      <c r="E109"/>
      <c r="F109" s="138">
        <v>0.17</v>
      </c>
      <c r="G109" s="134"/>
      <c r="H109" s="135">
        <f>IF(OR(ISNUMBER(SEARCH("[DGEN]", E68))=TRUE, ISNUMBER(SEARCH("STREET LIGHT", E68))=TRUE), 0, IF(AND(E70=0, E71=0),0, IF(AND(E71=0, E70*12&gt;250000), 0, IF(AND(E70=0, E71&gt;=50), 0, IF(E70*12&lt;=250000, F109*H107*-1, IF(E71&lt;50, F109*H107*-1, 0))))))</f>
        <v>0</v>
      </c>
      <c r="I109" s="138">
        <v>0.17</v>
      </c>
      <c r="J109" s="72"/>
      <c r="K109" s="135">
        <f>IF(OR(ISNUMBER(SEARCH("[DGEN]", E68))=TRUE, ISNUMBER(SEARCH("STREET LIGHT", E68))=TRUE), 0, IF(AND(E70=0, E71=0),0, IF(AND(E71=0, E70*12&gt;250000), 0, IF(AND(E70=0, E71&gt;=50), 0, IF(E70*12&lt;=250000, I109*K107*-1, IF(E71&lt;50, I109*K107*-1, 0))))))</f>
        <v>0</v>
      </c>
      <c r="L109" s="77">
        <f>K109-H109</f>
        <v>0</v>
      </c>
      <c r="M109" s="137"/>
    </row>
    <row r="110" spans="1:13" hidden="1" x14ac:dyDescent="0.2">
      <c r="A110" s="41" t="str">
        <f t="shared" si="11"/>
        <v>STREET LIGHTING SERVICE CLASSIFICATION</v>
      </c>
      <c r="B110" s="41" t="s">
        <v>85</v>
      </c>
      <c r="C110" s="68"/>
      <c r="D110" s="139" t="s">
        <v>86</v>
      </c>
      <c r="E110" s="139"/>
      <c r="F110" s="140"/>
      <c r="G110" s="141"/>
      <c r="H110" s="142">
        <f>H107+H108+H109</f>
        <v>444931.24539637589</v>
      </c>
      <c r="I110" s="143"/>
      <c r="J110" s="143"/>
      <c r="K110" s="144">
        <f>K107+K108+K109</f>
        <v>465921.07022024592</v>
      </c>
      <c r="L110" s="145">
        <f>K110-H110</f>
        <v>20989.824823870033</v>
      </c>
      <c r="M110" s="146">
        <f>IF((H110)=0,"",(L110/H110))</f>
        <v>4.7175434499258033E-2</v>
      </c>
    </row>
    <row r="111" spans="1:13" ht="13.5" hidden="1" thickBot="1" x14ac:dyDescent="0.25">
      <c r="A111" s="41" t="str">
        <f t="shared" si="11"/>
        <v>STREET LIGHTING SERVICE CLASSIFICATION</v>
      </c>
      <c r="B111" s="41" t="s">
        <v>32</v>
      </c>
      <c r="C111" s="68"/>
      <c r="D111" s="118"/>
      <c r="E111" s="119"/>
      <c r="F111" s="120"/>
      <c r="G111" s="121"/>
      <c r="H111" s="122"/>
      <c r="I111" s="120"/>
      <c r="J111" s="123"/>
      <c r="K111" s="122"/>
      <c r="L111" s="124"/>
      <c r="M111" s="125"/>
    </row>
    <row r="112" spans="1:13" hidden="1" x14ac:dyDescent="0.2">
      <c r="A112" s="41" t="str">
        <f t="shared" si="11"/>
        <v>STREET LIGHTING SERVICE CLASSIFICATION</v>
      </c>
      <c r="B112" s="41" t="s">
        <v>79</v>
      </c>
      <c r="C112" s="68"/>
      <c r="D112" s="126" t="s">
        <v>87</v>
      </c>
      <c r="E112" s="111"/>
      <c r="F112" s="127"/>
      <c r="G112" s="128"/>
      <c r="H112" s="129">
        <f>SUM(H104,H97:H100,H96)</f>
        <v>380224.85750481451</v>
      </c>
      <c r="I112" s="130"/>
      <c r="J112" s="130"/>
      <c r="K112" s="129">
        <f>SUM(K104,K97:K100,K96)</f>
        <v>398799.92372062872</v>
      </c>
      <c r="L112" s="131">
        <f>K112-H112</f>
        <v>18575.066215814208</v>
      </c>
      <c r="M112" s="132">
        <f>IF((H112)=0,"",(L112/H112))</f>
        <v>4.885284549177326E-2</v>
      </c>
    </row>
    <row r="113" spans="1:13" hidden="1" x14ac:dyDescent="0.2">
      <c r="A113" s="41" t="str">
        <f t="shared" si="11"/>
        <v>STREET LIGHTING SERVICE CLASSIFICATION</v>
      </c>
      <c r="B113" s="41" t="s">
        <v>79</v>
      </c>
      <c r="C113" s="68"/>
      <c r="D113" s="133" t="s">
        <v>83</v>
      </c>
      <c r="E113" s="111"/>
      <c r="F113" s="127">
        <v>0.13</v>
      </c>
      <c r="G113" s="128"/>
      <c r="H113" s="135">
        <f>H112*F113</f>
        <v>49429.231475625886</v>
      </c>
      <c r="I113" s="127">
        <v>0.13</v>
      </c>
      <c r="J113" s="136"/>
      <c r="K113" s="135">
        <f>K112*I113</f>
        <v>51843.990083681732</v>
      </c>
      <c r="L113" s="77">
        <f>K113-H113</f>
        <v>2414.7586080558467</v>
      </c>
      <c r="M113" s="137">
        <f>IF((H113)=0,"",(L113/H113))</f>
        <v>4.8852845491773253E-2</v>
      </c>
    </row>
    <row r="114" spans="1:13" ht="15" hidden="1" x14ac:dyDescent="0.25">
      <c r="A114" s="41" t="str">
        <f t="shared" si="11"/>
        <v>STREET LIGHTING SERVICE CLASSIFICATION</v>
      </c>
      <c r="B114" s="41" t="s">
        <v>79</v>
      </c>
      <c r="C114" s="68"/>
      <c r="D114" s="133" t="s">
        <v>84</v>
      </c>
      <c r="E114"/>
      <c r="F114" s="138">
        <v>0.17</v>
      </c>
      <c r="G114" s="128"/>
      <c r="H114" s="135">
        <f>IF(OR(ISNUMBER(SEARCH("[DGEN]", E68))=TRUE, ISNUMBER(SEARCH("STREET LIGHT", E68))=TRUE), 0, IF(AND(E70=0, E71=0),0, IF(AND(E71=0, E70*12&gt;250000), 0, IF(AND(E70=0, E71&gt;=50), 0, IF(E70*12&lt;=250000, F114*H112*-1, IF(E71&lt;50, F114*H112*-1, 0))))))</f>
        <v>0</v>
      </c>
      <c r="I114" s="138">
        <v>0.17</v>
      </c>
      <c r="J114" s="136"/>
      <c r="K114" s="135">
        <f>IF(OR(ISNUMBER(SEARCH("[DGEN]", E68))=TRUE, ISNUMBER(SEARCH("STREET LIGHT", E68))=TRUE), 0, IF(AND(E70=0, E71=0),0, IF(AND(E71=0, E70*12&gt;250000), 0, IF(AND(E70=0, E71&gt;=50), 0, IF(E70*12&lt;=250000, I114*K112*-1, IF(E71&lt;50, I114*K112*-1, 0))))))</f>
        <v>0</v>
      </c>
      <c r="L114" s="77"/>
      <c r="M114" s="137"/>
    </row>
    <row r="115" spans="1:13" hidden="1" x14ac:dyDescent="0.2">
      <c r="A115" s="41" t="str">
        <f t="shared" si="11"/>
        <v>STREET LIGHTING SERVICE CLASSIFICATION</v>
      </c>
      <c r="B115" s="41" t="s">
        <v>88</v>
      </c>
      <c r="C115" s="68"/>
      <c r="D115" s="139" t="s">
        <v>87</v>
      </c>
      <c r="E115" s="139"/>
      <c r="F115" s="147"/>
      <c r="G115" s="148"/>
      <c r="H115" s="142">
        <f>SUM(H112,H113)</f>
        <v>429654.0889804404</v>
      </c>
      <c r="I115" s="149"/>
      <c r="J115" s="149"/>
      <c r="K115" s="142">
        <f>SUM(K112,K113)</f>
        <v>450643.91380431043</v>
      </c>
      <c r="L115" s="150">
        <f>K115-H115</f>
        <v>20989.824823870033</v>
      </c>
      <c r="M115" s="151">
        <f>IF((H115)=0,"",(L115/H115))</f>
        <v>4.8852845491773211E-2</v>
      </c>
    </row>
    <row r="116" spans="1:13" ht="13.5" hidden="1" thickBot="1" x14ac:dyDescent="0.25">
      <c r="A116" s="41" t="str">
        <f t="shared" si="11"/>
        <v>STREET LIGHTING SERVICE CLASSIFICATION</v>
      </c>
      <c r="B116" s="41" t="s">
        <v>79</v>
      </c>
      <c r="C116" s="68"/>
      <c r="D116" s="118"/>
      <c r="E116" s="119"/>
      <c r="F116" s="152"/>
      <c r="G116" s="153"/>
      <c r="H116" s="154"/>
      <c r="I116" s="152"/>
      <c r="J116" s="121"/>
      <c r="K116" s="154"/>
      <c r="L116" s="155"/>
      <c r="M116" s="125"/>
    </row>
    <row r="117" spans="1:13" x14ac:dyDescent="0.2">
      <c r="A117" s="41" t="str">
        <f t="shared" si="11"/>
        <v>STREET LIGHTING SERVICE CLASSIFICATION</v>
      </c>
      <c r="B117" s="41" t="s">
        <v>33</v>
      </c>
      <c r="C117" s="68"/>
      <c r="D117" s="126" t="s">
        <v>89</v>
      </c>
      <c r="E117" s="111"/>
      <c r="F117" s="127"/>
      <c r="G117" s="128"/>
      <c r="H117" s="129">
        <f>SUM(H105,H97:H100,H96)</f>
        <v>380224.85750481451</v>
      </c>
      <c r="I117" s="130"/>
      <c r="J117" s="130"/>
      <c r="K117" s="129">
        <f>SUM(K105,K97:K100,K96)</f>
        <v>398799.92372062872</v>
      </c>
      <c r="L117" s="131">
        <f>K117-H117</f>
        <v>18575.066215814208</v>
      </c>
      <c r="M117" s="132">
        <f>IF((H117)=0,"",(L117/H117))</f>
        <v>4.885284549177326E-2</v>
      </c>
    </row>
    <row r="118" spans="1:13" x14ac:dyDescent="0.2">
      <c r="A118" s="41" t="str">
        <f t="shared" si="11"/>
        <v>STREET LIGHTING SERVICE CLASSIFICATION</v>
      </c>
      <c r="B118" s="41" t="s">
        <v>33</v>
      </c>
      <c r="C118" s="68"/>
      <c r="D118" s="133" t="s">
        <v>83</v>
      </c>
      <c r="E118" s="111"/>
      <c r="F118" s="127">
        <v>0.13</v>
      </c>
      <c r="G118" s="128"/>
      <c r="H118" s="135">
        <f>H117*F118</f>
        <v>49429.231475625886</v>
      </c>
      <c r="I118" s="127">
        <v>0.13</v>
      </c>
      <c r="J118" s="136"/>
      <c r="K118" s="135">
        <f>K117*I118</f>
        <v>51843.990083681732</v>
      </c>
      <c r="L118" s="77">
        <f>K118-H118</f>
        <v>2414.7586080558467</v>
      </c>
      <c r="M118" s="137">
        <f>IF((H118)=0,"",(L118/H118))</f>
        <v>4.8852845491773253E-2</v>
      </c>
    </row>
    <row r="119" spans="1:13" ht="15" x14ac:dyDescent="0.25">
      <c r="A119" s="41" t="str">
        <f t="shared" si="11"/>
        <v>STREET LIGHTING SERVICE CLASSIFICATION</v>
      </c>
      <c r="B119" s="41" t="s">
        <v>33</v>
      </c>
      <c r="C119" s="68"/>
      <c r="D119" s="133" t="s">
        <v>84</v>
      </c>
      <c r="E119"/>
      <c r="F119" s="138">
        <v>0.17</v>
      </c>
      <c r="G119" s="128"/>
      <c r="H119" s="135">
        <f>IF(OR(ISNUMBER(SEARCH("[DGEN]", E68))=TRUE, ISNUMBER(SEARCH("STREET LIGHT", E68))=TRUE), 0, IF(AND(E70=0, E71=0),0, IF(AND(E71=0, E70*12&gt;250000), 0, IF(AND(E70=0, E71&gt;=50), 0, IF(E70*12&lt;=250000, F119*H117*-1, IF(E71&lt;50, F119*H117*-1, 0))))))</f>
        <v>0</v>
      </c>
      <c r="I119" s="138">
        <v>0.17</v>
      </c>
      <c r="J119" s="136"/>
      <c r="K119" s="135">
        <f>IF(OR(ISNUMBER(SEARCH("[DGEN]", E68))=TRUE, ISNUMBER(SEARCH("STREET LIGHT", E68))=TRUE), 0, IF(AND(E70=0, E71=0),0, IF(AND(E71=0, E70*12&gt;250000), 0, IF(AND(E70=0, E71&gt;=50), 0, IF(E70*12&lt;=250000, I119*K117*-1, IF(E71&lt;50, I119*K117*-1, 0))))))</f>
        <v>0</v>
      </c>
      <c r="L119" s="77"/>
      <c r="M119" s="137"/>
    </row>
    <row r="120" spans="1:13" ht="13.5" thickBot="1" x14ac:dyDescent="0.25">
      <c r="A120" s="41" t="str">
        <f t="shared" si="11"/>
        <v>STREET LIGHTING SERVICE CLASSIFICATION</v>
      </c>
      <c r="B120" s="41" t="s">
        <v>90</v>
      </c>
      <c r="C120" s="68" t="e">
        <f>#REF!</f>
        <v>#REF!</v>
      </c>
      <c r="D120" s="139" t="s">
        <v>89</v>
      </c>
      <c r="E120" s="139"/>
      <c r="F120" s="147"/>
      <c r="G120" s="148"/>
      <c r="H120" s="142">
        <f>SUM(H117,H118)</f>
        <v>429654.0889804404</v>
      </c>
      <c r="I120" s="149"/>
      <c r="J120" s="149"/>
      <c r="K120" s="142">
        <f>SUM(K117,K118)</f>
        <v>450643.91380431043</v>
      </c>
      <c r="L120" s="150">
        <f>K120-H120</f>
        <v>20989.824823870033</v>
      </c>
      <c r="M120" s="151">
        <f>IF((H120)=0,"",(L120/H120))</f>
        <v>4.8852845491773211E-2</v>
      </c>
    </row>
    <row r="121" spans="1:13" ht="13.5" thickBot="1" x14ac:dyDescent="0.25">
      <c r="A121" s="41" t="str">
        <f t="shared" si="11"/>
        <v>STREET LIGHTING SERVICE CLASSIFICATION</v>
      </c>
      <c r="B121" s="41" t="s">
        <v>33</v>
      </c>
      <c r="C121" s="68"/>
      <c r="D121" s="118"/>
      <c r="E121" s="119"/>
      <c r="F121" s="156"/>
      <c r="G121" s="153"/>
      <c r="H121" s="157"/>
      <c r="I121" s="156"/>
      <c r="J121" s="121"/>
      <c r="K121" s="157"/>
      <c r="L121" s="155"/>
      <c r="M121" s="158"/>
    </row>
  </sheetData>
  <mergeCells count="26">
    <mergeCell ref="E76:E77"/>
    <mergeCell ref="L76:L77"/>
    <mergeCell ref="M76:M77"/>
    <mergeCell ref="D110:E110"/>
    <mergeCell ref="D115:E115"/>
    <mergeCell ref="D120:E120"/>
    <mergeCell ref="D64:E64"/>
    <mergeCell ref="E68:J68"/>
    <mergeCell ref="E69:G69"/>
    <mergeCell ref="F75:H75"/>
    <mergeCell ref="I75:K75"/>
    <mergeCell ref="L75:M75"/>
    <mergeCell ref="L19:M19"/>
    <mergeCell ref="E20:E21"/>
    <mergeCell ref="L20:L21"/>
    <mergeCell ref="M20:M21"/>
    <mergeCell ref="D54:E54"/>
    <mergeCell ref="D59:E59"/>
    <mergeCell ref="E12:J12"/>
    <mergeCell ref="E13:G13"/>
    <mergeCell ref="F19:H19"/>
    <mergeCell ref="I19:K19"/>
    <mergeCell ref="C3:K3"/>
    <mergeCell ref="D10:M10"/>
    <mergeCell ref="D11:M11"/>
    <mergeCell ref="N11:O11"/>
  </mergeCells>
  <dataValidations count="1">
    <dataValidation type="list" allowBlank="1" showInputMessage="1" showErrorMessage="1" prompt="Select Charge Unit - monthly, per kWh, per kW" sqref="E55 E60 E65 E50 E111 E116 E121 E106" xr:uid="{87FE7AE9-CFE7-4246-B673-5F873AEAF124}">
      <formula1>"Monthly, per kWh, per kW"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7. Calculation of Def-Var RR</vt:lpstr>
      <vt:lpstr>20. Bill Impacts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Yan</dc:creator>
  <cp:lastModifiedBy>Angela Yan</cp:lastModifiedBy>
  <dcterms:created xsi:type="dcterms:W3CDTF">2022-09-12T20:15:02Z</dcterms:created>
  <dcterms:modified xsi:type="dcterms:W3CDTF">2022-09-12T20:33:17Z</dcterms:modified>
</cp:coreProperties>
</file>