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ingston Hydro\Kingston Hydro 2023 COS Rate App EB-2022-0044\A _IR Questions\Models to FILE IRRs - DVA SL customer RUN\"/>
    </mc:Choice>
  </mc:AlternateContent>
  <xr:revisionPtr revIDLastSave="0" documentId="13_ncr:1_{22333527-B288-4FDB-A569-0E8097828A33}" xr6:coauthVersionLast="47" xr6:coauthVersionMax="47" xr10:uidLastSave="{00000000-0000-0000-0000-000000000000}"/>
  <bookViews>
    <workbookView xWindow="-120" yWindow="-120" windowWidth="17307" windowHeight="9867" xr2:uid="{A36ABBAA-7281-46D8-9C68-82AAF4C24EF7}"/>
  </bookViews>
  <sheets>
    <sheet name="Services Weighting Factors" sheetId="2" r:id="rId1"/>
    <sheet name="Bill_Collect Weighting Factors" sheetId="1" r:id="rId2"/>
  </sheets>
  <externalReferences>
    <externalReference r:id="rId3"/>
  </externalReferences>
  <definedNames>
    <definedName name="_xlnm.Print_Area" localSheetId="1">'Bill_Collect Weighting Factors'!$A$1:$S$5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2" l="1"/>
  <c r="D46" i="2"/>
  <c r="D47" i="2" s="1"/>
  <c r="D57" i="2" s="1"/>
  <c r="D41" i="2"/>
  <c r="D42" i="2" s="1"/>
  <c r="D56" i="2" s="1"/>
  <c r="D35" i="2"/>
  <c r="D34" i="2"/>
  <c r="D28" i="2"/>
  <c r="D30" i="2" s="1"/>
  <c r="D31" i="2" s="1"/>
  <c r="D55" i="2" s="1"/>
  <c r="D19" i="2"/>
  <c r="D51" i="2" s="1"/>
  <c r="D58" i="2" s="1"/>
  <c r="D18" i="2"/>
  <c r="D72" i="1"/>
  <c r="D70" i="1"/>
  <c r="C70" i="1"/>
  <c r="R68" i="1"/>
  <c r="Q68" i="1"/>
  <c r="P68" i="1"/>
  <c r="O68" i="1"/>
  <c r="N68" i="1"/>
  <c r="M68" i="1"/>
  <c r="K68" i="1"/>
  <c r="R63" i="1"/>
  <c r="Q63" i="1"/>
  <c r="P63" i="1"/>
  <c r="O63" i="1"/>
  <c r="N63" i="1"/>
  <c r="M63" i="1"/>
  <c r="K63" i="1"/>
  <c r="R62" i="1"/>
  <c r="Q62" i="1"/>
  <c r="P62" i="1"/>
  <c r="O62" i="1"/>
  <c r="N62" i="1"/>
  <c r="M62" i="1"/>
  <c r="K62" i="1"/>
  <c r="R61" i="1"/>
  <c r="Q61" i="1"/>
  <c r="P61" i="1"/>
  <c r="O61" i="1"/>
  <c r="N61" i="1"/>
  <c r="M61" i="1"/>
  <c r="K61" i="1"/>
  <c r="R60" i="1"/>
  <c r="Q60" i="1"/>
  <c r="P60" i="1"/>
  <c r="O60" i="1"/>
  <c r="N60" i="1"/>
  <c r="M60" i="1"/>
  <c r="K60" i="1"/>
  <c r="R54" i="1"/>
  <c r="Q54" i="1"/>
  <c r="P54" i="1"/>
  <c r="O54" i="1"/>
  <c r="N54" i="1"/>
  <c r="M54" i="1"/>
  <c r="K54" i="1"/>
  <c r="K40" i="1"/>
  <c r="D34" i="1"/>
  <c r="C34" i="1"/>
  <c r="R32" i="1"/>
  <c r="Q32" i="1"/>
  <c r="P32" i="1"/>
  <c r="O32" i="1"/>
  <c r="N32" i="1"/>
  <c r="M32" i="1"/>
  <c r="K32" i="1"/>
  <c r="R31" i="1"/>
  <c r="Q31" i="1"/>
  <c r="P31" i="1"/>
  <c r="O31" i="1"/>
  <c r="N31" i="1"/>
  <c r="M31" i="1"/>
  <c r="K31" i="1"/>
  <c r="R28" i="1"/>
  <c r="Q28" i="1"/>
  <c r="P28" i="1"/>
  <c r="O28" i="1"/>
  <c r="N28" i="1"/>
  <c r="M28" i="1"/>
  <c r="K28" i="1"/>
  <c r="R27" i="1"/>
  <c r="Q27" i="1"/>
  <c r="P27" i="1"/>
  <c r="O27" i="1"/>
  <c r="N27" i="1"/>
  <c r="M27" i="1"/>
  <c r="K27" i="1"/>
  <c r="R26" i="1"/>
  <c r="Q26" i="1"/>
  <c r="P26" i="1"/>
  <c r="O26" i="1"/>
  <c r="N26" i="1"/>
  <c r="M26" i="1"/>
  <c r="K26" i="1"/>
  <c r="R25" i="1"/>
  <c r="Q25" i="1"/>
  <c r="P25" i="1"/>
  <c r="O25" i="1"/>
  <c r="N25" i="1"/>
  <c r="M25" i="1"/>
  <c r="K25" i="1"/>
  <c r="R12" i="1"/>
  <c r="Q12" i="1"/>
  <c r="P12" i="1"/>
  <c r="O12" i="1"/>
  <c r="N12" i="1"/>
  <c r="M12" i="1"/>
  <c r="K12" i="1"/>
  <c r="R11" i="1"/>
  <c r="Q11" i="1"/>
  <c r="P11" i="1"/>
  <c r="O11" i="1"/>
  <c r="N11" i="1"/>
  <c r="M11" i="1"/>
  <c r="K11" i="1"/>
  <c r="H5" i="1"/>
  <c r="K52" i="1" s="1"/>
  <c r="K48" i="1" l="1"/>
  <c r="K21" i="1"/>
  <c r="O21" i="1" s="1"/>
  <c r="K8" i="1"/>
  <c r="N8" i="1" s="1"/>
  <c r="K24" i="1"/>
  <c r="N24" i="1" s="1"/>
  <c r="Q52" i="1"/>
  <c r="M52" i="1"/>
  <c r="N52" i="1"/>
  <c r="O52" i="1"/>
  <c r="P52" i="1"/>
  <c r="M40" i="1"/>
  <c r="N40" i="1"/>
  <c r="Q40" i="1" s="1"/>
  <c r="M48" i="1"/>
  <c r="R48" i="1" s="1"/>
  <c r="N48" i="1"/>
  <c r="K9" i="1"/>
  <c r="K15" i="1"/>
  <c r="M21" i="1"/>
  <c r="P21" i="1" s="1"/>
  <c r="K29" i="1"/>
  <c r="O40" i="1"/>
  <c r="K45" i="1"/>
  <c r="O48" i="1"/>
  <c r="K53" i="1"/>
  <c r="K4" i="1"/>
  <c r="K13" i="1"/>
  <c r="K16" i="1"/>
  <c r="K19" i="1"/>
  <c r="N21" i="1"/>
  <c r="P40" i="1"/>
  <c r="K44" i="1"/>
  <c r="P48" i="1"/>
  <c r="K67" i="1"/>
  <c r="K59" i="1"/>
  <c r="K55" i="1"/>
  <c r="K51" i="1"/>
  <c r="K47" i="1"/>
  <c r="K43" i="1"/>
  <c r="K39" i="1"/>
  <c r="K30" i="1"/>
  <c r="K22" i="1"/>
  <c r="K18" i="1"/>
  <c r="K14" i="1"/>
  <c r="K10" i="1"/>
  <c r="K65" i="1"/>
  <c r="K57" i="1"/>
  <c r="K66" i="1"/>
  <c r="K58" i="1"/>
  <c r="K50" i="1"/>
  <c r="K46" i="1"/>
  <c r="K42" i="1"/>
  <c r="K17" i="1"/>
  <c r="K20" i="1"/>
  <c r="K23" i="1"/>
  <c r="K41" i="1"/>
  <c r="K49" i="1"/>
  <c r="K56" i="1"/>
  <c r="K64" i="1"/>
  <c r="M24" i="1" l="1"/>
  <c r="O8" i="1"/>
  <c r="Q21" i="1"/>
  <c r="M8" i="1"/>
  <c r="P8" i="1" s="1"/>
  <c r="O24" i="1"/>
  <c r="R21" i="1"/>
  <c r="Q48" i="1"/>
  <c r="R52" i="1"/>
  <c r="O58" i="1"/>
  <c r="M58" i="1"/>
  <c r="P58" i="1" s="1"/>
  <c r="N58" i="1"/>
  <c r="P47" i="1"/>
  <c r="M47" i="1"/>
  <c r="O47" i="1"/>
  <c r="N47" i="1"/>
  <c r="O13" i="1"/>
  <c r="M13" i="1"/>
  <c r="N13" i="1"/>
  <c r="N49" i="1"/>
  <c r="O49" i="1"/>
  <c r="M49" i="1"/>
  <c r="O42" i="1"/>
  <c r="P42" i="1"/>
  <c r="M42" i="1"/>
  <c r="N42" i="1"/>
  <c r="O66" i="1"/>
  <c r="R66" i="1"/>
  <c r="N66" i="1"/>
  <c r="M66" i="1"/>
  <c r="Q66" i="1" s="1"/>
  <c r="P66" i="1"/>
  <c r="M10" i="1"/>
  <c r="P10" i="1" s="1"/>
  <c r="O10" i="1"/>
  <c r="N10" i="1"/>
  <c r="Q10" i="1" s="1"/>
  <c r="M30" i="1"/>
  <c r="P30" i="1" s="1"/>
  <c r="N30" i="1"/>
  <c r="Q30" i="1" s="1"/>
  <c r="O30" i="1"/>
  <c r="P51" i="1"/>
  <c r="M51" i="1"/>
  <c r="Q51" i="1" s="1"/>
  <c r="N51" i="1"/>
  <c r="O51" i="1"/>
  <c r="R40" i="1"/>
  <c r="R24" i="1"/>
  <c r="Q8" i="1"/>
  <c r="M56" i="1"/>
  <c r="Q56" i="1" s="1"/>
  <c r="N56" i="1"/>
  <c r="O56" i="1"/>
  <c r="R56" i="1" s="1"/>
  <c r="P22" i="1"/>
  <c r="N22" i="1"/>
  <c r="Q22" i="1" s="1"/>
  <c r="R22" i="1"/>
  <c r="M22" i="1"/>
  <c r="O22" i="1"/>
  <c r="R41" i="1"/>
  <c r="N41" i="1"/>
  <c r="O41" i="1"/>
  <c r="M41" i="1"/>
  <c r="P41" i="1" s="1"/>
  <c r="Q41" i="1"/>
  <c r="N20" i="1"/>
  <c r="M20" i="1"/>
  <c r="R20" i="1" s="1"/>
  <c r="O20" i="1"/>
  <c r="O46" i="1"/>
  <c r="N46" i="1"/>
  <c r="Q46" i="1" s="1"/>
  <c r="M46" i="1"/>
  <c r="P46" i="1" s="1"/>
  <c r="N57" i="1"/>
  <c r="P57" i="1"/>
  <c r="O57" i="1"/>
  <c r="M57" i="1"/>
  <c r="R57" i="1" s="1"/>
  <c r="O14" i="1"/>
  <c r="N14" i="1"/>
  <c r="M14" i="1"/>
  <c r="Q14" i="1" s="1"/>
  <c r="M39" i="1"/>
  <c r="O39" i="1"/>
  <c r="N39" i="1"/>
  <c r="M55" i="1"/>
  <c r="Q55" i="1" s="1"/>
  <c r="O55" i="1"/>
  <c r="N55" i="1"/>
  <c r="M44" i="1"/>
  <c r="Q44" i="1" s="1"/>
  <c r="R44" i="1"/>
  <c r="N44" i="1"/>
  <c r="O44" i="1"/>
  <c r="P44" i="1"/>
  <c r="Q19" i="1"/>
  <c r="M19" i="1"/>
  <c r="N19" i="1"/>
  <c r="P19" i="1"/>
  <c r="O19" i="1"/>
  <c r="N53" i="1"/>
  <c r="O53" i="1"/>
  <c r="M53" i="1"/>
  <c r="P53" i="1" s="1"/>
  <c r="O29" i="1"/>
  <c r="N29" i="1"/>
  <c r="M29" i="1"/>
  <c r="P29" i="1" s="1"/>
  <c r="Q29" i="1"/>
  <c r="M15" i="1"/>
  <c r="O15" i="1"/>
  <c r="N15" i="1"/>
  <c r="Q15" i="1" s="1"/>
  <c r="P15" i="1"/>
  <c r="M23" i="1"/>
  <c r="N23" i="1"/>
  <c r="O23" i="1"/>
  <c r="O67" i="1"/>
  <c r="N67" i="1"/>
  <c r="M67" i="1"/>
  <c r="R67" i="1" s="1"/>
  <c r="N45" i="1"/>
  <c r="Q45" i="1" s="1"/>
  <c r="O45" i="1"/>
  <c r="M45" i="1"/>
  <c r="P45" i="1" s="1"/>
  <c r="M64" i="1"/>
  <c r="R64" i="1" s="1"/>
  <c r="O64" i="1"/>
  <c r="N64" i="1"/>
  <c r="O17" i="1"/>
  <c r="N17" i="1"/>
  <c r="M17" i="1"/>
  <c r="P17" i="1" s="1"/>
  <c r="O50" i="1"/>
  <c r="M50" i="1"/>
  <c r="P50" i="1" s="1"/>
  <c r="N50" i="1"/>
  <c r="N65" i="1"/>
  <c r="O65" i="1"/>
  <c r="M65" i="1"/>
  <c r="O18" i="1"/>
  <c r="R18" i="1" s="1"/>
  <c r="N18" i="1"/>
  <c r="M18" i="1"/>
  <c r="P18" i="1" s="1"/>
  <c r="Q18" i="1"/>
  <c r="M43" i="1"/>
  <c r="P43" i="1" s="1"/>
  <c r="N43" i="1"/>
  <c r="O43" i="1"/>
  <c r="N59" i="1"/>
  <c r="Q59" i="1"/>
  <c r="M59" i="1"/>
  <c r="P59" i="1" s="1"/>
  <c r="O59" i="1"/>
  <c r="N16" i="1"/>
  <c r="M16" i="1"/>
  <c r="R16" i="1" s="1"/>
  <c r="O16" i="1"/>
  <c r="O9" i="1"/>
  <c r="N9" i="1"/>
  <c r="N33" i="1" s="1"/>
  <c r="M9" i="1"/>
  <c r="P9" i="1"/>
  <c r="R8" i="1" l="1"/>
  <c r="R50" i="1"/>
  <c r="P64" i="1"/>
  <c r="Q20" i="1"/>
  <c r="R59" i="1"/>
  <c r="Q17" i="1"/>
  <c r="Q23" i="1"/>
  <c r="R53" i="1"/>
  <c r="R19" i="1"/>
  <c r="P55" i="1"/>
  <c r="Q57" i="1"/>
  <c r="R42" i="1"/>
  <c r="R49" i="1"/>
  <c r="R65" i="1"/>
  <c r="R45" i="1"/>
  <c r="R15" i="1"/>
  <c r="Q53" i="1"/>
  <c r="R9" i="1"/>
  <c r="Q16" i="1"/>
  <c r="R43" i="1"/>
  <c r="P65" i="1"/>
  <c r="R29" i="1"/>
  <c r="P20" i="1"/>
  <c r="P56" i="1"/>
  <c r="R51" i="1"/>
  <c r="Q49" i="1"/>
  <c r="Q13" i="1"/>
  <c r="Q47" i="1"/>
  <c r="Q24" i="1"/>
  <c r="P24" i="1"/>
  <c r="N34" i="1"/>
  <c r="M69" i="1"/>
  <c r="M70" i="1" s="1"/>
  <c r="P14" i="1"/>
  <c r="R10" i="1"/>
  <c r="O33" i="1"/>
  <c r="Q9" i="1"/>
  <c r="Q33" i="1" s="1"/>
  <c r="Q65" i="1"/>
  <c r="Q50" i="1"/>
  <c r="Q64" i="1"/>
  <c r="Q67" i="1"/>
  <c r="P67" i="1"/>
  <c r="R23" i="1"/>
  <c r="R55" i="1"/>
  <c r="N69" i="1"/>
  <c r="N70" i="1" s="1"/>
  <c r="N72" i="1" s="1"/>
  <c r="N75" i="1" s="1"/>
  <c r="Q39" i="1"/>
  <c r="R46" i="1"/>
  <c r="Q42" i="1"/>
  <c r="R13" i="1"/>
  <c r="R47" i="1"/>
  <c r="Q58" i="1"/>
  <c r="Q43" i="1"/>
  <c r="R30" i="1"/>
  <c r="P13" i="1"/>
  <c r="R58" i="1"/>
  <c r="R17" i="1"/>
  <c r="O69" i="1"/>
  <c r="O70" i="1" s="1"/>
  <c r="P39" i="1"/>
  <c r="M33" i="1"/>
  <c r="P16" i="1"/>
  <c r="P23" i="1"/>
  <c r="R39" i="1"/>
  <c r="R14" i="1"/>
  <c r="P49" i="1"/>
  <c r="R33" i="1" l="1"/>
  <c r="R69" i="1"/>
  <c r="R70" i="1" s="1"/>
  <c r="P33" i="1"/>
  <c r="P34" i="1"/>
  <c r="R34" i="1"/>
  <c r="R72" i="1" s="1"/>
  <c r="R75" i="1" s="1"/>
  <c r="Q34" i="1"/>
  <c r="M72" i="1"/>
  <c r="P69" i="1"/>
  <c r="P70" i="1" s="1"/>
  <c r="O34" i="1"/>
  <c r="O74" i="1"/>
  <c r="M74" i="1"/>
  <c r="M76" i="1" s="1"/>
  <c r="M79" i="1" s="1"/>
  <c r="M34" i="1"/>
  <c r="O72" i="1"/>
  <c r="O75" i="1" s="1"/>
  <c r="Q69" i="1"/>
  <c r="Q70" i="1" s="1"/>
  <c r="Q72" i="1" s="1"/>
  <c r="Q75" i="1" s="1"/>
  <c r="N74" i="1"/>
  <c r="N76" i="1" s="1"/>
  <c r="N79" i="1" s="1"/>
  <c r="O76" i="1" l="1"/>
  <c r="O79" i="1" s="1"/>
  <c r="P72" i="1"/>
  <c r="P75" i="1" s="1"/>
  <c r="R74" i="1"/>
  <c r="R76" i="1" s="1"/>
  <c r="R79" i="1" s="1"/>
  <c r="K70" i="1"/>
  <c r="M75" i="1"/>
  <c r="K72" i="1"/>
  <c r="K34" i="1"/>
  <c r="Q74" i="1"/>
  <c r="Q76" i="1" s="1"/>
  <c r="Q79" i="1" s="1"/>
  <c r="P74" i="1"/>
  <c r="P76" i="1" s="1"/>
  <c r="P79" i="1" s="1"/>
</calcChain>
</file>

<file path=xl/sharedStrings.xml><?xml version="1.0" encoding="utf-8"?>
<sst xmlns="http://schemas.openxmlformats.org/spreadsheetml/2006/main" count="178" uniqueCount="117">
  <si>
    <t>Billing and Collecting Weighting Factors</t>
  </si>
  <si>
    <t>Billing</t>
  </si>
  <si>
    <t>Monthly Billing - All Customer Classes</t>
  </si>
  <si>
    <t>Credit</t>
  </si>
  <si>
    <t>Customers, 2021 Actual</t>
  </si>
  <si>
    <t xml:space="preserve">Allocated Cost ($) per Customer </t>
  </si>
  <si>
    <t>Cuts and Reconnects for Non Payment</t>
  </si>
  <si>
    <t>Resi</t>
  </si>
  <si>
    <t>GS &lt; 50</t>
  </si>
  <si>
    <t>GS &gt; 50</t>
  </si>
  <si>
    <t>Large Use</t>
  </si>
  <si>
    <t>Street Light</t>
  </si>
  <si>
    <t>USL</t>
  </si>
  <si>
    <t>Vendor</t>
  </si>
  <si>
    <t>Program</t>
  </si>
  <si>
    <t>2021
Cost ($)</t>
  </si>
  <si>
    <t>Total Weighted 
Customers</t>
  </si>
  <si>
    <t>MainAccount name</t>
  </si>
  <si>
    <t>Notes</t>
  </si>
  <si>
    <t>71402 - Credit</t>
  </si>
  <si>
    <t>Full-time wages-permanent</t>
  </si>
  <si>
    <t>includes IS time, see 730895 for offsetting DVA credit</t>
  </si>
  <si>
    <t xml:space="preserve"> -</t>
  </si>
  <si>
    <t>Payroll benefits</t>
  </si>
  <si>
    <t>WSIB Premiums</t>
  </si>
  <si>
    <t>Part-time wages</t>
  </si>
  <si>
    <t>Overtime-regular</t>
  </si>
  <si>
    <t>Inventory store issues</t>
  </si>
  <si>
    <t>Supplies</t>
  </si>
  <si>
    <t>Telecommunications</t>
  </si>
  <si>
    <t>Education &amp; training</t>
  </si>
  <si>
    <t>Postage Machine</t>
  </si>
  <si>
    <t>Contracted services</t>
  </si>
  <si>
    <t>Olameter = $12,908</t>
  </si>
  <si>
    <t>Allocated administration</t>
  </si>
  <si>
    <t xml:space="preserve">CoK Services Provided </t>
  </si>
  <si>
    <t>Allocated administration-support</t>
  </si>
  <si>
    <t>Recovery from HWT business</t>
  </si>
  <si>
    <t>6431</t>
  </si>
  <si>
    <t>74157 - Cut &amp; Reconn</t>
  </si>
  <si>
    <t>TTS-allocated overtime</t>
  </si>
  <si>
    <t>Hydro group - Cuts &amp; Reconn Program</t>
  </si>
  <si>
    <t>Allocated equipment-internal</t>
  </si>
  <si>
    <t>Total 5320</t>
  </si>
  <si>
    <t>($)</t>
  </si>
  <si>
    <t>Cost Per customer Annual #5320</t>
  </si>
  <si>
    <t>6421</t>
  </si>
  <si>
    <t>71401 - Billing</t>
  </si>
  <si>
    <t>Advertising &amp; marketing</t>
  </si>
  <si>
    <t>Printing</t>
  </si>
  <si>
    <t>Vendor: Sognica Inc.</t>
  </si>
  <si>
    <t>Repair &amp; maintenance services</t>
  </si>
  <si>
    <t>Erth Business Tech - EBT HUB Annual Support</t>
  </si>
  <si>
    <t>Service fees</t>
  </si>
  <si>
    <t>Delivery, postage, &amp; shipping</t>
  </si>
  <si>
    <t>Canada Post</t>
  </si>
  <si>
    <t>External expense recovery</t>
  </si>
  <si>
    <t>Cost of Gas Allocated Revenue</t>
  </si>
  <si>
    <t>EBT Hub monthly fee = $1,714
Utilismart monthly meter reading = $52,911
Olameter = $36,591</t>
  </si>
  <si>
    <t xml:space="preserve">EBT HUB monthly fee  </t>
  </si>
  <si>
    <t xml:space="preserve">Utilismart monthly meter reading </t>
  </si>
  <si>
    <t xml:space="preserve">Olameter  </t>
  </si>
  <si>
    <t>Other</t>
  </si>
  <si>
    <t>6420</t>
  </si>
  <si>
    <t>Administration charge</t>
  </si>
  <si>
    <t>RCVA  1518 and 1548 Variance (portion of Richard's time)</t>
  </si>
  <si>
    <t>Cost Per customer Annual #5315</t>
  </si>
  <si>
    <t>Total 5315</t>
  </si>
  <si>
    <t>Total Identified Cost</t>
  </si>
  <si>
    <t>i.</t>
  </si>
  <si>
    <t>Annual Cost Per Customer</t>
  </si>
  <si>
    <t>Cost per Customer Bill</t>
  </si>
  <si>
    <t>iii.</t>
  </si>
  <si>
    <t>WEIGHTING FACTORS</t>
  </si>
  <si>
    <t>Relative Per Bill Costs with Residential set to 1.0</t>
  </si>
  <si>
    <t>iv.</t>
  </si>
  <si>
    <t>Residential</t>
  </si>
  <si>
    <t>2023 COS Application - Billing and Collecting Weighting Factors</t>
  </si>
  <si>
    <t>1855 Services Weighting Factors</t>
  </si>
  <si>
    <t>2021 Customer Count</t>
  </si>
  <si>
    <t>No. Customers</t>
  </si>
  <si>
    <t>GS &lt; 50 kW</t>
  </si>
  <si>
    <t>GS 50 to 4,999 kW</t>
  </si>
  <si>
    <t>Unmetered Scattered Load</t>
  </si>
  <si>
    <t>Street Lights</t>
  </si>
  <si>
    <t>1855 Services</t>
  </si>
  <si>
    <t>2021 Cost</t>
  </si>
  <si>
    <t>Residential Services Overhead - Average Cost</t>
  </si>
  <si>
    <t>Residential Services Underground - Average Cost</t>
  </si>
  <si>
    <t>Residential OH (19,685 customers x $705.65)</t>
  </si>
  <si>
    <t>Residential UG (4,921 customers x $7487.29)</t>
  </si>
  <si>
    <t>Total</t>
  </si>
  <si>
    <t>Residential Services Cost per Customer</t>
  </si>
  <si>
    <t>Residential Weighting Factor</t>
  </si>
  <si>
    <t>GS&lt;50 kW</t>
  </si>
  <si>
    <t>GS &lt; 50 Overhead Average Cost</t>
  </si>
  <si>
    <t>GS &lt; 50 Underground Average Cost</t>
  </si>
  <si>
    <t>GS &lt; 50 Overhead (2191 customers x $1544.56)</t>
  </si>
  <si>
    <t>GS &lt; 50 Underground (755 customers x$14,201.45)</t>
  </si>
  <si>
    <t>Totals</t>
  </si>
  <si>
    <t>GS &lt; 50 kW Cost per Customer</t>
  </si>
  <si>
    <t>GS &lt; 50 kW Weighting Factor</t>
  </si>
  <si>
    <t>GS &gt; 50 Overhead Average Cost</t>
  </si>
  <si>
    <t>GS &gt; 50 Underground Average Cost</t>
  </si>
  <si>
    <t>Overhead (54 customers x $14,023.24)</t>
  </si>
  <si>
    <t>Underground (256 customers x $16,391.24)</t>
  </si>
  <si>
    <t>GS 50 to 4,999 kW Cost per Customer</t>
  </si>
  <si>
    <t>GS 50 to 4,999 kW Weighting Factor</t>
  </si>
  <si>
    <t>Total 3 customers</t>
  </si>
  <si>
    <t>Large Use Cost per Customer</t>
  </si>
  <si>
    <t>Large Use Weighting Factor</t>
  </si>
  <si>
    <t>Cost per Customer</t>
  </si>
  <si>
    <t>USL Weighting Factor</t>
  </si>
  <si>
    <t>Summary 1855 Services Weighting Factors</t>
  </si>
  <si>
    <t>General Service &lt; 50 kW</t>
  </si>
  <si>
    <t>General Service 50 to 4,999 kW</t>
  </si>
  <si>
    <t>Street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</si>
</sst>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-* #,##0.00_-;\-* #,##0.00_-;_-* &quot;-&quot;??_-;_-@_-"/>
    <numFmt numFmtId="167" formatCode="_-* #,##0_-;\-* #,##0_-;_-* &quot;-&quot;??_-;_-@_-"/>
    <numFmt numFmtId="168" formatCode="_-&quot;$&quot;* #,##0.00_-;\-&quot;$&quot;* #,##0.00_-;_-&quot;$&quot;* &quot;-&quot;??_-;_-@_-"/>
    <numFmt numFmtId="169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</font>
    <font>
      <b/>
      <u/>
      <sz val="10"/>
      <name val="Arial"/>
      <family val="2"/>
    </font>
    <font>
      <u val="singleAccounting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/>
      <bottom style="thick">
        <color theme="0"/>
      </bottom>
      <diagonal/>
    </border>
    <border>
      <left style="thick">
        <color theme="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0" fillId="0" borderId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quotePrefix="1" applyFont="1" applyFill="1"/>
    <xf numFmtId="0" fontId="0" fillId="2" borderId="0" xfId="0" applyFill="1"/>
    <xf numFmtId="3" fontId="2" fillId="2" borderId="0" xfId="3" applyNumberFormat="1" applyFont="1" applyFill="1" applyAlignment="1">
      <alignment horizontal="left"/>
    </xf>
    <xf numFmtId="3" fontId="5" fillId="2" borderId="0" xfId="3" applyNumberFormat="1" applyFont="1" applyFill="1" applyAlignment="1">
      <alignment horizontal="center"/>
    </xf>
    <xf numFmtId="3" fontId="4" fillId="2" borderId="1" xfId="3" applyNumberFormat="1" applyFill="1" applyBorder="1" applyAlignment="1">
      <alignment horizontal="left"/>
    </xf>
    <xf numFmtId="3" fontId="5" fillId="2" borderId="1" xfId="3" applyNumberFormat="1" applyFont="1" applyFill="1" applyBorder="1" applyAlignment="1">
      <alignment horizontal="center"/>
    </xf>
    <xf numFmtId="0" fontId="3" fillId="0" borderId="2" xfId="0" applyFont="1" applyBorder="1"/>
    <xf numFmtId="0" fontId="3" fillId="2" borderId="2" xfId="0" applyFont="1" applyFill="1" applyBorder="1"/>
    <xf numFmtId="0" fontId="2" fillId="2" borderId="1" xfId="0" applyFont="1" applyFill="1" applyBorder="1"/>
    <xf numFmtId="0" fontId="6" fillId="2" borderId="0" xfId="0" applyFont="1" applyFill="1" applyAlignment="1">
      <alignment horizontal="center" wrapText="1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/>
    <xf numFmtId="0" fontId="3" fillId="2" borderId="9" xfId="0" applyFont="1" applyFill="1" applyBorder="1"/>
    <xf numFmtId="0" fontId="2" fillId="4" borderId="11" xfId="0" applyFont="1" applyFill="1" applyBorder="1"/>
    <xf numFmtId="0" fontId="2" fillId="5" borderId="11" xfId="0" applyFont="1" applyFill="1" applyBorder="1"/>
    <xf numFmtId="0" fontId="3" fillId="0" borderId="0" xfId="0" applyFont="1"/>
    <xf numFmtId="0" fontId="2" fillId="0" borderId="12" xfId="0" applyFont="1" applyBorder="1"/>
    <xf numFmtId="0" fontId="4" fillId="0" borderId="0" xfId="0" quotePrefix="1" applyFont="1" applyAlignment="1">
      <alignment horizontal="center"/>
    </xf>
    <xf numFmtId="164" fontId="3" fillId="5" borderId="13" xfId="0" applyNumberFormat="1" applyFont="1" applyFill="1" applyBorder="1"/>
    <xf numFmtId="2" fontId="3" fillId="5" borderId="14" xfId="0" applyNumberFormat="1" applyFont="1" applyFill="1" applyBorder="1" applyAlignment="1">
      <alignment horizontal="center"/>
    </xf>
    <xf numFmtId="2" fontId="3" fillId="5" borderId="15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5" borderId="16" xfId="0" applyNumberFormat="1" applyFont="1" applyFill="1" applyBorder="1"/>
    <xf numFmtId="2" fontId="3" fillId="5" borderId="17" xfId="0" applyNumberFormat="1" applyFont="1" applyFill="1" applyBorder="1" applyAlignment="1">
      <alignment horizontal="center"/>
    </xf>
    <xf numFmtId="2" fontId="3" fillId="5" borderId="18" xfId="0" applyNumberFormat="1" applyFont="1" applyFill="1" applyBorder="1" applyAlignment="1">
      <alignment horizontal="center"/>
    </xf>
    <xf numFmtId="0" fontId="4" fillId="0" borderId="0" xfId="0" quotePrefix="1" applyFont="1" applyAlignment="1">
      <alignment horizontal="left"/>
    </xf>
    <xf numFmtId="43" fontId="2" fillId="4" borderId="4" xfId="0" applyNumberFormat="1" applyFont="1" applyFill="1" applyBorder="1"/>
    <xf numFmtId="0" fontId="2" fillId="5" borderId="4" xfId="0" applyFont="1" applyFill="1" applyBorder="1"/>
    <xf numFmtId="0" fontId="2" fillId="5" borderId="11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43" fontId="3" fillId="5" borderId="4" xfId="0" applyNumberFormat="1" applyFont="1" applyFill="1" applyBorder="1"/>
    <xf numFmtId="0" fontId="3" fillId="0" borderId="12" xfId="0" applyFont="1" applyBorder="1"/>
    <xf numFmtId="0" fontId="3" fillId="0" borderId="0" xfId="0" applyFont="1" applyAlignment="1">
      <alignment horizontal="center"/>
    </xf>
    <xf numFmtId="164" fontId="3" fillId="5" borderId="19" xfId="0" applyNumberFormat="1" applyFont="1" applyFill="1" applyBorder="1"/>
    <xf numFmtId="3" fontId="3" fillId="0" borderId="20" xfId="0" applyNumberFormat="1" applyFont="1" applyBorder="1" applyAlignment="1">
      <alignment horizontal="center"/>
    </xf>
    <xf numFmtId="0" fontId="8" fillId="0" borderId="21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164" fontId="3" fillId="0" borderId="22" xfId="0" applyNumberFormat="1" applyFont="1" applyBorder="1"/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2" borderId="12" xfId="0" applyFont="1" applyFill="1" applyBorder="1"/>
    <xf numFmtId="2" fontId="2" fillId="0" borderId="23" xfId="0" applyNumberFormat="1" applyFont="1" applyBorder="1" applyAlignment="1">
      <alignment horizontal="center"/>
    </xf>
    <xf numFmtId="43" fontId="3" fillId="0" borderId="0" xfId="0" applyNumberFormat="1" applyFont="1"/>
    <xf numFmtId="164" fontId="8" fillId="5" borderId="24" xfId="0" applyNumberFormat="1" applyFont="1" applyFill="1" applyBorder="1"/>
    <xf numFmtId="0" fontId="3" fillId="0" borderId="0" xfId="0" applyFont="1" applyAlignment="1">
      <alignment horizontal="right"/>
    </xf>
    <xf numFmtId="3" fontId="3" fillId="0" borderId="25" xfId="2" applyNumberFormat="1" applyFont="1" applyFill="1" applyBorder="1" applyAlignment="1">
      <alignment horizontal="center"/>
    </xf>
    <xf numFmtId="0" fontId="3" fillId="2" borderId="26" xfId="0" applyFont="1" applyFill="1" applyBorder="1"/>
    <xf numFmtId="3" fontId="3" fillId="0" borderId="0" xfId="1" applyNumberFormat="1" applyFont="1" applyFill="1" applyAlignment="1">
      <alignment horizontal="center"/>
    </xf>
    <xf numFmtId="0" fontId="3" fillId="0" borderId="27" xfId="0" applyFont="1" applyBorder="1"/>
    <xf numFmtId="0" fontId="3" fillId="0" borderId="1" xfId="0" applyFont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25" xfId="0" applyNumberFormat="1" applyFont="1" applyBorder="1"/>
    <xf numFmtId="164" fontId="3" fillId="6" borderId="16" xfId="0" applyNumberFormat="1" applyFont="1" applyFill="1" applyBorder="1"/>
    <xf numFmtId="0" fontId="3" fillId="0" borderId="9" xfId="0" applyFont="1" applyBorder="1"/>
    <xf numFmtId="43" fontId="3" fillId="0" borderId="9" xfId="0" applyNumberFormat="1" applyFont="1" applyBorder="1" applyAlignment="1">
      <alignment horizontal="right"/>
    </xf>
    <xf numFmtId="164" fontId="8" fillId="5" borderId="28" xfId="0" applyNumberFormat="1" applyFont="1" applyFill="1" applyBorder="1"/>
    <xf numFmtId="2" fontId="3" fillId="0" borderId="0" xfId="0" applyNumberFormat="1" applyFont="1" applyAlignment="1">
      <alignment horizontal="right"/>
    </xf>
    <xf numFmtId="3" fontId="3" fillId="0" borderId="25" xfId="0" applyNumberFormat="1" applyFont="1" applyBorder="1" applyAlignment="1">
      <alignment horizontal="center"/>
    </xf>
    <xf numFmtId="0" fontId="3" fillId="0" borderId="26" xfId="0" applyFont="1" applyBorder="1"/>
    <xf numFmtId="164" fontId="8" fillId="2" borderId="29" xfId="0" applyNumberFormat="1" applyFont="1" applyFill="1" applyBorder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2" fontId="3" fillId="2" borderId="23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right"/>
    </xf>
    <xf numFmtId="0" fontId="3" fillId="2" borderId="31" xfId="0" applyFont="1" applyFill="1" applyBorder="1"/>
    <xf numFmtId="3" fontId="2" fillId="0" borderId="0" xfId="0" applyNumberFormat="1" applyFont="1" applyAlignment="1">
      <alignment horizontal="center"/>
    </xf>
    <xf numFmtId="0" fontId="8" fillId="0" borderId="0" xfId="0" applyFont="1"/>
    <xf numFmtId="0" fontId="3" fillId="0" borderId="24" xfId="0" applyFont="1" applyBorder="1" applyAlignment="1">
      <alignment horizontal="center"/>
    </xf>
    <xf numFmtId="0" fontId="3" fillId="0" borderId="29" xfId="0" applyFont="1" applyBorder="1"/>
    <xf numFmtId="0" fontId="3" fillId="0" borderId="3" xfId="0" applyFont="1" applyBorder="1"/>
    <xf numFmtId="2" fontId="2" fillId="2" borderId="32" xfId="0" applyNumberFormat="1" applyFont="1" applyFill="1" applyBorder="1" applyAlignment="1">
      <alignment horizontal="center"/>
    </xf>
    <xf numFmtId="164" fontId="3" fillId="0" borderId="16" xfId="0" applyNumberFormat="1" applyFont="1" applyBorder="1"/>
    <xf numFmtId="4" fontId="3" fillId="0" borderId="0" xfId="0" applyNumberFormat="1" applyFont="1" applyAlignment="1">
      <alignment horizontal="center"/>
    </xf>
    <xf numFmtId="0" fontId="3" fillId="0" borderId="24" xfId="0" applyFont="1" applyBorder="1"/>
    <xf numFmtId="0" fontId="3" fillId="0" borderId="33" xfId="0" applyFont="1" applyBorder="1"/>
    <xf numFmtId="2" fontId="3" fillId="0" borderId="34" xfId="1" applyNumberFormat="1" applyFont="1" applyFill="1" applyBorder="1" applyAlignment="1">
      <alignment horizontal="center"/>
    </xf>
    <xf numFmtId="2" fontId="3" fillId="0" borderId="35" xfId="1" applyNumberFormat="1" applyFont="1" applyFill="1" applyBorder="1" applyAlignment="1">
      <alignment horizontal="center"/>
    </xf>
    <xf numFmtId="2" fontId="3" fillId="0" borderId="36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2" fillId="0" borderId="34" xfId="1" applyNumberFormat="1" applyFont="1" applyFill="1" applyBorder="1" applyAlignment="1">
      <alignment horizontal="center"/>
    </xf>
    <xf numFmtId="2" fontId="2" fillId="0" borderId="35" xfId="1" applyNumberFormat="1" applyFont="1" applyFill="1" applyBorder="1" applyAlignment="1">
      <alignment horizontal="center"/>
    </xf>
    <xf numFmtId="2" fontId="2" fillId="0" borderId="36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center"/>
    </xf>
    <xf numFmtId="0" fontId="8" fillId="0" borderId="0" xfId="4" applyFont="1"/>
    <xf numFmtId="0" fontId="10" fillId="0" borderId="0" xfId="4"/>
    <xf numFmtId="167" fontId="0" fillId="0" borderId="0" xfId="5" applyNumberFormat="1" applyFont="1" applyFill="1"/>
    <xf numFmtId="0" fontId="8" fillId="0" borderId="0" xfId="4" applyFont="1" applyAlignment="1">
      <alignment horizontal="right"/>
    </xf>
    <xf numFmtId="0" fontId="11" fillId="0" borderId="0" xfId="4" applyFont="1"/>
    <xf numFmtId="168" fontId="0" fillId="0" borderId="0" xfId="6" applyFont="1"/>
    <xf numFmtId="0" fontId="4" fillId="0" borderId="0" xfId="4" applyFont="1"/>
    <xf numFmtId="169" fontId="0" fillId="0" borderId="0" xfId="6" applyNumberFormat="1" applyFont="1"/>
    <xf numFmtId="169" fontId="12" fillId="0" borderId="0" xfId="6" applyNumberFormat="1" applyFont="1"/>
    <xf numFmtId="169" fontId="10" fillId="0" borderId="0" xfId="4" applyNumberFormat="1"/>
    <xf numFmtId="0" fontId="4" fillId="0" borderId="0" xfId="4" applyFont="1" applyAlignment="1">
      <alignment horizontal="right"/>
    </xf>
    <xf numFmtId="44" fontId="4" fillId="0" borderId="0" xfId="4" applyNumberFormat="1" applyFont="1"/>
    <xf numFmtId="166" fontId="8" fillId="0" borderId="0" xfId="5" applyFont="1"/>
    <xf numFmtId="44" fontId="10" fillId="0" borderId="0" xfId="4" applyNumberFormat="1"/>
    <xf numFmtId="168" fontId="10" fillId="0" borderId="0" xfId="4" applyNumberFormat="1"/>
    <xf numFmtId="0" fontId="10" fillId="2" borderId="0" xfId="4" applyFill="1"/>
    <xf numFmtId="166" fontId="0" fillId="0" borderId="0" xfId="5" applyFont="1" applyFill="1" applyBorder="1"/>
  </cellXfs>
  <cellStyles count="7">
    <cellStyle name="Comma" xfId="1" builtinId="3"/>
    <cellStyle name="Comma 2" xfId="5" xr:uid="{21321461-CC33-45B8-B7C9-92F3B5002BC6}"/>
    <cellStyle name="Currency" xfId="2" builtinId="4"/>
    <cellStyle name="Currency 2" xfId="6" xr:uid="{81E1D7A1-08D4-4622-8C56-8DC31CD76503}"/>
    <cellStyle name="Normal" xfId="0" builtinId="0"/>
    <cellStyle name="Normal 2" xfId="4" xr:uid="{5458ABEA-4416-42E0-9F78-DDFC4FA05B61}"/>
    <cellStyle name="Normal 3" xfId="3" xr:uid="{1944281B-6D74-47FA-B1F5-62C9F3BCA18E}"/>
  </cellStyles>
  <dxfs count="15"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ill>
        <patternFill patternType="solid"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  <dxf>
      <fill>
        <patternFill patternType="solid"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strike val="0"/>
      </font>
      <fill>
        <patternFill patternType="gray0625"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%20Hydro/Kingston%20Hydro%202023%20COS%20Rate%20App%20EB-2022-0044/A%20_IR%20Questions/Responses%20-%20OEB%20Staff/Supporting%20Docs/7-Staff-70%20Weighting%20Factors_Billing%20and%20Collecting%20_202209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 Factors Bill_Collect_2023"/>
      <sheetName val="2023 Connection count "/>
      <sheetName val="Wtg Factors Bill_Collect_2021"/>
      <sheetName val="Sheet2"/>
      <sheetName val="Wtg Factors Bill_Collect_20 (2)"/>
      <sheetName val="7-Staff-70 WF Bill_Collect"/>
    </sheetNames>
    <sheetDataSet>
      <sheetData sheetId="0"/>
      <sheetData sheetId="1">
        <row r="52">
          <cell r="F52">
            <v>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21F4A-86B5-4E63-9A2E-3906E8F505BF}">
  <sheetPr>
    <tabColor theme="0" tint="-0.14999847407452621"/>
  </sheetPr>
  <dimension ref="B1:F60"/>
  <sheetViews>
    <sheetView tabSelected="1" workbookViewId="0">
      <selection activeCell="F8" sqref="F8"/>
    </sheetView>
  </sheetViews>
  <sheetFormatPr defaultRowHeight="12.7" x14ac:dyDescent="0.2"/>
  <cols>
    <col min="1" max="2" width="8.88671875" style="99"/>
    <col min="3" max="3" width="38.109375" style="99" customWidth="1"/>
    <col min="4" max="4" width="13.109375" style="99" bestFit="1" customWidth="1"/>
    <col min="5" max="5" width="8.88671875" style="99"/>
    <col min="6" max="6" width="9.88671875" style="99" bestFit="1" customWidth="1"/>
    <col min="7" max="16384" width="8.88671875" style="99"/>
  </cols>
  <sheetData>
    <row r="1" spans="3:4" ht="13.35" x14ac:dyDescent="0.25">
      <c r="C1" s="98" t="s">
        <v>78</v>
      </c>
    </row>
    <row r="3" spans="3:4" ht="13.35" x14ac:dyDescent="0.25">
      <c r="C3" s="98" t="s">
        <v>79</v>
      </c>
      <c r="D3" s="98" t="s">
        <v>80</v>
      </c>
    </row>
    <row r="4" spans="3:4" ht="15.35" x14ac:dyDescent="0.3">
      <c r="C4" s="99" t="s">
        <v>76</v>
      </c>
      <c r="D4" s="100">
        <v>24606</v>
      </c>
    </row>
    <row r="5" spans="3:4" ht="15.35" x14ac:dyDescent="0.3">
      <c r="C5" s="99" t="s">
        <v>81</v>
      </c>
      <c r="D5" s="100">
        <v>2946</v>
      </c>
    </row>
    <row r="6" spans="3:4" ht="15.35" x14ac:dyDescent="0.3">
      <c r="C6" s="99" t="s">
        <v>82</v>
      </c>
      <c r="D6" s="100">
        <v>310</v>
      </c>
    </row>
    <row r="7" spans="3:4" ht="15.35" x14ac:dyDescent="0.3">
      <c r="C7" s="99" t="s">
        <v>10</v>
      </c>
      <c r="D7" s="100">
        <v>3</v>
      </c>
    </row>
    <row r="8" spans="3:4" ht="15.35" x14ac:dyDescent="0.3">
      <c r="C8" s="99" t="s">
        <v>83</v>
      </c>
      <c r="D8" s="100">
        <v>169</v>
      </c>
    </row>
    <row r="9" spans="3:4" ht="15.35" x14ac:dyDescent="0.3">
      <c r="C9" s="99" t="s">
        <v>84</v>
      </c>
      <c r="D9" s="100">
        <v>2</v>
      </c>
    </row>
    <row r="11" spans="3:4" ht="13.35" x14ac:dyDescent="0.25">
      <c r="C11" s="98" t="s">
        <v>85</v>
      </c>
      <c r="D11" s="101" t="s">
        <v>86</v>
      </c>
    </row>
    <row r="12" spans="3:4" ht="13.35" x14ac:dyDescent="0.25">
      <c r="C12" s="102" t="s">
        <v>76</v>
      </c>
    </row>
    <row r="13" spans="3:4" ht="15.35" x14ac:dyDescent="0.3">
      <c r="C13" s="99" t="s">
        <v>87</v>
      </c>
      <c r="D13" s="103">
        <v>705.65</v>
      </c>
    </row>
    <row r="14" spans="3:4" ht="15.35" x14ac:dyDescent="0.3">
      <c r="C14" s="99" t="s">
        <v>88</v>
      </c>
      <c r="D14" s="103">
        <v>7487.29</v>
      </c>
    </row>
    <row r="16" spans="3:4" ht="15.35" x14ac:dyDescent="0.3">
      <c r="C16" s="104" t="s">
        <v>89</v>
      </c>
      <c r="D16" s="105">
        <v>13890579.119999999</v>
      </c>
    </row>
    <row r="17" spans="3:4" ht="14.7" x14ac:dyDescent="0.35">
      <c r="C17" s="104" t="s">
        <v>90</v>
      </c>
      <c r="D17" s="106">
        <v>36846451.548</v>
      </c>
    </row>
    <row r="18" spans="3:4" x14ac:dyDescent="0.2">
      <c r="C18" s="104" t="s">
        <v>91</v>
      </c>
      <c r="D18" s="107">
        <f>SUM(D16:D17)</f>
        <v>50737030.667999998</v>
      </c>
    </row>
    <row r="19" spans="3:4" x14ac:dyDescent="0.2">
      <c r="C19" s="108" t="s">
        <v>92</v>
      </c>
      <c r="D19" s="109">
        <f>D18/D4</f>
        <v>2061.9780000000001</v>
      </c>
    </row>
    <row r="20" spans="3:4" ht="13.35" x14ac:dyDescent="0.25">
      <c r="C20" s="101" t="s">
        <v>93</v>
      </c>
      <c r="D20" s="110">
        <v>1</v>
      </c>
    </row>
    <row r="22" spans="3:4" ht="13.35" x14ac:dyDescent="0.25">
      <c r="C22" s="102" t="s">
        <v>94</v>
      </c>
    </row>
    <row r="23" spans="3:4" x14ac:dyDescent="0.2">
      <c r="C23" s="104" t="s">
        <v>95</v>
      </c>
      <c r="D23" s="111">
        <v>1544.558404067438</v>
      </c>
    </row>
    <row r="24" spans="3:4" x14ac:dyDescent="0.2">
      <c r="C24" s="104" t="s">
        <v>96</v>
      </c>
      <c r="D24" s="111">
        <v>14201.445727116004</v>
      </c>
    </row>
    <row r="25" spans="3:4" ht="13.35" x14ac:dyDescent="0.25">
      <c r="C25" s="102"/>
    </row>
    <row r="26" spans="3:4" ht="15.35" x14ac:dyDescent="0.3">
      <c r="C26" s="104" t="s">
        <v>97</v>
      </c>
      <c r="D26" s="105">
        <v>3383690.0112000001</v>
      </c>
    </row>
    <row r="27" spans="3:4" ht="14.7" x14ac:dyDescent="0.35">
      <c r="C27" s="104" t="s">
        <v>98</v>
      </c>
      <c r="D27" s="106">
        <v>10726113.678399999</v>
      </c>
    </row>
    <row r="28" spans="3:4" x14ac:dyDescent="0.2">
      <c r="C28" s="104" t="s">
        <v>99</v>
      </c>
      <c r="D28" s="107">
        <f>SUM(D26:D27)</f>
        <v>14109803.689599998</v>
      </c>
    </row>
    <row r="30" spans="3:4" x14ac:dyDescent="0.2">
      <c r="C30" s="108" t="s">
        <v>100</v>
      </c>
      <c r="D30" s="111">
        <f>D28/D5</f>
        <v>4789.4785097080785</v>
      </c>
    </row>
    <row r="31" spans="3:4" ht="13.35" x14ac:dyDescent="0.25">
      <c r="C31" s="101" t="s">
        <v>101</v>
      </c>
      <c r="D31" s="110">
        <f>D30/$D$19</f>
        <v>2.3227592679010534</v>
      </c>
    </row>
    <row r="33" spans="3:6" ht="13.35" x14ac:dyDescent="0.25">
      <c r="C33" s="102" t="s">
        <v>82</v>
      </c>
    </row>
    <row r="34" spans="3:6" x14ac:dyDescent="0.2">
      <c r="C34" s="104" t="s">
        <v>102</v>
      </c>
      <c r="D34" s="111">
        <f>D37/54</f>
        <v>14023.235571428571</v>
      </c>
    </row>
    <row r="35" spans="3:6" x14ac:dyDescent="0.2">
      <c r="C35" s="104" t="s">
        <v>103</v>
      </c>
      <c r="D35" s="112">
        <f>D38/256</f>
        <v>16391.235242105264</v>
      </c>
    </row>
    <row r="36" spans="3:6" x14ac:dyDescent="0.2">
      <c r="C36" s="104"/>
      <c r="D36" s="112"/>
    </row>
    <row r="37" spans="3:6" ht="15.35" x14ac:dyDescent="0.3">
      <c r="C37" s="104" t="s">
        <v>104</v>
      </c>
      <c r="D37" s="105">
        <v>757254.72085714282</v>
      </c>
      <c r="F37" s="111"/>
    </row>
    <row r="38" spans="3:6" ht="14.7" x14ac:dyDescent="0.35">
      <c r="C38" s="104" t="s">
        <v>105</v>
      </c>
      <c r="D38" s="106">
        <v>4196156.2219789475</v>
      </c>
      <c r="F38" s="111"/>
    </row>
    <row r="39" spans="3:6" ht="15.35" x14ac:dyDescent="0.3">
      <c r="C39" s="104" t="s">
        <v>91</v>
      </c>
      <c r="D39" s="105">
        <v>4953410.94283609</v>
      </c>
    </row>
    <row r="41" spans="3:6" x14ac:dyDescent="0.2">
      <c r="C41" s="108" t="s">
        <v>106</v>
      </c>
      <c r="D41" s="111">
        <f>D39/D6</f>
        <v>15978.744976890614</v>
      </c>
    </row>
    <row r="42" spans="3:6" ht="13.35" x14ac:dyDescent="0.25">
      <c r="C42" s="101" t="s">
        <v>107</v>
      </c>
      <c r="D42" s="110">
        <f>D41/$D$19</f>
        <v>7.7492315518839741</v>
      </c>
    </row>
    <row r="44" spans="3:6" ht="13.35" x14ac:dyDescent="0.25">
      <c r="C44" s="102" t="s">
        <v>10</v>
      </c>
    </row>
    <row r="45" spans="3:6" ht="15.35" x14ac:dyDescent="0.3">
      <c r="C45" s="104" t="s">
        <v>108</v>
      </c>
      <c r="D45" s="103">
        <v>71761.744600000005</v>
      </c>
    </row>
    <row r="46" spans="3:6" x14ac:dyDescent="0.2">
      <c r="C46" s="108" t="s">
        <v>109</v>
      </c>
      <c r="D46" s="111">
        <f>D45/3</f>
        <v>23920.581533333334</v>
      </c>
    </row>
    <row r="47" spans="3:6" ht="13.35" x14ac:dyDescent="0.25">
      <c r="C47" s="101" t="s">
        <v>110</v>
      </c>
      <c r="D47" s="110">
        <f>D46/$D$19</f>
        <v>11.600793768572377</v>
      </c>
    </row>
    <row r="49" spans="2:4" ht="13.35" x14ac:dyDescent="0.25">
      <c r="C49" s="102" t="s">
        <v>83</v>
      </c>
    </row>
    <row r="50" spans="2:4" ht="15.35" x14ac:dyDescent="0.3">
      <c r="C50" s="104" t="s">
        <v>111</v>
      </c>
      <c r="D50" s="103">
        <v>398.07679999999999</v>
      </c>
    </row>
    <row r="51" spans="2:4" ht="13.35" x14ac:dyDescent="0.25">
      <c r="C51" s="101" t="s">
        <v>112</v>
      </c>
      <c r="D51" s="110">
        <f>D50/$D$19</f>
        <v>0.19305579399974199</v>
      </c>
    </row>
    <row r="53" spans="2:4" ht="13.35" x14ac:dyDescent="0.25">
      <c r="B53" s="113"/>
      <c r="C53" s="102" t="s">
        <v>113</v>
      </c>
    </row>
    <row r="54" spans="2:4" ht="15.35" x14ac:dyDescent="0.3">
      <c r="B54" s="113"/>
      <c r="C54" s="99" t="s">
        <v>76</v>
      </c>
      <c r="D54" s="114">
        <f>D20</f>
        <v>1</v>
      </c>
    </row>
    <row r="55" spans="2:4" ht="15.35" x14ac:dyDescent="0.3">
      <c r="B55" s="113"/>
      <c r="C55" s="99" t="s">
        <v>114</v>
      </c>
      <c r="D55" s="114">
        <f>D31</f>
        <v>2.3227592679010534</v>
      </c>
    </row>
    <row r="56" spans="2:4" ht="15.35" x14ac:dyDescent="0.3">
      <c r="B56" s="113"/>
      <c r="C56" s="99" t="s">
        <v>115</v>
      </c>
      <c r="D56" s="114">
        <f>D42</f>
        <v>7.7492315518839741</v>
      </c>
    </row>
    <row r="57" spans="2:4" ht="15.35" x14ac:dyDescent="0.3">
      <c r="B57" s="113"/>
      <c r="C57" s="99" t="s">
        <v>10</v>
      </c>
      <c r="D57" s="114">
        <f>D47</f>
        <v>11.600793768572377</v>
      </c>
    </row>
    <row r="58" spans="2:4" ht="15.35" x14ac:dyDescent="0.3">
      <c r="B58" s="113"/>
      <c r="C58" s="99" t="s">
        <v>83</v>
      </c>
      <c r="D58" s="114">
        <f>D51</f>
        <v>0.19305579399974199</v>
      </c>
    </row>
    <row r="59" spans="2:4" ht="15.35" x14ac:dyDescent="0.3">
      <c r="B59" s="113"/>
      <c r="C59" s="99" t="s">
        <v>116</v>
      </c>
      <c r="D59" s="114">
        <v>0</v>
      </c>
    </row>
    <row r="60" spans="2:4" x14ac:dyDescent="0.2">
      <c r="B60" s="1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0C7F-2EFF-4916-8A53-7D180E555079}">
  <sheetPr>
    <tabColor rgb="FFC00000"/>
  </sheetPr>
  <dimension ref="A1:V80"/>
  <sheetViews>
    <sheetView workbookViewId="0">
      <selection activeCell="B1" sqref="B1"/>
    </sheetView>
  </sheetViews>
  <sheetFormatPr defaultRowHeight="15.35" x14ac:dyDescent="0.3"/>
  <cols>
    <col min="1" max="1" width="24.88671875" customWidth="1"/>
    <col min="3" max="3" width="12.6640625" customWidth="1"/>
    <col min="4" max="4" width="7.88671875" customWidth="1"/>
    <col min="5" max="10" width="6.77734375" customWidth="1"/>
    <col min="11" max="11" width="8.5546875" customWidth="1"/>
    <col min="12" max="12" width="0.6640625" customWidth="1"/>
    <col min="13" max="14" width="6.77734375" customWidth="1"/>
    <col min="15" max="15" width="7.44140625" customWidth="1"/>
    <col min="16" max="16" width="7.5546875" customWidth="1"/>
    <col min="17" max="18" width="6.77734375" customWidth="1"/>
    <col min="19" max="19" width="3" style="4" customWidth="1"/>
    <col min="20" max="22" width="8.88671875" style="4"/>
  </cols>
  <sheetData>
    <row r="1" spans="1:18" x14ac:dyDescent="0.3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3">
      <c r="A2" s="2" t="s">
        <v>1</v>
      </c>
      <c r="B2" s="2"/>
      <c r="C2" s="2"/>
      <c r="D2" s="2"/>
      <c r="E2" s="5" t="s">
        <v>2</v>
      </c>
      <c r="F2" s="6"/>
      <c r="G2" s="6"/>
      <c r="H2" s="6"/>
      <c r="I2" s="6"/>
      <c r="J2" s="6"/>
      <c r="K2" s="2"/>
      <c r="L2" s="2"/>
      <c r="M2" s="2"/>
      <c r="N2" s="2"/>
      <c r="O2" s="2"/>
      <c r="P2" s="2"/>
      <c r="Q2" s="2"/>
      <c r="R2" s="2"/>
    </row>
    <row r="3" spans="1:18" x14ac:dyDescent="0.3">
      <c r="A3" s="2" t="s">
        <v>3</v>
      </c>
      <c r="B3" s="2"/>
      <c r="C3" s="2"/>
      <c r="D3" s="2"/>
      <c r="E3" s="7" t="s">
        <v>4</v>
      </c>
      <c r="F3" s="8"/>
      <c r="G3" s="8"/>
      <c r="H3" s="8"/>
      <c r="I3" s="8"/>
      <c r="J3" s="8"/>
      <c r="K3" s="9"/>
      <c r="L3" s="10"/>
      <c r="M3" s="11"/>
      <c r="N3" s="11" t="s">
        <v>5</v>
      </c>
      <c r="O3" s="11"/>
      <c r="P3" s="11"/>
      <c r="Q3" s="11"/>
      <c r="R3" s="11"/>
    </row>
    <row r="4" spans="1:18" ht="26" thickBot="1" x14ac:dyDescent="0.35">
      <c r="A4" s="2" t="s">
        <v>6</v>
      </c>
      <c r="B4" s="2"/>
      <c r="C4" s="2"/>
      <c r="D4" s="2"/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3">
        <f>SUM(E5:J5)</f>
        <v>28036</v>
      </c>
      <c r="L4" s="14"/>
      <c r="M4" s="12" t="s">
        <v>7</v>
      </c>
      <c r="N4" s="12" t="s">
        <v>8</v>
      </c>
      <c r="O4" s="12" t="s">
        <v>9</v>
      </c>
      <c r="P4" s="12" t="s">
        <v>10</v>
      </c>
      <c r="Q4" s="12" t="s">
        <v>11</v>
      </c>
      <c r="R4" s="12" t="s">
        <v>12</v>
      </c>
    </row>
    <row r="5" spans="1:18" ht="53.35" thickTop="1" thickBot="1" x14ac:dyDescent="0.35">
      <c r="A5" s="15" t="s">
        <v>13</v>
      </c>
      <c r="B5" s="16" t="s">
        <v>14</v>
      </c>
      <c r="C5" s="16"/>
      <c r="D5" s="17" t="s">
        <v>15</v>
      </c>
      <c r="E5" s="18">
        <v>24606</v>
      </c>
      <c r="F5" s="18">
        <v>2946</v>
      </c>
      <c r="G5" s="18">
        <v>310</v>
      </c>
      <c r="H5" s="18">
        <f>'[1]2023 Connection count '!F52</f>
        <v>3</v>
      </c>
      <c r="I5" s="18">
        <v>2</v>
      </c>
      <c r="J5" s="19">
        <v>169</v>
      </c>
      <c r="K5" s="20" t="s">
        <v>16</v>
      </c>
      <c r="L5" s="21"/>
      <c r="M5" s="22"/>
      <c r="N5" s="22"/>
      <c r="O5" s="22"/>
      <c r="P5" s="22"/>
      <c r="Q5" s="22"/>
      <c r="R5" s="22"/>
    </row>
    <row r="6" spans="1:18" x14ac:dyDescent="0.3">
      <c r="A6" s="23" t="s">
        <v>17</v>
      </c>
      <c r="B6" s="23" t="s">
        <v>18</v>
      </c>
      <c r="C6" s="24" t="s">
        <v>19</v>
      </c>
      <c r="D6" s="2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6" thickBot="1" x14ac:dyDescent="0.35">
      <c r="A7" s="26" t="s">
        <v>20</v>
      </c>
      <c r="B7" s="27" t="s">
        <v>21</v>
      </c>
      <c r="C7" s="2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6" thickBot="1" x14ac:dyDescent="0.35">
      <c r="A8" s="26"/>
      <c r="B8" s="27" t="s">
        <v>22</v>
      </c>
      <c r="C8" s="27"/>
      <c r="D8" s="28">
        <v>6116.22</v>
      </c>
      <c r="E8" s="29">
        <v>1</v>
      </c>
      <c r="F8" s="30">
        <v>1</v>
      </c>
      <c r="G8" s="30">
        <v>1</v>
      </c>
      <c r="H8" s="30">
        <v>0</v>
      </c>
      <c r="I8" s="30">
        <v>0</v>
      </c>
      <c r="J8" s="30">
        <v>0</v>
      </c>
      <c r="K8" s="31">
        <f t="shared" ref="K8:K32" si="0">IF(D8=0,0,IF(E8+F8+G8+H8+I8+J8=0,"",($E$5*E8+$F$5*F8+$G$5*G8+$H$5*H8+$I$5*I8+$J$5*J8)))</f>
        <v>27862</v>
      </c>
      <c r="L8" s="14"/>
      <c r="M8" s="32">
        <f t="shared" ref="M8:R32" si="1">IF($D8=0,0,IF(SUM(E8:J8)=0,"Data?",$D8/$K8*E8))</f>
        <v>0.21951834039193166</v>
      </c>
      <c r="N8" s="32">
        <f t="shared" si="1"/>
        <v>0.21951834039193166</v>
      </c>
      <c r="O8" s="32">
        <f t="shared" si="1"/>
        <v>0.21951834039193166</v>
      </c>
      <c r="P8" s="32">
        <f t="shared" si="1"/>
        <v>0</v>
      </c>
      <c r="Q8" s="32">
        <f t="shared" si="1"/>
        <v>0</v>
      </c>
      <c r="R8" s="32">
        <f t="shared" si="1"/>
        <v>0</v>
      </c>
    </row>
    <row r="9" spans="1:18" ht="16.7" thickTop="1" thickBot="1" x14ac:dyDescent="0.35">
      <c r="A9" s="26" t="s">
        <v>23</v>
      </c>
      <c r="B9" s="27" t="s">
        <v>22</v>
      </c>
      <c r="C9" s="27"/>
      <c r="D9" s="33">
        <v>1529.26</v>
      </c>
      <c r="E9" s="29">
        <v>1</v>
      </c>
      <c r="F9" s="30">
        <v>1</v>
      </c>
      <c r="G9" s="30">
        <v>1</v>
      </c>
      <c r="H9" s="34">
        <v>0</v>
      </c>
      <c r="I9" s="34">
        <v>0</v>
      </c>
      <c r="J9" s="34">
        <v>0</v>
      </c>
      <c r="K9" s="31">
        <f t="shared" si="0"/>
        <v>27862</v>
      </c>
      <c r="L9" s="14"/>
      <c r="M9" s="32">
        <f t="shared" si="1"/>
        <v>5.4886942789462351E-2</v>
      </c>
      <c r="N9" s="32">
        <f t="shared" si="1"/>
        <v>5.4886942789462351E-2</v>
      </c>
      <c r="O9" s="32">
        <f t="shared" si="1"/>
        <v>5.4886942789462351E-2</v>
      </c>
      <c r="P9" s="32">
        <f t="shared" si="1"/>
        <v>0</v>
      </c>
      <c r="Q9" s="32">
        <f t="shared" si="1"/>
        <v>0</v>
      </c>
      <c r="R9" s="32">
        <f t="shared" si="1"/>
        <v>0</v>
      </c>
    </row>
    <row r="10" spans="1:18" ht="16.7" thickTop="1" thickBot="1" x14ac:dyDescent="0.35">
      <c r="A10" s="26" t="s">
        <v>24</v>
      </c>
      <c r="B10" s="27" t="s">
        <v>22</v>
      </c>
      <c r="C10" s="27"/>
      <c r="D10" s="33">
        <v>52.33</v>
      </c>
      <c r="E10" s="29">
        <v>1</v>
      </c>
      <c r="F10" s="30">
        <v>1</v>
      </c>
      <c r="G10" s="30">
        <v>1</v>
      </c>
      <c r="H10" s="34">
        <v>0</v>
      </c>
      <c r="I10" s="34">
        <v>0</v>
      </c>
      <c r="J10" s="34">
        <v>0</v>
      </c>
      <c r="K10" s="31">
        <f t="shared" si="0"/>
        <v>27862</v>
      </c>
      <c r="L10" s="14"/>
      <c r="M10" s="32">
        <f t="shared" si="1"/>
        <v>1.8781853420429258E-3</v>
      </c>
      <c r="N10" s="32">
        <f t="shared" si="1"/>
        <v>1.8781853420429258E-3</v>
      </c>
      <c r="O10" s="32">
        <f t="shared" si="1"/>
        <v>1.8781853420429258E-3</v>
      </c>
      <c r="P10" s="32">
        <f t="shared" si="1"/>
        <v>0</v>
      </c>
      <c r="Q10" s="32">
        <f t="shared" si="1"/>
        <v>0</v>
      </c>
      <c r="R10" s="32">
        <f t="shared" si="1"/>
        <v>0</v>
      </c>
    </row>
    <row r="11" spans="1:18" ht="16.7" thickTop="1" thickBot="1" x14ac:dyDescent="0.35">
      <c r="A11" s="26"/>
      <c r="B11" s="27"/>
      <c r="C11" s="27"/>
      <c r="D11" s="33"/>
      <c r="E11" s="35">
        <v>1</v>
      </c>
      <c r="F11" s="34">
        <v>1</v>
      </c>
      <c r="G11" s="34">
        <v>1</v>
      </c>
      <c r="H11" s="34">
        <v>0</v>
      </c>
      <c r="I11" s="34">
        <v>0</v>
      </c>
      <c r="J11" s="34">
        <v>0</v>
      </c>
      <c r="K11" s="31">
        <f t="shared" si="0"/>
        <v>0</v>
      </c>
      <c r="L11" s="14"/>
      <c r="M11" s="32">
        <f t="shared" si="1"/>
        <v>0</v>
      </c>
      <c r="N11" s="32">
        <f t="shared" si="1"/>
        <v>0</v>
      </c>
      <c r="O11" s="32">
        <f t="shared" si="1"/>
        <v>0</v>
      </c>
      <c r="P11" s="32">
        <f t="shared" si="1"/>
        <v>0</v>
      </c>
      <c r="Q11" s="32">
        <f t="shared" si="1"/>
        <v>0</v>
      </c>
      <c r="R11" s="32">
        <f t="shared" si="1"/>
        <v>0</v>
      </c>
    </row>
    <row r="12" spans="1:18" ht="16.7" thickTop="1" thickBot="1" x14ac:dyDescent="0.35">
      <c r="A12" s="26" t="s">
        <v>20</v>
      </c>
      <c r="B12" s="27" t="s">
        <v>21</v>
      </c>
      <c r="C12" s="27"/>
      <c r="D12" s="33"/>
      <c r="E12" s="35">
        <v>1</v>
      </c>
      <c r="F12" s="34">
        <v>1</v>
      </c>
      <c r="G12" s="34">
        <v>1</v>
      </c>
      <c r="H12" s="34">
        <v>1</v>
      </c>
      <c r="I12" s="34">
        <v>1</v>
      </c>
      <c r="J12" s="34">
        <v>1</v>
      </c>
      <c r="K12" s="31">
        <f t="shared" si="0"/>
        <v>0</v>
      </c>
      <c r="L12" s="14"/>
      <c r="M12" s="32">
        <f t="shared" si="1"/>
        <v>0</v>
      </c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2">
        <f t="shared" si="1"/>
        <v>0</v>
      </c>
    </row>
    <row r="13" spans="1:18" ht="16.7" thickTop="1" thickBot="1" x14ac:dyDescent="0.35">
      <c r="A13" s="26"/>
      <c r="B13" s="27"/>
      <c r="C13" s="27"/>
      <c r="D13" s="33">
        <v>62145.88</v>
      </c>
      <c r="E13" s="35">
        <v>1</v>
      </c>
      <c r="F13" s="34">
        <v>1</v>
      </c>
      <c r="G13" s="34">
        <v>1</v>
      </c>
      <c r="H13" s="34">
        <v>1</v>
      </c>
      <c r="I13" s="34">
        <v>1</v>
      </c>
      <c r="J13" s="34">
        <v>1</v>
      </c>
      <c r="K13" s="31">
        <f t="shared" si="0"/>
        <v>28036</v>
      </c>
      <c r="L13" s="14"/>
      <c r="M13" s="32">
        <f t="shared" si="1"/>
        <v>2.2166457411898985</v>
      </c>
      <c r="N13" s="32">
        <f t="shared" si="1"/>
        <v>2.2166457411898985</v>
      </c>
      <c r="O13" s="32">
        <f t="shared" si="1"/>
        <v>2.2166457411898985</v>
      </c>
      <c r="P13" s="32">
        <f t="shared" si="1"/>
        <v>2.2166457411898985</v>
      </c>
      <c r="Q13" s="32">
        <f t="shared" si="1"/>
        <v>2.2166457411898985</v>
      </c>
      <c r="R13" s="32">
        <f t="shared" si="1"/>
        <v>2.2166457411898985</v>
      </c>
    </row>
    <row r="14" spans="1:18" ht="16.7" thickTop="1" thickBot="1" x14ac:dyDescent="0.35">
      <c r="A14" s="26" t="s">
        <v>25</v>
      </c>
      <c r="B14" s="27"/>
      <c r="C14" s="27"/>
      <c r="D14" s="33">
        <v>1593.79</v>
      </c>
      <c r="E14" s="35">
        <v>1</v>
      </c>
      <c r="F14" s="34">
        <v>1</v>
      </c>
      <c r="G14" s="34">
        <v>1</v>
      </c>
      <c r="H14" s="34">
        <v>0</v>
      </c>
      <c r="I14" s="34">
        <v>0</v>
      </c>
      <c r="J14" s="34">
        <v>0</v>
      </c>
      <c r="K14" s="31">
        <f t="shared" si="0"/>
        <v>27862</v>
      </c>
      <c r="L14" s="14"/>
      <c r="M14" s="32">
        <f t="shared" si="1"/>
        <v>5.7203000502476488E-2</v>
      </c>
      <c r="N14" s="32">
        <f t="shared" si="1"/>
        <v>5.7203000502476488E-2</v>
      </c>
      <c r="O14" s="32">
        <f t="shared" si="1"/>
        <v>5.7203000502476488E-2</v>
      </c>
      <c r="P14" s="32">
        <f t="shared" si="1"/>
        <v>0</v>
      </c>
      <c r="Q14" s="32">
        <f t="shared" si="1"/>
        <v>0</v>
      </c>
      <c r="R14" s="32">
        <f t="shared" si="1"/>
        <v>0</v>
      </c>
    </row>
    <row r="15" spans="1:18" ht="16.7" thickTop="1" thickBot="1" x14ac:dyDescent="0.35">
      <c r="A15" s="26" t="s">
        <v>26</v>
      </c>
      <c r="B15" s="27"/>
      <c r="C15" s="27"/>
      <c r="D15" s="33">
        <v>24.27</v>
      </c>
      <c r="E15" s="35">
        <v>1</v>
      </c>
      <c r="F15" s="34">
        <v>1</v>
      </c>
      <c r="G15" s="34">
        <v>1</v>
      </c>
      <c r="H15" s="34">
        <v>0</v>
      </c>
      <c r="I15" s="34">
        <v>0</v>
      </c>
      <c r="J15" s="34">
        <v>0</v>
      </c>
      <c r="K15" s="31">
        <f t="shared" si="0"/>
        <v>27862</v>
      </c>
      <c r="L15" s="14"/>
      <c r="M15" s="32">
        <f t="shared" si="1"/>
        <v>8.7107888880913074E-4</v>
      </c>
      <c r="N15" s="32">
        <f t="shared" si="1"/>
        <v>8.7107888880913074E-4</v>
      </c>
      <c r="O15" s="32">
        <f t="shared" si="1"/>
        <v>8.7107888880913074E-4</v>
      </c>
      <c r="P15" s="32">
        <f t="shared" si="1"/>
        <v>0</v>
      </c>
      <c r="Q15" s="32">
        <f t="shared" si="1"/>
        <v>0</v>
      </c>
      <c r="R15" s="32">
        <f t="shared" si="1"/>
        <v>0</v>
      </c>
    </row>
    <row r="16" spans="1:18" ht="16.7" thickTop="1" thickBot="1" x14ac:dyDescent="0.35">
      <c r="A16" s="26" t="s">
        <v>23</v>
      </c>
      <c r="B16" s="27"/>
      <c r="C16" s="27"/>
      <c r="D16" s="33">
        <v>16083.04</v>
      </c>
      <c r="E16" s="35">
        <v>1</v>
      </c>
      <c r="F16" s="34">
        <v>1</v>
      </c>
      <c r="G16" s="34">
        <v>1</v>
      </c>
      <c r="H16" s="34">
        <v>0</v>
      </c>
      <c r="I16" s="34">
        <v>0</v>
      </c>
      <c r="J16" s="34">
        <v>0</v>
      </c>
      <c r="K16" s="31">
        <f t="shared" si="0"/>
        <v>27862</v>
      </c>
      <c r="L16" s="14"/>
      <c r="M16" s="32">
        <f t="shared" si="1"/>
        <v>0.57723925059220449</v>
      </c>
      <c r="N16" s="32">
        <f t="shared" si="1"/>
        <v>0.57723925059220449</v>
      </c>
      <c r="O16" s="32">
        <f t="shared" si="1"/>
        <v>0.57723925059220449</v>
      </c>
      <c r="P16" s="32">
        <f t="shared" si="1"/>
        <v>0</v>
      </c>
      <c r="Q16" s="32">
        <f t="shared" si="1"/>
        <v>0</v>
      </c>
      <c r="R16" s="32">
        <f t="shared" si="1"/>
        <v>0</v>
      </c>
    </row>
    <row r="17" spans="1:18" ht="16.7" thickTop="1" thickBot="1" x14ac:dyDescent="0.35">
      <c r="A17" s="26" t="s">
        <v>24</v>
      </c>
      <c r="B17" s="27"/>
      <c r="C17" s="27"/>
      <c r="D17" s="33">
        <v>533.51</v>
      </c>
      <c r="E17" s="35">
        <v>1</v>
      </c>
      <c r="F17" s="34">
        <v>1</v>
      </c>
      <c r="G17" s="34">
        <v>1</v>
      </c>
      <c r="H17" s="34">
        <v>0</v>
      </c>
      <c r="I17" s="34">
        <v>0</v>
      </c>
      <c r="J17" s="34">
        <v>0</v>
      </c>
      <c r="K17" s="31">
        <f t="shared" si="0"/>
        <v>27862</v>
      </c>
      <c r="L17" s="14"/>
      <c r="M17" s="32">
        <f t="shared" si="1"/>
        <v>1.9148302347283038E-2</v>
      </c>
      <c r="N17" s="32">
        <f t="shared" si="1"/>
        <v>1.9148302347283038E-2</v>
      </c>
      <c r="O17" s="32">
        <f t="shared" si="1"/>
        <v>1.9148302347283038E-2</v>
      </c>
      <c r="P17" s="32">
        <f t="shared" si="1"/>
        <v>0</v>
      </c>
      <c r="Q17" s="32">
        <f t="shared" si="1"/>
        <v>0</v>
      </c>
      <c r="R17" s="32">
        <f t="shared" si="1"/>
        <v>0</v>
      </c>
    </row>
    <row r="18" spans="1:18" ht="16.7" thickTop="1" thickBot="1" x14ac:dyDescent="0.35">
      <c r="A18" s="26" t="s">
        <v>27</v>
      </c>
      <c r="B18" s="27"/>
      <c r="C18" s="27"/>
      <c r="D18" s="33">
        <v>76.510000000000005</v>
      </c>
      <c r="E18" s="35">
        <v>1</v>
      </c>
      <c r="F18" s="34">
        <v>1</v>
      </c>
      <c r="G18" s="34">
        <v>1</v>
      </c>
      <c r="H18" s="34">
        <v>0</v>
      </c>
      <c r="I18" s="34">
        <v>0</v>
      </c>
      <c r="J18" s="34">
        <v>0</v>
      </c>
      <c r="K18" s="31">
        <f t="shared" si="0"/>
        <v>27862</v>
      </c>
      <c r="L18" s="14"/>
      <c r="M18" s="32">
        <f t="shared" si="1"/>
        <v>2.7460340248366953E-3</v>
      </c>
      <c r="N18" s="32">
        <f t="shared" si="1"/>
        <v>2.7460340248366953E-3</v>
      </c>
      <c r="O18" s="32">
        <f t="shared" si="1"/>
        <v>2.7460340248366953E-3</v>
      </c>
      <c r="P18" s="32">
        <f t="shared" si="1"/>
        <v>0</v>
      </c>
      <c r="Q18" s="32">
        <f t="shared" si="1"/>
        <v>0</v>
      </c>
      <c r="R18" s="32">
        <f t="shared" si="1"/>
        <v>0</v>
      </c>
    </row>
    <row r="19" spans="1:18" ht="16.7" thickTop="1" thickBot="1" x14ac:dyDescent="0.35">
      <c r="A19" s="26" t="s">
        <v>28</v>
      </c>
      <c r="B19" s="27"/>
      <c r="C19" s="27"/>
      <c r="D19" s="33">
        <v>53.59</v>
      </c>
      <c r="E19" s="35">
        <v>1</v>
      </c>
      <c r="F19" s="34">
        <v>1</v>
      </c>
      <c r="G19" s="34">
        <v>1</v>
      </c>
      <c r="H19" s="34">
        <v>0</v>
      </c>
      <c r="I19" s="34">
        <v>0</v>
      </c>
      <c r="J19" s="34">
        <v>0</v>
      </c>
      <c r="K19" s="31">
        <f t="shared" si="0"/>
        <v>27862</v>
      </c>
      <c r="L19" s="14"/>
      <c r="M19" s="32">
        <f t="shared" si="1"/>
        <v>1.9234082262579858E-3</v>
      </c>
      <c r="N19" s="32">
        <f t="shared" si="1"/>
        <v>1.9234082262579858E-3</v>
      </c>
      <c r="O19" s="32">
        <f t="shared" si="1"/>
        <v>1.9234082262579858E-3</v>
      </c>
      <c r="P19" s="32">
        <f t="shared" si="1"/>
        <v>0</v>
      </c>
      <c r="Q19" s="32">
        <f t="shared" si="1"/>
        <v>0</v>
      </c>
      <c r="R19" s="32">
        <f t="shared" si="1"/>
        <v>0</v>
      </c>
    </row>
    <row r="20" spans="1:18" ht="16.7" thickTop="1" thickBot="1" x14ac:dyDescent="0.35">
      <c r="A20" s="26" t="s">
        <v>29</v>
      </c>
      <c r="B20" s="27"/>
      <c r="C20" s="27"/>
      <c r="D20" s="33">
        <v>497.62</v>
      </c>
      <c r="E20" s="35">
        <v>1</v>
      </c>
      <c r="F20" s="34">
        <v>1</v>
      </c>
      <c r="G20" s="34">
        <v>1</v>
      </c>
      <c r="H20" s="34">
        <v>0</v>
      </c>
      <c r="I20" s="34">
        <v>0</v>
      </c>
      <c r="J20" s="34">
        <v>0</v>
      </c>
      <c r="K20" s="31">
        <f t="shared" si="0"/>
        <v>27862</v>
      </c>
      <c r="L20" s="14"/>
      <c r="M20" s="32">
        <f t="shared" si="1"/>
        <v>1.7860167970712798E-2</v>
      </c>
      <c r="N20" s="32">
        <f t="shared" si="1"/>
        <v>1.7860167970712798E-2</v>
      </c>
      <c r="O20" s="32">
        <f t="shared" si="1"/>
        <v>1.7860167970712798E-2</v>
      </c>
      <c r="P20" s="32">
        <f t="shared" si="1"/>
        <v>0</v>
      </c>
      <c r="Q20" s="32">
        <f t="shared" si="1"/>
        <v>0</v>
      </c>
      <c r="R20" s="32">
        <f t="shared" si="1"/>
        <v>0</v>
      </c>
    </row>
    <row r="21" spans="1:18" ht="16.7" thickTop="1" thickBot="1" x14ac:dyDescent="0.35">
      <c r="A21" s="26" t="s">
        <v>30</v>
      </c>
      <c r="B21" s="27"/>
      <c r="C21" s="27"/>
      <c r="D21" s="33">
        <v>-624.52</v>
      </c>
      <c r="E21" s="35">
        <v>1</v>
      </c>
      <c r="F21" s="34">
        <v>1</v>
      </c>
      <c r="G21" s="34">
        <v>1</v>
      </c>
      <c r="H21" s="34">
        <v>1</v>
      </c>
      <c r="I21" s="34">
        <v>1</v>
      </c>
      <c r="J21" s="34">
        <v>1</v>
      </c>
      <c r="K21" s="31">
        <f t="shared" si="0"/>
        <v>28036</v>
      </c>
      <c r="L21" s="14"/>
      <c r="M21" s="32">
        <f t="shared" si="1"/>
        <v>-2.2275645598516192E-2</v>
      </c>
      <c r="N21" s="32">
        <f t="shared" si="1"/>
        <v>-2.2275645598516192E-2</v>
      </c>
      <c r="O21" s="32">
        <f t="shared" si="1"/>
        <v>-2.2275645598516192E-2</v>
      </c>
      <c r="P21" s="32">
        <f t="shared" si="1"/>
        <v>-2.2275645598516192E-2</v>
      </c>
      <c r="Q21" s="32">
        <f t="shared" si="1"/>
        <v>-2.2275645598516192E-2</v>
      </c>
      <c r="R21" s="32">
        <f t="shared" si="1"/>
        <v>-2.2275645598516192E-2</v>
      </c>
    </row>
    <row r="22" spans="1:18" ht="16.7" thickTop="1" thickBot="1" x14ac:dyDescent="0.35">
      <c r="A22" s="26"/>
      <c r="B22" s="36" t="s">
        <v>31</v>
      </c>
      <c r="C22" s="27"/>
      <c r="D22" s="33">
        <v>8938.44</v>
      </c>
      <c r="E22" s="35">
        <v>1</v>
      </c>
      <c r="F22" s="34">
        <v>1</v>
      </c>
      <c r="G22" s="34">
        <v>1</v>
      </c>
      <c r="H22" s="34">
        <v>0</v>
      </c>
      <c r="I22" s="34">
        <v>0</v>
      </c>
      <c r="J22" s="34">
        <v>0</v>
      </c>
      <c r="K22" s="31">
        <f t="shared" si="0"/>
        <v>27862</v>
      </c>
      <c r="L22" s="14"/>
      <c r="M22" s="32">
        <f t="shared" si="1"/>
        <v>0.32081114062163524</v>
      </c>
      <c r="N22" s="32">
        <f t="shared" si="1"/>
        <v>0.32081114062163524</v>
      </c>
      <c r="O22" s="32">
        <f t="shared" si="1"/>
        <v>0.32081114062163524</v>
      </c>
      <c r="P22" s="32">
        <f t="shared" si="1"/>
        <v>0</v>
      </c>
      <c r="Q22" s="32">
        <f t="shared" si="1"/>
        <v>0</v>
      </c>
      <c r="R22" s="32">
        <f t="shared" si="1"/>
        <v>0</v>
      </c>
    </row>
    <row r="23" spans="1:18" ht="16.7" thickTop="1" thickBot="1" x14ac:dyDescent="0.35">
      <c r="A23" s="26" t="s">
        <v>32</v>
      </c>
      <c r="B23" s="36" t="s">
        <v>33</v>
      </c>
      <c r="C23" s="27"/>
      <c r="D23" s="33">
        <v>13658.23</v>
      </c>
      <c r="E23" s="35">
        <v>1</v>
      </c>
      <c r="F23" s="34">
        <v>1</v>
      </c>
      <c r="G23" s="34">
        <v>1</v>
      </c>
      <c r="H23" s="34">
        <v>0</v>
      </c>
      <c r="I23" s="34">
        <v>0</v>
      </c>
      <c r="J23" s="34">
        <v>0</v>
      </c>
      <c r="K23" s="31">
        <f t="shared" si="0"/>
        <v>27862</v>
      </c>
      <c r="L23" s="14"/>
      <c r="M23" s="32">
        <f t="shared" si="1"/>
        <v>0.49020996339099848</v>
      </c>
      <c r="N23" s="32">
        <f t="shared" si="1"/>
        <v>0.49020996339099848</v>
      </c>
      <c r="O23" s="32">
        <f t="shared" si="1"/>
        <v>0.49020996339099848</v>
      </c>
      <c r="P23" s="32">
        <f t="shared" si="1"/>
        <v>0</v>
      </c>
      <c r="Q23" s="32">
        <f t="shared" si="1"/>
        <v>0</v>
      </c>
      <c r="R23" s="32">
        <f t="shared" si="1"/>
        <v>0</v>
      </c>
    </row>
    <row r="24" spans="1:18" ht="16.7" thickTop="1" thickBot="1" x14ac:dyDescent="0.35">
      <c r="A24" s="26" t="s">
        <v>34</v>
      </c>
      <c r="B24" s="36" t="s">
        <v>35</v>
      </c>
      <c r="C24" s="27"/>
      <c r="D24" s="33">
        <v>36590.76</v>
      </c>
      <c r="E24" s="35">
        <v>1</v>
      </c>
      <c r="F24" s="34">
        <v>1</v>
      </c>
      <c r="G24" s="34">
        <v>1</v>
      </c>
      <c r="H24" s="34">
        <v>0</v>
      </c>
      <c r="I24" s="34">
        <v>0</v>
      </c>
      <c r="J24" s="34">
        <v>0</v>
      </c>
      <c r="K24" s="31">
        <f t="shared" si="0"/>
        <v>27862</v>
      </c>
      <c r="L24" s="14"/>
      <c r="M24" s="32">
        <f t="shared" si="1"/>
        <v>1.3132854784294021</v>
      </c>
      <c r="N24" s="32">
        <f t="shared" si="1"/>
        <v>1.3132854784294021</v>
      </c>
      <c r="O24" s="32">
        <f t="shared" si="1"/>
        <v>1.3132854784294021</v>
      </c>
      <c r="P24" s="32">
        <f t="shared" si="1"/>
        <v>0</v>
      </c>
      <c r="Q24" s="32">
        <f t="shared" si="1"/>
        <v>0</v>
      </c>
      <c r="R24" s="32">
        <f t="shared" si="1"/>
        <v>0</v>
      </c>
    </row>
    <row r="25" spans="1:18" ht="16.7" thickTop="1" thickBot="1" x14ac:dyDescent="0.35">
      <c r="A25" s="26" t="s">
        <v>36</v>
      </c>
      <c r="B25" s="36" t="s">
        <v>37</v>
      </c>
      <c r="C25" s="27"/>
      <c r="D25" s="33"/>
      <c r="E25" s="35">
        <v>1</v>
      </c>
      <c r="F25" s="34">
        <v>1</v>
      </c>
      <c r="G25" s="34">
        <v>1</v>
      </c>
      <c r="H25" s="34">
        <v>0</v>
      </c>
      <c r="I25" s="34">
        <v>0</v>
      </c>
      <c r="J25" s="34">
        <v>0</v>
      </c>
      <c r="K25" s="31">
        <f t="shared" si="0"/>
        <v>0</v>
      </c>
      <c r="L25" s="14"/>
      <c r="M25" s="32">
        <f t="shared" si="1"/>
        <v>0</v>
      </c>
      <c r="N25" s="32">
        <f t="shared" si="1"/>
        <v>0</v>
      </c>
      <c r="O25" s="32">
        <f t="shared" si="1"/>
        <v>0</v>
      </c>
      <c r="P25" s="32">
        <f t="shared" si="1"/>
        <v>0</v>
      </c>
      <c r="Q25" s="32">
        <f t="shared" si="1"/>
        <v>0</v>
      </c>
      <c r="R25" s="32">
        <f t="shared" si="1"/>
        <v>0</v>
      </c>
    </row>
    <row r="26" spans="1:18" ht="16.7" thickTop="1" thickBot="1" x14ac:dyDescent="0.35">
      <c r="A26" s="23"/>
      <c r="B26" s="23"/>
      <c r="C26" s="37">
        <v>139571.11999999997</v>
      </c>
      <c r="D26" s="33"/>
      <c r="E26" s="35">
        <v>1</v>
      </c>
      <c r="F26" s="34">
        <v>1</v>
      </c>
      <c r="G26" s="34">
        <v>1</v>
      </c>
      <c r="H26" s="34">
        <v>1</v>
      </c>
      <c r="I26" s="34">
        <v>1</v>
      </c>
      <c r="J26" s="34">
        <v>1</v>
      </c>
      <c r="K26" s="31">
        <f t="shared" si="0"/>
        <v>0</v>
      </c>
      <c r="L26" s="14"/>
      <c r="M26" s="32">
        <f t="shared" si="1"/>
        <v>0</v>
      </c>
      <c r="N26" s="32">
        <f t="shared" si="1"/>
        <v>0</v>
      </c>
      <c r="O26" s="32">
        <f t="shared" si="1"/>
        <v>0</v>
      </c>
      <c r="P26" s="32">
        <f t="shared" si="1"/>
        <v>0</v>
      </c>
      <c r="Q26" s="32">
        <f t="shared" si="1"/>
        <v>0</v>
      </c>
      <c r="R26" s="32">
        <f t="shared" si="1"/>
        <v>0</v>
      </c>
    </row>
    <row r="27" spans="1:18" ht="16.7" thickTop="1" thickBot="1" x14ac:dyDescent="0.35">
      <c r="A27" s="23"/>
      <c r="B27" s="23"/>
      <c r="C27" s="38" t="s">
        <v>38</v>
      </c>
      <c r="D27" s="33"/>
      <c r="E27" s="35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1">
        <f t="shared" si="0"/>
        <v>0</v>
      </c>
      <c r="L27" s="14"/>
      <c r="M27" s="32">
        <f t="shared" si="1"/>
        <v>0</v>
      </c>
      <c r="N27" s="32">
        <f t="shared" si="1"/>
        <v>0</v>
      </c>
      <c r="O27" s="32">
        <f t="shared" si="1"/>
        <v>0</v>
      </c>
      <c r="P27" s="32">
        <f t="shared" si="1"/>
        <v>0</v>
      </c>
      <c r="Q27" s="32">
        <f t="shared" si="1"/>
        <v>0</v>
      </c>
      <c r="R27" s="32">
        <f t="shared" si="1"/>
        <v>0</v>
      </c>
    </row>
    <row r="28" spans="1:18" ht="16.7" thickTop="1" thickBot="1" x14ac:dyDescent="0.35">
      <c r="A28" s="23" t="s">
        <v>17</v>
      </c>
      <c r="B28" s="23" t="s">
        <v>18</v>
      </c>
      <c r="C28" s="38" t="s">
        <v>39</v>
      </c>
      <c r="D28" s="33"/>
      <c r="E28" s="35">
        <v>1</v>
      </c>
      <c r="F28" s="34">
        <v>1</v>
      </c>
      <c r="G28" s="34">
        <v>1</v>
      </c>
      <c r="H28" s="34">
        <v>1</v>
      </c>
      <c r="I28" s="34">
        <v>1</v>
      </c>
      <c r="J28" s="34">
        <v>1</v>
      </c>
      <c r="K28" s="31">
        <f t="shared" si="0"/>
        <v>0</v>
      </c>
      <c r="L28" s="14"/>
      <c r="M28" s="32">
        <f t="shared" si="1"/>
        <v>0</v>
      </c>
      <c r="N28" s="32">
        <f t="shared" si="1"/>
        <v>0</v>
      </c>
      <c r="O28" s="32">
        <f t="shared" si="1"/>
        <v>0</v>
      </c>
      <c r="P28" s="32">
        <f t="shared" si="1"/>
        <v>0</v>
      </c>
      <c r="Q28" s="32">
        <f t="shared" si="1"/>
        <v>0</v>
      </c>
      <c r="R28" s="32">
        <f t="shared" si="1"/>
        <v>0</v>
      </c>
    </row>
    <row r="29" spans="1:18" ht="16.7" thickTop="1" thickBot="1" x14ac:dyDescent="0.35">
      <c r="A29" s="39" t="s">
        <v>40</v>
      </c>
      <c r="B29" s="40" t="s">
        <v>41</v>
      </c>
      <c r="C29" s="41"/>
      <c r="D29" s="33">
        <v>331.36</v>
      </c>
      <c r="E29" s="35">
        <v>1</v>
      </c>
      <c r="F29" s="34">
        <v>1</v>
      </c>
      <c r="G29" s="34">
        <v>1</v>
      </c>
      <c r="H29" s="34">
        <v>0</v>
      </c>
      <c r="I29" s="34">
        <v>0</v>
      </c>
      <c r="J29" s="34">
        <v>0</v>
      </c>
      <c r="K29" s="31">
        <f t="shared" si="0"/>
        <v>27862</v>
      </c>
      <c r="L29" s="14"/>
      <c r="M29" s="32">
        <f t="shared" si="1"/>
        <v>1.1892900725001794E-2</v>
      </c>
      <c r="N29" s="32">
        <f t="shared" si="1"/>
        <v>1.1892900725001794E-2</v>
      </c>
      <c r="O29" s="32">
        <f t="shared" si="1"/>
        <v>1.1892900725001794E-2</v>
      </c>
      <c r="P29" s="32">
        <f t="shared" si="1"/>
        <v>0</v>
      </c>
      <c r="Q29" s="32">
        <f t="shared" si="1"/>
        <v>0</v>
      </c>
      <c r="R29" s="32">
        <f t="shared" si="1"/>
        <v>0</v>
      </c>
    </row>
    <row r="30" spans="1:18" ht="16.7" thickTop="1" thickBot="1" x14ac:dyDescent="0.35">
      <c r="A30" s="39" t="s">
        <v>42</v>
      </c>
      <c r="B30" s="40" t="s">
        <v>41</v>
      </c>
      <c r="C30" s="41"/>
      <c r="D30" s="33">
        <v>36.96</v>
      </c>
      <c r="E30" s="35">
        <v>1</v>
      </c>
      <c r="F30" s="34">
        <v>1</v>
      </c>
      <c r="G30" s="34">
        <v>1</v>
      </c>
      <c r="H30" s="34">
        <v>0</v>
      </c>
      <c r="I30" s="34">
        <v>0</v>
      </c>
      <c r="J30" s="34">
        <v>0</v>
      </c>
      <c r="K30" s="31">
        <f t="shared" si="0"/>
        <v>27862</v>
      </c>
      <c r="L30" s="14"/>
      <c r="M30" s="32">
        <f t="shared" si="1"/>
        <v>1.3265379369750915E-3</v>
      </c>
      <c r="N30" s="32">
        <f t="shared" si="1"/>
        <v>1.3265379369750915E-3</v>
      </c>
      <c r="O30" s="32">
        <f t="shared" si="1"/>
        <v>1.3265379369750915E-3</v>
      </c>
      <c r="P30" s="32">
        <f t="shared" si="1"/>
        <v>0</v>
      </c>
      <c r="Q30" s="32">
        <f t="shared" si="1"/>
        <v>0</v>
      </c>
      <c r="R30" s="32">
        <f t="shared" si="1"/>
        <v>0</v>
      </c>
    </row>
    <row r="31" spans="1:18" ht="16.7" thickTop="1" thickBot="1" x14ac:dyDescent="0.35">
      <c r="A31" s="23"/>
      <c r="B31" s="23"/>
      <c r="C31" s="37">
        <v>368.32</v>
      </c>
      <c r="D31" s="33"/>
      <c r="E31" s="35">
        <v>1</v>
      </c>
      <c r="F31" s="34">
        <v>1</v>
      </c>
      <c r="G31" s="34">
        <v>1</v>
      </c>
      <c r="H31" s="34">
        <v>1</v>
      </c>
      <c r="I31" s="34">
        <v>1</v>
      </c>
      <c r="J31" s="34">
        <v>1</v>
      </c>
      <c r="K31" s="31">
        <f t="shared" si="0"/>
        <v>0</v>
      </c>
      <c r="L31" s="14"/>
      <c r="M31" s="32">
        <f t="shared" si="1"/>
        <v>0</v>
      </c>
      <c r="N31" s="32">
        <f t="shared" si="1"/>
        <v>0</v>
      </c>
      <c r="O31" s="32">
        <f t="shared" si="1"/>
        <v>0</v>
      </c>
      <c r="P31" s="32">
        <f t="shared" si="1"/>
        <v>0</v>
      </c>
      <c r="Q31" s="32">
        <f t="shared" si="1"/>
        <v>0</v>
      </c>
      <c r="R31" s="32">
        <f t="shared" si="1"/>
        <v>0</v>
      </c>
    </row>
    <row r="32" spans="1:18" ht="16.7" thickTop="1" thickBot="1" x14ac:dyDescent="0.35">
      <c r="A32" s="42"/>
      <c r="B32" s="43"/>
      <c r="C32" s="43"/>
      <c r="D32" s="44"/>
      <c r="E32" s="35"/>
      <c r="F32" s="34"/>
      <c r="G32" s="34"/>
      <c r="H32" s="34"/>
      <c r="I32" s="34"/>
      <c r="J32" s="34"/>
      <c r="K32" s="45">
        <f t="shared" si="0"/>
        <v>0</v>
      </c>
      <c r="L32" s="14"/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</row>
    <row r="33" spans="1:18" ht="16.7" thickTop="1" thickBot="1" x14ac:dyDescent="0.35">
      <c r="A33" s="46" t="s">
        <v>43</v>
      </c>
      <c r="B33" s="47"/>
      <c r="C33" s="48" t="s">
        <v>44</v>
      </c>
      <c r="D33" s="49"/>
      <c r="E33" s="50"/>
      <c r="F33" s="50"/>
      <c r="G33" s="50"/>
      <c r="H33" s="50"/>
      <c r="I33" s="50"/>
      <c r="J33" s="50"/>
      <c r="K33" s="51" t="s">
        <v>45</v>
      </c>
      <c r="L33" s="52"/>
      <c r="M33" s="53">
        <f>SUM(M8:M32)</f>
        <v>5.2851708277714122</v>
      </c>
      <c r="N33" s="53">
        <f t="shared" ref="N33:R33" si="2">SUM(N8:N32)</f>
        <v>5.2851708277714122</v>
      </c>
      <c r="O33" s="53">
        <f t="shared" si="2"/>
        <v>5.2851708277714122</v>
      </c>
      <c r="P33" s="53">
        <f t="shared" si="2"/>
        <v>2.1943700955913825</v>
      </c>
      <c r="Q33" s="53">
        <f t="shared" si="2"/>
        <v>2.1943700955913825</v>
      </c>
      <c r="R33" s="53">
        <f t="shared" si="2"/>
        <v>2.1943700955913825</v>
      </c>
    </row>
    <row r="34" spans="1:18" ht="16" thickBot="1" x14ac:dyDescent="0.35">
      <c r="A34" s="25"/>
      <c r="B34" s="25"/>
      <c r="C34" s="54">
        <f>C11+C26+C31</f>
        <v>139939.43999999997</v>
      </c>
      <c r="D34" s="55">
        <f>SUM(D8:D32)</f>
        <v>147637.24999999997</v>
      </c>
      <c r="E34" s="25"/>
      <c r="F34" s="25"/>
      <c r="G34" s="25"/>
      <c r="H34" s="25"/>
      <c r="I34" s="25"/>
      <c r="J34" s="56" t="s">
        <v>44</v>
      </c>
      <c r="K34" s="57">
        <f>SUM(M34:R34)</f>
        <v>147637.24999999997</v>
      </c>
      <c r="L34" s="58"/>
      <c r="M34" s="59">
        <f>E$5*M33</f>
        <v>130046.91338814337</v>
      </c>
      <c r="N34" s="59">
        <f t="shared" ref="N34:R34" si="3">F$5*N33</f>
        <v>15570.11325861458</v>
      </c>
      <c r="O34" s="59">
        <f t="shared" si="3"/>
        <v>1638.4029566091378</v>
      </c>
      <c r="P34" s="59">
        <f t="shared" si="3"/>
        <v>6.5831102867741471</v>
      </c>
      <c r="Q34" s="59">
        <f t="shared" si="3"/>
        <v>4.388740191182765</v>
      </c>
      <c r="R34" s="59">
        <f t="shared" si="3"/>
        <v>370.84854615494362</v>
      </c>
    </row>
    <row r="35" spans="1:18" ht="16" thickBot="1" x14ac:dyDescent="0.35">
      <c r="A35" s="60"/>
      <c r="B35" s="61"/>
      <c r="C35" s="61"/>
      <c r="D35" s="25"/>
      <c r="E35" s="25"/>
      <c r="F35" s="25"/>
      <c r="G35" s="25"/>
      <c r="H35" s="25"/>
      <c r="I35" s="25"/>
      <c r="J35" s="25"/>
      <c r="K35" s="62"/>
      <c r="L35" s="58"/>
      <c r="M35" s="63"/>
      <c r="N35" s="43"/>
      <c r="O35" s="43"/>
      <c r="P35" s="43"/>
      <c r="Q35" s="43"/>
      <c r="R35" s="43"/>
    </row>
    <row r="36" spans="1:18" ht="16" thickBot="1" x14ac:dyDescent="0.3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ht="16" thickBot="1" x14ac:dyDescent="0.35">
      <c r="A37" s="23"/>
      <c r="B37" s="23"/>
      <c r="C37" s="38" t="s">
        <v>46</v>
      </c>
      <c r="D37" s="64"/>
      <c r="E37" s="25"/>
      <c r="F37" s="25"/>
      <c r="G37" s="25"/>
      <c r="H37" s="25"/>
      <c r="I37" s="25"/>
      <c r="J37" s="25"/>
      <c r="K37" s="25"/>
      <c r="L37" s="58"/>
      <c r="M37" s="63"/>
      <c r="N37" s="43"/>
      <c r="O37" s="43"/>
      <c r="P37" s="43"/>
      <c r="Q37" s="43"/>
      <c r="R37" s="43"/>
    </row>
    <row r="38" spans="1:18" ht="16.7" thickTop="1" thickBot="1" x14ac:dyDescent="0.35">
      <c r="A38" s="23" t="s">
        <v>17</v>
      </c>
      <c r="B38" s="23" t="s">
        <v>18</v>
      </c>
      <c r="C38" s="38" t="s">
        <v>47</v>
      </c>
      <c r="D38" s="65"/>
      <c r="E38" s="25"/>
      <c r="F38" s="25"/>
      <c r="G38" s="25"/>
      <c r="H38" s="25"/>
      <c r="I38" s="25"/>
      <c r="J38" s="25"/>
      <c r="K38" s="25"/>
      <c r="L38" s="14"/>
      <c r="M38" s="63"/>
      <c r="N38" s="43"/>
      <c r="O38" s="43"/>
      <c r="P38" s="43"/>
      <c r="Q38" s="43"/>
      <c r="R38" s="43"/>
    </row>
    <row r="39" spans="1:18" ht="16.7" thickTop="1" thickBot="1" x14ac:dyDescent="0.35">
      <c r="A39" s="26" t="s">
        <v>20</v>
      </c>
      <c r="B39" s="36" t="s">
        <v>21</v>
      </c>
      <c r="C39" s="27"/>
      <c r="D39" s="33">
        <v>180656.94</v>
      </c>
      <c r="E39" s="35">
        <v>1</v>
      </c>
      <c r="F39" s="34">
        <v>1</v>
      </c>
      <c r="G39" s="34">
        <v>1</v>
      </c>
      <c r="H39" s="34">
        <v>1</v>
      </c>
      <c r="I39" s="34">
        <v>1</v>
      </c>
      <c r="J39" s="34">
        <v>1</v>
      </c>
      <c r="K39" s="31">
        <f t="shared" ref="K39:K68" si="4">IF(D39=0,0,IF(E39+F39+G39+H39+I39+J39=0,"",($E$5*E39+$F$5*F39+$G$5*G39+$H$5*H39+$I$5*I39+$J$5*J39)))</f>
        <v>28036</v>
      </c>
      <c r="L39" s="14"/>
      <c r="M39" s="32">
        <f t="shared" ref="M39:R68" si="5">IF($D39=0,0,IF(SUM(E39:J39)=0,"Data?",$D39/$K39*E39))</f>
        <v>6.4437487516050789</v>
      </c>
      <c r="N39" s="32">
        <f t="shared" si="5"/>
        <v>6.4437487516050789</v>
      </c>
      <c r="O39" s="32">
        <f t="shared" si="5"/>
        <v>6.4437487516050789</v>
      </c>
      <c r="P39" s="32">
        <f t="shared" si="5"/>
        <v>6.4437487516050789</v>
      </c>
      <c r="Q39" s="32">
        <f t="shared" si="5"/>
        <v>6.4437487516050789</v>
      </c>
      <c r="R39" s="32">
        <f t="shared" si="5"/>
        <v>6.4437487516050789</v>
      </c>
    </row>
    <row r="40" spans="1:18" ht="16.7" thickTop="1" thickBot="1" x14ac:dyDescent="0.35">
      <c r="A40" s="26" t="s">
        <v>25</v>
      </c>
      <c r="B40" s="36"/>
      <c r="C40" s="27"/>
      <c r="D40" s="33">
        <v>11857.04</v>
      </c>
      <c r="E40" s="35">
        <v>1</v>
      </c>
      <c r="F40" s="34">
        <v>1</v>
      </c>
      <c r="G40" s="34">
        <v>1</v>
      </c>
      <c r="H40" s="34">
        <v>1</v>
      </c>
      <c r="I40" s="34">
        <v>1</v>
      </c>
      <c r="J40" s="34">
        <v>1</v>
      </c>
      <c r="K40" s="31">
        <f t="shared" si="4"/>
        <v>28036</v>
      </c>
      <c r="L40" s="14"/>
      <c r="M40" s="32">
        <f t="shared" si="5"/>
        <v>0.42292195748323586</v>
      </c>
      <c r="N40" s="32">
        <f t="shared" si="5"/>
        <v>0.42292195748323586</v>
      </c>
      <c r="O40" s="32">
        <f t="shared" si="5"/>
        <v>0.42292195748323586</v>
      </c>
      <c r="P40" s="32">
        <f t="shared" si="5"/>
        <v>0.42292195748323586</v>
      </c>
      <c r="Q40" s="32">
        <f t="shared" si="5"/>
        <v>0.42292195748323586</v>
      </c>
      <c r="R40" s="32">
        <f t="shared" si="5"/>
        <v>0.42292195748323586</v>
      </c>
    </row>
    <row r="41" spans="1:18" ht="16.7" thickTop="1" thickBot="1" x14ac:dyDescent="0.35">
      <c r="A41" s="26" t="s">
        <v>26</v>
      </c>
      <c r="B41" s="36"/>
      <c r="C41" s="27"/>
      <c r="D41" s="33">
        <v>2974.42</v>
      </c>
      <c r="E41" s="35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1">
        <f t="shared" si="4"/>
        <v>28036</v>
      </c>
      <c r="L41" s="14"/>
      <c r="M41" s="32">
        <f t="shared" si="5"/>
        <v>0.10609288058210872</v>
      </c>
      <c r="N41" s="32">
        <f t="shared" si="5"/>
        <v>0.10609288058210872</v>
      </c>
      <c r="O41" s="32">
        <f t="shared" si="5"/>
        <v>0.10609288058210872</v>
      </c>
      <c r="P41" s="32">
        <f t="shared" si="5"/>
        <v>0.10609288058210872</v>
      </c>
      <c r="Q41" s="32">
        <f t="shared" si="5"/>
        <v>0.10609288058210872</v>
      </c>
      <c r="R41" s="32">
        <f t="shared" si="5"/>
        <v>0.10609288058210872</v>
      </c>
    </row>
    <row r="42" spans="1:18" ht="16.7" thickTop="1" thickBot="1" x14ac:dyDescent="0.35">
      <c r="A42" s="26" t="s">
        <v>23</v>
      </c>
      <c r="B42" s="36"/>
      <c r="C42" s="27"/>
      <c r="D42" s="33">
        <v>50816.62</v>
      </c>
      <c r="E42" s="35">
        <v>1</v>
      </c>
      <c r="F42" s="34">
        <v>1</v>
      </c>
      <c r="G42" s="34">
        <v>1</v>
      </c>
      <c r="H42" s="34">
        <v>1</v>
      </c>
      <c r="I42" s="34">
        <v>1</v>
      </c>
      <c r="J42" s="34">
        <v>1</v>
      </c>
      <c r="K42" s="31">
        <f t="shared" si="4"/>
        <v>28036</v>
      </c>
      <c r="L42" s="14"/>
      <c r="M42" s="32">
        <f t="shared" si="5"/>
        <v>1.8125488657440434</v>
      </c>
      <c r="N42" s="32">
        <f t="shared" si="5"/>
        <v>1.8125488657440434</v>
      </c>
      <c r="O42" s="32">
        <f t="shared" si="5"/>
        <v>1.8125488657440434</v>
      </c>
      <c r="P42" s="32">
        <f t="shared" si="5"/>
        <v>1.8125488657440434</v>
      </c>
      <c r="Q42" s="32">
        <f t="shared" si="5"/>
        <v>1.8125488657440434</v>
      </c>
      <c r="R42" s="32">
        <f t="shared" si="5"/>
        <v>1.8125488657440434</v>
      </c>
    </row>
    <row r="43" spans="1:18" ht="16.7" thickTop="1" thickBot="1" x14ac:dyDescent="0.35">
      <c r="A43" s="26" t="s">
        <v>24</v>
      </c>
      <c r="B43" s="36"/>
      <c r="C43" s="27"/>
      <c r="D43" s="33">
        <v>889.22</v>
      </c>
      <c r="E43" s="35">
        <v>1</v>
      </c>
      <c r="F43" s="34">
        <v>1</v>
      </c>
      <c r="G43" s="34">
        <v>1</v>
      </c>
      <c r="H43" s="34">
        <v>1</v>
      </c>
      <c r="I43" s="34">
        <v>1</v>
      </c>
      <c r="J43" s="34">
        <v>1</v>
      </c>
      <c r="K43" s="31">
        <f t="shared" si="4"/>
        <v>28036</v>
      </c>
      <c r="L43" s="14"/>
      <c r="M43" s="32">
        <f t="shared" si="5"/>
        <v>3.1717078042516764E-2</v>
      </c>
      <c r="N43" s="32">
        <f t="shared" si="5"/>
        <v>3.1717078042516764E-2</v>
      </c>
      <c r="O43" s="32">
        <f t="shared" si="5"/>
        <v>3.1717078042516764E-2</v>
      </c>
      <c r="P43" s="32">
        <f t="shared" si="5"/>
        <v>3.1717078042516764E-2</v>
      </c>
      <c r="Q43" s="32">
        <f t="shared" si="5"/>
        <v>3.1717078042516764E-2</v>
      </c>
      <c r="R43" s="32">
        <f t="shared" si="5"/>
        <v>3.1717078042516764E-2</v>
      </c>
    </row>
    <row r="44" spans="1:18" ht="16.7" thickTop="1" thickBot="1" x14ac:dyDescent="0.35">
      <c r="A44" s="26" t="s">
        <v>27</v>
      </c>
      <c r="B44" s="36"/>
      <c r="C44" s="27"/>
      <c r="D44" s="33">
        <v>248.96</v>
      </c>
      <c r="E44" s="35">
        <v>1</v>
      </c>
      <c r="F44" s="34">
        <v>1</v>
      </c>
      <c r="G44" s="34">
        <v>1</v>
      </c>
      <c r="H44" s="34">
        <v>1</v>
      </c>
      <c r="I44" s="34">
        <v>1</v>
      </c>
      <c r="J44" s="34">
        <v>1</v>
      </c>
      <c r="K44" s="31">
        <f t="shared" si="4"/>
        <v>28036</v>
      </c>
      <c r="L44" s="14"/>
      <c r="M44" s="32">
        <f t="shared" si="5"/>
        <v>8.880011413896419E-3</v>
      </c>
      <c r="N44" s="32">
        <f t="shared" si="5"/>
        <v>8.880011413896419E-3</v>
      </c>
      <c r="O44" s="32">
        <f t="shared" si="5"/>
        <v>8.880011413896419E-3</v>
      </c>
      <c r="P44" s="32">
        <f t="shared" si="5"/>
        <v>8.880011413896419E-3</v>
      </c>
      <c r="Q44" s="32">
        <f t="shared" si="5"/>
        <v>8.880011413896419E-3</v>
      </c>
      <c r="R44" s="32">
        <f t="shared" si="5"/>
        <v>8.880011413896419E-3</v>
      </c>
    </row>
    <row r="45" spans="1:18" ht="16.7" thickTop="1" thickBot="1" x14ac:dyDescent="0.35">
      <c r="A45" s="26" t="s">
        <v>28</v>
      </c>
      <c r="B45" s="36"/>
      <c r="C45" s="27"/>
      <c r="D45" s="33">
        <v>421.26</v>
      </c>
      <c r="E45" s="35">
        <v>1</v>
      </c>
      <c r="F45" s="34">
        <v>1</v>
      </c>
      <c r="G45" s="34">
        <v>1</v>
      </c>
      <c r="H45" s="34">
        <v>1</v>
      </c>
      <c r="I45" s="34">
        <v>1</v>
      </c>
      <c r="J45" s="34">
        <v>1</v>
      </c>
      <c r="K45" s="31">
        <f t="shared" si="4"/>
        <v>28036</v>
      </c>
      <c r="L45" s="14"/>
      <c r="M45" s="32">
        <f t="shared" si="5"/>
        <v>1.5025681266942502E-2</v>
      </c>
      <c r="N45" s="32">
        <f t="shared" si="5"/>
        <v>1.5025681266942502E-2</v>
      </c>
      <c r="O45" s="32">
        <f t="shared" si="5"/>
        <v>1.5025681266942502E-2</v>
      </c>
      <c r="P45" s="32">
        <f t="shared" si="5"/>
        <v>1.5025681266942502E-2</v>
      </c>
      <c r="Q45" s="32">
        <f t="shared" si="5"/>
        <v>1.5025681266942502E-2</v>
      </c>
      <c r="R45" s="32">
        <f t="shared" si="5"/>
        <v>1.5025681266942502E-2</v>
      </c>
    </row>
    <row r="46" spans="1:18" ht="16.7" thickTop="1" thickBot="1" x14ac:dyDescent="0.35">
      <c r="A46" s="26" t="s">
        <v>48</v>
      </c>
      <c r="B46" s="36"/>
      <c r="C46" s="27"/>
      <c r="D46" s="33">
        <v>46.69</v>
      </c>
      <c r="E46" s="35">
        <v>1</v>
      </c>
      <c r="F46" s="34">
        <v>1</v>
      </c>
      <c r="G46" s="34">
        <v>1</v>
      </c>
      <c r="H46" s="34">
        <v>1</v>
      </c>
      <c r="I46" s="34">
        <v>1</v>
      </c>
      <c r="J46" s="34">
        <v>1</v>
      </c>
      <c r="K46" s="31">
        <f t="shared" si="4"/>
        <v>28036</v>
      </c>
      <c r="L46" s="14"/>
      <c r="M46" s="32">
        <f t="shared" si="5"/>
        <v>1.6653588243686688E-3</v>
      </c>
      <c r="N46" s="32">
        <f t="shared" si="5"/>
        <v>1.6653588243686688E-3</v>
      </c>
      <c r="O46" s="32">
        <f t="shared" si="5"/>
        <v>1.6653588243686688E-3</v>
      </c>
      <c r="P46" s="32">
        <f t="shared" si="5"/>
        <v>1.6653588243686688E-3</v>
      </c>
      <c r="Q46" s="32">
        <f t="shared" si="5"/>
        <v>1.6653588243686688E-3</v>
      </c>
      <c r="R46" s="32">
        <f t="shared" si="5"/>
        <v>1.6653588243686688E-3</v>
      </c>
    </row>
    <row r="47" spans="1:18" ht="16.7" thickTop="1" thickBot="1" x14ac:dyDescent="0.35">
      <c r="A47" s="26" t="s">
        <v>49</v>
      </c>
      <c r="B47" s="36" t="s">
        <v>50</v>
      </c>
      <c r="C47" s="27"/>
      <c r="D47" s="33">
        <v>26537.49</v>
      </c>
      <c r="E47" s="35">
        <v>1</v>
      </c>
      <c r="F47" s="34">
        <v>1</v>
      </c>
      <c r="G47" s="34">
        <v>1</v>
      </c>
      <c r="H47" s="34">
        <v>1</v>
      </c>
      <c r="I47" s="34">
        <v>1</v>
      </c>
      <c r="J47" s="34">
        <v>1</v>
      </c>
      <c r="K47" s="31">
        <f t="shared" si="4"/>
        <v>28036</v>
      </c>
      <c r="L47" s="14"/>
      <c r="M47" s="32">
        <f t="shared" si="5"/>
        <v>0.94655050649165362</v>
      </c>
      <c r="N47" s="32">
        <f t="shared" si="5"/>
        <v>0.94655050649165362</v>
      </c>
      <c r="O47" s="32">
        <f t="shared" si="5"/>
        <v>0.94655050649165362</v>
      </c>
      <c r="P47" s="32">
        <f t="shared" si="5"/>
        <v>0.94655050649165362</v>
      </c>
      <c r="Q47" s="32">
        <f t="shared" si="5"/>
        <v>0.94655050649165362</v>
      </c>
      <c r="R47" s="32">
        <f t="shared" si="5"/>
        <v>0.94655050649165362</v>
      </c>
    </row>
    <row r="48" spans="1:18" ht="16.7" thickTop="1" thickBot="1" x14ac:dyDescent="0.35">
      <c r="A48" s="26" t="s">
        <v>29</v>
      </c>
      <c r="B48" s="36"/>
      <c r="C48" s="27"/>
      <c r="D48" s="33">
        <v>227.73</v>
      </c>
      <c r="E48" s="35">
        <v>1</v>
      </c>
      <c r="F48" s="34">
        <v>1</v>
      </c>
      <c r="G48" s="34">
        <v>1</v>
      </c>
      <c r="H48" s="34">
        <v>1</v>
      </c>
      <c r="I48" s="34">
        <v>1</v>
      </c>
      <c r="J48" s="34">
        <v>1</v>
      </c>
      <c r="K48" s="31">
        <f t="shared" si="4"/>
        <v>28036</v>
      </c>
      <c r="L48" s="14"/>
      <c r="M48" s="32">
        <f t="shared" si="5"/>
        <v>8.1227707233556858E-3</v>
      </c>
      <c r="N48" s="32">
        <f t="shared" si="5"/>
        <v>8.1227707233556858E-3</v>
      </c>
      <c r="O48" s="32">
        <f t="shared" si="5"/>
        <v>8.1227707233556858E-3</v>
      </c>
      <c r="P48" s="32">
        <f t="shared" si="5"/>
        <v>8.1227707233556858E-3</v>
      </c>
      <c r="Q48" s="32">
        <f t="shared" si="5"/>
        <v>8.1227707233556858E-3</v>
      </c>
      <c r="R48" s="32">
        <f t="shared" si="5"/>
        <v>8.1227707233556858E-3</v>
      </c>
    </row>
    <row r="49" spans="1:18" ht="16.7" thickTop="1" thickBot="1" x14ac:dyDescent="0.35">
      <c r="A49" s="26" t="s">
        <v>30</v>
      </c>
      <c r="B49" s="36"/>
      <c r="C49" s="27"/>
      <c r="D49" s="33">
        <v>106.76</v>
      </c>
      <c r="E49" s="35">
        <v>1</v>
      </c>
      <c r="F49" s="34">
        <v>1</v>
      </c>
      <c r="G49" s="34">
        <v>1</v>
      </c>
      <c r="H49" s="34">
        <v>1</v>
      </c>
      <c r="I49" s="34">
        <v>1</v>
      </c>
      <c r="J49" s="34">
        <v>1</v>
      </c>
      <c r="K49" s="31">
        <f t="shared" si="4"/>
        <v>28036</v>
      </c>
      <c r="L49" s="14"/>
      <c r="M49" s="32">
        <f t="shared" si="5"/>
        <v>3.8079611927521761E-3</v>
      </c>
      <c r="N49" s="32">
        <f t="shared" si="5"/>
        <v>3.8079611927521761E-3</v>
      </c>
      <c r="O49" s="32">
        <f t="shared" si="5"/>
        <v>3.8079611927521761E-3</v>
      </c>
      <c r="P49" s="32">
        <f t="shared" si="5"/>
        <v>3.8079611927521761E-3</v>
      </c>
      <c r="Q49" s="32">
        <f t="shared" si="5"/>
        <v>3.8079611927521761E-3</v>
      </c>
      <c r="R49" s="32">
        <f t="shared" si="5"/>
        <v>3.8079611927521761E-3</v>
      </c>
    </row>
    <row r="50" spans="1:18" ht="16.7" thickTop="1" thickBot="1" x14ac:dyDescent="0.35">
      <c r="A50" s="26" t="s">
        <v>51</v>
      </c>
      <c r="B50" s="36" t="s">
        <v>52</v>
      </c>
      <c r="C50" s="27"/>
      <c r="D50" s="33">
        <v>20356.240000000002</v>
      </c>
      <c r="E50" s="35">
        <v>1</v>
      </c>
      <c r="F50" s="34">
        <v>1</v>
      </c>
      <c r="G50" s="34">
        <v>1</v>
      </c>
      <c r="H50" s="34">
        <v>1</v>
      </c>
      <c r="I50" s="34">
        <v>1</v>
      </c>
      <c r="J50" s="34">
        <v>1</v>
      </c>
      <c r="K50" s="31">
        <f t="shared" si="4"/>
        <v>28036</v>
      </c>
      <c r="L50" s="14"/>
      <c r="M50" s="32">
        <f t="shared" si="5"/>
        <v>0.72607504636895426</v>
      </c>
      <c r="N50" s="32">
        <f t="shared" si="5"/>
        <v>0.72607504636895426</v>
      </c>
      <c r="O50" s="32">
        <f t="shared" si="5"/>
        <v>0.72607504636895426</v>
      </c>
      <c r="P50" s="32">
        <f t="shared" si="5"/>
        <v>0.72607504636895426</v>
      </c>
      <c r="Q50" s="32">
        <f t="shared" si="5"/>
        <v>0.72607504636895426</v>
      </c>
      <c r="R50" s="32">
        <f t="shared" si="5"/>
        <v>0.72607504636895426</v>
      </c>
    </row>
    <row r="51" spans="1:18" ht="16.7" thickTop="1" thickBot="1" x14ac:dyDescent="0.35">
      <c r="A51" s="26" t="s">
        <v>53</v>
      </c>
      <c r="B51" s="36" t="s">
        <v>22</v>
      </c>
      <c r="C51" s="27"/>
      <c r="D51" s="33">
        <v>17.25</v>
      </c>
      <c r="E51" s="35">
        <v>1</v>
      </c>
      <c r="F51" s="34">
        <v>1</v>
      </c>
      <c r="G51" s="34">
        <v>1</v>
      </c>
      <c r="H51" s="34">
        <v>1</v>
      </c>
      <c r="I51" s="34">
        <v>1</v>
      </c>
      <c r="J51" s="34">
        <v>1</v>
      </c>
      <c r="K51" s="31">
        <f t="shared" si="4"/>
        <v>28036</v>
      </c>
      <c r="L51" s="14"/>
      <c r="M51" s="32">
        <f t="shared" si="5"/>
        <v>6.1528035383078895E-4</v>
      </c>
      <c r="N51" s="32">
        <f t="shared" si="5"/>
        <v>6.1528035383078895E-4</v>
      </c>
      <c r="O51" s="32">
        <f t="shared" si="5"/>
        <v>6.1528035383078895E-4</v>
      </c>
      <c r="P51" s="32">
        <f t="shared" si="5"/>
        <v>6.1528035383078895E-4</v>
      </c>
      <c r="Q51" s="32">
        <f t="shared" si="5"/>
        <v>6.1528035383078895E-4</v>
      </c>
      <c r="R51" s="32">
        <f t="shared" si="5"/>
        <v>6.1528035383078895E-4</v>
      </c>
    </row>
    <row r="52" spans="1:18" ht="16.7" thickTop="1" thickBot="1" x14ac:dyDescent="0.35">
      <c r="A52" s="26" t="s">
        <v>54</v>
      </c>
      <c r="B52" s="36" t="s">
        <v>55</v>
      </c>
      <c r="C52" s="27"/>
      <c r="D52" s="33">
        <v>103826.8</v>
      </c>
      <c r="E52" s="35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1">
        <f t="shared" si="4"/>
        <v>28036</v>
      </c>
      <c r="L52" s="14"/>
      <c r="M52" s="32">
        <f t="shared" si="5"/>
        <v>3.7033385647025256</v>
      </c>
      <c r="N52" s="32">
        <f t="shared" si="5"/>
        <v>3.7033385647025256</v>
      </c>
      <c r="O52" s="32">
        <f t="shared" si="5"/>
        <v>3.7033385647025256</v>
      </c>
      <c r="P52" s="32">
        <f t="shared" si="5"/>
        <v>3.7033385647025256</v>
      </c>
      <c r="Q52" s="32">
        <f t="shared" si="5"/>
        <v>3.7033385647025256</v>
      </c>
      <c r="R52" s="32">
        <f t="shared" si="5"/>
        <v>3.7033385647025256</v>
      </c>
    </row>
    <row r="53" spans="1:18" ht="16.7" thickTop="1" thickBot="1" x14ac:dyDescent="0.35">
      <c r="A53" s="26" t="s">
        <v>56</v>
      </c>
      <c r="B53" s="36" t="s">
        <v>57</v>
      </c>
      <c r="C53" s="27"/>
      <c r="D53" s="33">
        <v>-24868.7</v>
      </c>
      <c r="E53" s="35">
        <v>1</v>
      </c>
      <c r="F53" s="34">
        <v>1</v>
      </c>
      <c r="G53" s="34">
        <v>1</v>
      </c>
      <c r="H53" s="34">
        <v>1</v>
      </c>
      <c r="I53" s="34">
        <v>1</v>
      </c>
      <c r="J53" s="34">
        <v>1</v>
      </c>
      <c r="K53" s="31">
        <f t="shared" si="4"/>
        <v>28036</v>
      </c>
      <c r="L53" s="14"/>
      <c r="M53" s="32">
        <f t="shared" si="5"/>
        <v>-0.88702739335140535</v>
      </c>
      <c r="N53" s="32">
        <f t="shared" si="5"/>
        <v>-0.88702739335140535</v>
      </c>
      <c r="O53" s="32">
        <f t="shared" si="5"/>
        <v>-0.88702739335140535</v>
      </c>
      <c r="P53" s="32">
        <f t="shared" si="5"/>
        <v>-0.88702739335140535</v>
      </c>
      <c r="Q53" s="32">
        <f t="shared" si="5"/>
        <v>-0.88702739335140535</v>
      </c>
      <c r="R53" s="32">
        <f t="shared" si="5"/>
        <v>-0.88702739335140535</v>
      </c>
    </row>
    <row r="54" spans="1:18" ht="16.7" thickTop="1" thickBot="1" x14ac:dyDescent="0.35">
      <c r="A54" s="26" t="s">
        <v>32</v>
      </c>
      <c r="B54" s="36" t="s">
        <v>58</v>
      </c>
      <c r="C54" s="27"/>
      <c r="D54" s="33">
        <v>0</v>
      </c>
      <c r="E54" s="35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1">
        <f t="shared" si="4"/>
        <v>0</v>
      </c>
      <c r="L54" s="14"/>
      <c r="M54" s="32">
        <f t="shared" si="5"/>
        <v>0</v>
      </c>
      <c r="N54" s="32">
        <f t="shared" si="5"/>
        <v>0</v>
      </c>
      <c r="O54" s="32">
        <f t="shared" si="5"/>
        <v>0</v>
      </c>
      <c r="P54" s="32">
        <f t="shared" si="5"/>
        <v>0</v>
      </c>
      <c r="Q54" s="32">
        <f t="shared" si="5"/>
        <v>0</v>
      </c>
      <c r="R54" s="32">
        <f t="shared" si="5"/>
        <v>0</v>
      </c>
    </row>
    <row r="55" spans="1:18" ht="16.7" thickTop="1" thickBot="1" x14ac:dyDescent="0.35">
      <c r="A55" s="26" t="s">
        <v>32</v>
      </c>
      <c r="B55" s="36" t="s">
        <v>59</v>
      </c>
      <c r="C55" s="27"/>
      <c r="D55" s="33">
        <v>1714</v>
      </c>
      <c r="E55" s="35">
        <v>1</v>
      </c>
      <c r="F55" s="34">
        <v>1</v>
      </c>
      <c r="G55" s="34">
        <v>1</v>
      </c>
      <c r="H55" s="34">
        <v>1</v>
      </c>
      <c r="I55" s="34">
        <v>1</v>
      </c>
      <c r="J55" s="34">
        <v>1</v>
      </c>
      <c r="K55" s="31">
        <f t="shared" si="4"/>
        <v>28036</v>
      </c>
      <c r="L55" s="14"/>
      <c r="M55" s="32">
        <f t="shared" si="5"/>
        <v>6.1135682693679555E-2</v>
      </c>
      <c r="N55" s="32">
        <f t="shared" si="5"/>
        <v>6.1135682693679555E-2</v>
      </c>
      <c r="O55" s="32">
        <f t="shared" si="5"/>
        <v>6.1135682693679555E-2</v>
      </c>
      <c r="P55" s="32">
        <f t="shared" si="5"/>
        <v>6.1135682693679555E-2</v>
      </c>
      <c r="Q55" s="32">
        <f t="shared" si="5"/>
        <v>6.1135682693679555E-2</v>
      </c>
      <c r="R55" s="32">
        <f t="shared" si="5"/>
        <v>6.1135682693679555E-2</v>
      </c>
    </row>
    <row r="56" spans="1:18" ht="16.7" thickTop="1" thickBot="1" x14ac:dyDescent="0.35">
      <c r="A56" s="26" t="s">
        <v>32</v>
      </c>
      <c r="B56" s="36" t="s">
        <v>60</v>
      </c>
      <c r="C56" s="27"/>
      <c r="D56" s="33">
        <v>52911</v>
      </c>
      <c r="E56" s="35">
        <v>0</v>
      </c>
      <c r="F56" s="34">
        <v>0</v>
      </c>
      <c r="G56" s="34">
        <v>1</v>
      </c>
      <c r="H56" s="34">
        <v>1</v>
      </c>
      <c r="I56" s="34">
        <v>0</v>
      </c>
      <c r="J56" s="34">
        <v>0</v>
      </c>
      <c r="K56" s="31">
        <f t="shared" si="4"/>
        <v>313</v>
      </c>
      <c r="L56" s="14"/>
      <c r="M56" s="32">
        <f t="shared" si="5"/>
        <v>0</v>
      </c>
      <c r="N56" s="32">
        <f t="shared" si="5"/>
        <v>0</v>
      </c>
      <c r="O56" s="32">
        <f t="shared" si="5"/>
        <v>169.0447284345048</v>
      </c>
      <c r="P56" s="32">
        <f t="shared" si="5"/>
        <v>169.0447284345048</v>
      </c>
      <c r="Q56" s="32">
        <f t="shared" si="5"/>
        <v>0</v>
      </c>
      <c r="R56" s="32">
        <f t="shared" si="5"/>
        <v>0</v>
      </c>
    </row>
    <row r="57" spans="1:18" ht="16.7" thickTop="1" thickBot="1" x14ac:dyDescent="0.35">
      <c r="A57" s="26" t="s">
        <v>32</v>
      </c>
      <c r="B57" s="36" t="s">
        <v>61</v>
      </c>
      <c r="C57" s="27"/>
      <c r="D57" s="33">
        <v>36591</v>
      </c>
      <c r="E57" s="35">
        <v>1</v>
      </c>
      <c r="F57" s="34">
        <v>1</v>
      </c>
      <c r="G57" s="34">
        <v>1</v>
      </c>
      <c r="H57" s="34">
        <v>0</v>
      </c>
      <c r="I57" s="34">
        <v>0</v>
      </c>
      <c r="J57" s="34">
        <v>0</v>
      </c>
      <c r="K57" s="31">
        <f t="shared" si="4"/>
        <v>27862</v>
      </c>
      <c r="L57" s="14"/>
      <c r="M57" s="32">
        <f t="shared" si="5"/>
        <v>1.3132940923121097</v>
      </c>
      <c r="N57" s="32">
        <f t="shared" si="5"/>
        <v>1.3132940923121097</v>
      </c>
      <c r="O57" s="32">
        <f t="shared" si="5"/>
        <v>1.3132940923121097</v>
      </c>
      <c r="P57" s="32">
        <f t="shared" si="5"/>
        <v>0</v>
      </c>
      <c r="Q57" s="32">
        <f t="shared" si="5"/>
        <v>0</v>
      </c>
      <c r="R57" s="32">
        <f t="shared" si="5"/>
        <v>0</v>
      </c>
    </row>
    <row r="58" spans="1:18" ht="16.7" thickTop="1" thickBot="1" x14ac:dyDescent="0.35">
      <c r="A58" s="26" t="s">
        <v>32</v>
      </c>
      <c r="B58" s="36" t="s">
        <v>62</v>
      </c>
      <c r="C58" s="27"/>
      <c r="D58" s="33">
        <v>403.52000000000407</v>
      </c>
      <c r="E58" s="35">
        <v>1</v>
      </c>
      <c r="F58" s="34">
        <v>1</v>
      </c>
      <c r="G58" s="34">
        <v>1</v>
      </c>
      <c r="H58" s="34">
        <v>1</v>
      </c>
      <c r="I58" s="34">
        <v>1</v>
      </c>
      <c r="J58" s="34">
        <v>1</v>
      </c>
      <c r="K58" s="31">
        <f t="shared" si="4"/>
        <v>28036</v>
      </c>
      <c r="L58" s="14"/>
      <c r="M58" s="32">
        <f t="shared" si="5"/>
        <v>1.4392923384220433E-2</v>
      </c>
      <c r="N58" s="32">
        <f t="shared" si="5"/>
        <v>1.4392923384220433E-2</v>
      </c>
      <c r="O58" s="32">
        <f t="shared" si="5"/>
        <v>1.4392923384220433E-2</v>
      </c>
      <c r="P58" s="32">
        <f t="shared" si="5"/>
        <v>1.4392923384220433E-2</v>
      </c>
      <c r="Q58" s="32">
        <f t="shared" si="5"/>
        <v>1.4392923384220433E-2</v>
      </c>
      <c r="R58" s="32">
        <f t="shared" si="5"/>
        <v>1.4392923384220433E-2</v>
      </c>
    </row>
    <row r="59" spans="1:18" ht="16.7" thickTop="1" thickBot="1" x14ac:dyDescent="0.35">
      <c r="A59" s="26" t="s">
        <v>36</v>
      </c>
      <c r="B59" s="36" t="s">
        <v>37</v>
      </c>
      <c r="C59" s="27"/>
      <c r="D59" s="33">
        <v>-17250</v>
      </c>
      <c r="E59" s="35">
        <v>1</v>
      </c>
      <c r="F59" s="34">
        <v>1</v>
      </c>
      <c r="G59" s="34">
        <v>1</v>
      </c>
      <c r="H59" s="34">
        <v>0</v>
      </c>
      <c r="I59" s="34">
        <v>0</v>
      </c>
      <c r="J59" s="34">
        <v>0</v>
      </c>
      <c r="K59" s="31">
        <f t="shared" si="4"/>
        <v>27862</v>
      </c>
      <c r="L59" s="14"/>
      <c r="M59" s="32">
        <f t="shared" si="5"/>
        <v>-0.61912281961093962</v>
      </c>
      <c r="N59" s="32">
        <f t="shared" si="5"/>
        <v>-0.61912281961093962</v>
      </c>
      <c r="O59" s="32">
        <f t="shared" si="5"/>
        <v>-0.61912281961093962</v>
      </c>
      <c r="P59" s="32">
        <f t="shared" si="5"/>
        <v>0</v>
      </c>
      <c r="Q59" s="32">
        <f t="shared" si="5"/>
        <v>0</v>
      </c>
      <c r="R59" s="32">
        <f t="shared" si="5"/>
        <v>0</v>
      </c>
    </row>
    <row r="60" spans="1:18" ht="16.7" thickTop="1" thickBot="1" x14ac:dyDescent="0.35">
      <c r="A60" s="23"/>
      <c r="B60" s="23"/>
      <c r="C60" s="37">
        <v>448484.24</v>
      </c>
      <c r="D60" s="33"/>
      <c r="E60" s="35">
        <v>1</v>
      </c>
      <c r="F60" s="34">
        <v>1</v>
      </c>
      <c r="G60" s="34">
        <v>1</v>
      </c>
      <c r="H60" s="34">
        <v>1</v>
      </c>
      <c r="I60" s="34">
        <v>1</v>
      </c>
      <c r="J60" s="34">
        <v>1</v>
      </c>
      <c r="K60" s="31">
        <f t="shared" si="4"/>
        <v>0</v>
      </c>
      <c r="L60" s="14"/>
      <c r="M60" s="32">
        <f t="shared" si="5"/>
        <v>0</v>
      </c>
      <c r="N60" s="32">
        <f t="shared" si="5"/>
        <v>0</v>
      </c>
      <c r="O60" s="32">
        <f t="shared" si="5"/>
        <v>0</v>
      </c>
      <c r="P60" s="32">
        <f t="shared" si="5"/>
        <v>0</v>
      </c>
      <c r="Q60" s="32">
        <f t="shared" si="5"/>
        <v>0</v>
      </c>
      <c r="R60" s="32">
        <f t="shared" si="5"/>
        <v>0</v>
      </c>
    </row>
    <row r="61" spans="1:18" ht="16.7" thickTop="1" thickBot="1" x14ac:dyDescent="0.35">
      <c r="A61" s="23"/>
      <c r="B61" s="23"/>
      <c r="C61" s="38" t="s">
        <v>63</v>
      </c>
      <c r="D61" s="33"/>
      <c r="E61" s="35">
        <v>1</v>
      </c>
      <c r="F61" s="34">
        <v>1</v>
      </c>
      <c r="G61" s="34">
        <v>1</v>
      </c>
      <c r="H61" s="34">
        <v>1</v>
      </c>
      <c r="I61" s="34">
        <v>1</v>
      </c>
      <c r="J61" s="34">
        <v>1</v>
      </c>
      <c r="K61" s="31">
        <f t="shared" si="4"/>
        <v>0</v>
      </c>
      <c r="L61" s="14"/>
      <c r="M61" s="32">
        <f t="shared" si="5"/>
        <v>0</v>
      </c>
      <c r="N61" s="32">
        <f t="shared" si="5"/>
        <v>0</v>
      </c>
      <c r="O61" s="32">
        <f t="shared" si="5"/>
        <v>0</v>
      </c>
      <c r="P61" s="32">
        <f t="shared" si="5"/>
        <v>0</v>
      </c>
      <c r="Q61" s="32">
        <f t="shared" si="5"/>
        <v>0</v>
      </c>
      <c r="R61" s="32">
        <f t="shared" si="5"/>
        <v>0</v>
      </c>
    </row>
    <row r="62" spans="1:18" ht="16.7" thickTop="1" thickBot="1" x14ac:dyDescent="0.35">
      <c r="A62" s="23" t="s">
        <v>17</v>
      </c>
      <c r="B62" s="23" t="s">
        <v>18</v>
      </c>
      <c r="C62" s="38" t="s">
        <v>47</v>
      </c>
      <c r="D62" s="33"/>
      <c r="E62" s="35">
        <v>1</v>
      </c>
      <c r="F62" s="34">
        <v>1</v>
      </c>
      <c r="G62" s="34">
        <v>1</v>
      </c>
      <c r="H62" s="34">
        <v>1</v>
      </c>
      <c r="I62" s="34">
        <v>1</v>
      </c>
      <c r="J62" s="34">
        <v>1</v>
      </c>
      <c r="K62" s="31">
        <f t="shared" si="4"/>
        <v>0</v>
      </c>
      <c r="L62" s="14"/>
      <c r="M62" s="32">
        <f t="shared" si="5"/>
        <v>0</v>
      </c>
      <c r="N62" s="32">
        <f t="shared" si="5"/>
        <v>0</v>
      </c>
      <c r="O62" s="32">
        <f t="shared" si="5"/>
        <v>0</v>
      </c>
      <c r="P62" s="32">
        <f t="shared" si="5"/>
        <v>0</v>
      </c>
      <c r="Q62" s="32">
        <f t="shared" si="5"/>
        <v>0</v>
      </c>
      <c r="R62" s="32">
        <f t="shared" si="5"/>
        <v>0</v>
      </c>
    </row>
    <row r="63" spans="1:18" ht="16.7" thickTop="1" thickBot="1" x14ac:dyDescent="0.35">
      <c r="A63" s="26" t="s">
        <v>20</v>
      </c>
      <c r="B63" s="36" t="s">
        <v>21</v>
      </c>
      <c r="C63" s="27"/>
      <c r="D63" s="33"/>
      <c r="E63" s="35">
        <v>1</v>
      </c>
      <c r="F63" s="34">
        <v>1</v>
      </c>
      <c r="G63" s="34">
        <v>1</v>
      </c>
      <c r="H63" s="34">
        <v>1</v>
      </c>
      <c r="I63" s="34">
        <v>1</v>
      </c>
      <c r="J63" s="34">
        <v>1</v>
      </c>
      <c r="K63" s="31">
        <f t="shared" si="4"/>
        <v>0</v>
      </c>
      <c r="L63" s="14"/>
      <c r="M63" s="32">
        <f t="shared" si="5"/>
        <v>0</v>
      </c>
      <c r="N63" s="32">
        <f t="shared" si="5"/>
        <v>0</v>
      </c>
      <c r="O63" s="32">
        <f t="shared" si="5"/>
        <v>0</v>
      </c>
      <c r="P63" s="32">
        <f t="shared" si="5"/>
        <v>0</v>
      </c>
      <c r="Q63" s="32">
        <f t="shared" si="5"/>
        <v>0</v>
      </c>
      <c r="R63" s="32">
        <f t="shared" si="5"/>
        <v>0</v>
      </c>
    </row>
    <row r="64" spans="1:18" ht="16.7" thickTop="1" thickBot="1" x14ac:dyDescent="0.35">
      <c r="A64" s="26"/>
      <c r="B64" s="36"/>
      <c r="C64" s="27"/>
      <c r="D64" s="33">
        <v>6116.22</v>
      </c>
      <c r="E64" s="35">
        <v>1</v>
      </c>
      <c r="F64" s="34">
        <v>1</v>
      </c>
      <c r="G64" s="34">
        <v>1</v>
      </c>
      <c r="H64" s="34">
        <v>1</v>
      </c>
      <c r="I64" s="34">
        <v>1</v>
      </c>
      <c r="J64" s="34">
        <v>1</v>
      </c>
      <c r="K64" s="31">
        <f t="shared" si="4"/>
        <v>28036</v>
      </c>
      <c r="L64" s="14"/>
      <c r="M64" s="32">
        <f t="shared" si="5"/>
        <v>0.21815594235982311</v>
      </c>
      <c r="N64" s="32">
        <f t="shared" si="5"/>
        <v>0.21815594235982311</v>
      </c>
      <c r="O64" s="32">
        <f t="shared" si="5"/>
        <v>0.21815594235982311</v>
      </c>
      <c r="P64" s="32">
        <f t="shared" si="5"/>
        <v>0.21815594235982311</v>
      </c>
      <c r="Q64" s="32">
        <f t="shared" si="5"/>
        <v>0.21815594235982311</v>
      </c>
      <c r="R64" s="32">
        <f t="shared" si="5"/>
        <v>0.21815594235982311</v>
      </c>
    </row>
    <row r="65" spans="1:19" ht="16.7" thickTop="1" thickBot="1" x14ac:dyDescent="0.35">
      <c r="A65" s="26" t="s">
        <v>23</v>
      </c>
      <c r="B65" s="36"/>
      <c r="C65" s="27"/>
      <c r="D65" s="33">
        <v>1529.26</v>
      </c>
      <c r="E65" s="35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1">
        <f t="shared" si="4"/>
        <v>28036</v>
      </c>
      <c r="L65" s="14"/>
      <c r="M65" s="32">
        <f t="shared" si="5"/>
        <v>5.4546297617349124E-2</v>
      </c>
      <c r="N65" s="32">
        <f t="shared" si="5"/>
        <v>5.4546297617349124E-2</v>
      </c>
      <c r="O65" s="32">
        <f t="shared" si="5"/>
        <v>5.4546297617349124E-2</v>
      </c>
      <c r="P65" s="32">
        <f t="shared" si="5"/>
        <v>5.4546297617349124E-2</v>
      </c>
      <c r="Q65" s="32">
        <f t="shared" si="5"/>
        <v>5.4546297617349124E-2</v>
      </c>
      <c r="R65" s="32">
        <f t="shared" si="5"/>
        <v>5.4546297617349124E-2</v>
      </c>
    </row>
    <row r="66" spans="1:19" ht="16.7" thickTop="1" thickBot="1" x14ac:dyDescent="0.35">
      <c r="A66" s="26" t="s">
        <v>24</v>
      </c>
      <c r="B66" s="36"/>
      <c r="C66" s="27"/>
      <c r="D66" s="33">
        <v>52.33</v>
      </c>
      <c r="E66" s="35">
        <v>1</v>
      </c>
      <c r="F66" s="34">
        <v>1</v>
      </c>
      <c r="G66" s="34">
        <v>1</v>
      </c>
      <c r="H66" s="34">
        <v>1</v>
      </c>
      <c r="I66" s="34">
        <v>1</v>
      </c>
      <c r="J66" s="34">
        <v>1</v>
      </c>
      <c r="K66" s="31">
        <f t="shared" si="4"/>
        <v>28036</v>
      </c>
      <c r="L66" s="14"/>
      <c r="M66" s="32">
        <f t="shared" si="5"/>
        <v>1.8665287487516051E-3</v>
      </c>
      <c r="N66" s="32">
        <f t="shared" si="5"/>
        <v>1.8665287487516051E-3</v>
      </c>
      <c r="O66" s="32">
        <f t="shared" si="5"/>
        <v>1.8665287487516051E-3</v>
      </c>
      <c r="P66" s="32">
        <f t="shared" si="5"/>
        <v>1.8665287487516051E-3</v>
      </c>
      <c r="Q66" s="32">
        <f t="shared" si="5"/>
        <v>1.8665287487516051E-3</v>
      </c>
      <c r="R66" s="32">
        <f t="shared" si="5"/>
        <v>1.8665287487516051E-3</v>
      </c>
    </row>
    <row r="67" spans="1:19" ht="16.7" thickTop="1" thickBot="1" x14ac:dyDescent="0.35">
      <c r="A67" s="26" t="s">
        <v>64</v>
      </c>
      <c r="B67" s="36" t="s">
        <v>65</v>
      </c>
      <c r="C67" s="27"/>
      <c r="D67" s="33">
        <v>-89980.06</v>
      </c>
      <c r="E67" s="35">
        <v>1</v>
      </c>
      <c r="F67" s="34">
        <v>1</v>
      </c>
      <c r="G67" s="34">
        <v>1</v>
      </c>
      <c r="H67" s="34">
        <v>1</v>
      </c>
      <c r="I67" s="34">
        <v>1</v>
      </c>
      <c r="J67" s="34">
        <v>1</v>
      </c>
      <c r="K67" s="31">
        <f t="shared" si="4"/>
        <v>28036</v>
      </c>
      <c r="L67" s="14"/>
      <c r="M67" s="32">
        <f t="shared" si="5"/>
        <v>-3.2094471393922097</v>
      </c>
      <c r="N67" s="32">
        <f t="shared" si="5"/>
        <v>-3.2094471393922097</v>
      </c>
      <c r="O67" s="32">
        <f t="shared" si="5"/>
        <v>-3.2094471393922097</v>
      </c>
      <c r="P67" s="32">
        <f t="shared" si="5"/>
        <v>-3.2094471393922097</v>
      </c>
      <c r="Q67" s="32">
        <f t="shared" si="5"/>
        <v>-3.2094471393922097</v>
      </c>
      <c r="R67" s="32">
        <f t="shared" si="5"/>
        <v>-3.2094471393922097</v>
      </c>
    </row>
    <row r="68" spans="1:19" ht="16.7" thickTop="1" thickBot="1" x14ac:dyDescent="0.35">
      <c r="A68" s="23"/>
      <c r="B68" s="23"/>
      <c r="C68" s="37">
        <v>-82282.25</v>
      </c>
      <c r="D68" s="33"/>
      <c r="E68" s="35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si="4"/>
        <v>0</v>
      </c>
      <c r="L68" s="14"/>
      <c r="M68" s="32">
        <f t="shared" si="5"/>
        <v>0</v>
      </c>
      <c r="N68" s="32">
        <f t="shared" si="5"/>
        <v>0</v>
      </c>
      <c r="O68" s="32">
        <f t="shared" si="5"/>
        <v>0</v>
      </c>
      <c r="P68" s="32">
        <f t="shared" si="5"/>
        <v>0</v>
      </c>
      <c r="Q68" s="32">
        <f t="shared" si="5"/>
        <v>0</v>
      </c>
      <c r="R68" s="32">
        <f t="shared" si="5"/>
        <v>0</v>
      </c>
    </row>
    <row r="69" spans="1:19" ht="16.7" thickTop="1" thickBot="1" x14ac:dyDescent="0.35">
      <c r="A69" s="42"/>
      <c r="B69" s="43"/>
      <c r="C69" s="43"/>
      <c r="D69" s="65"/>
      <c r="E69" s="50"/>
      <c r="F69" s="50"/>
      <c r="G69" s="50"/>
      <c r="H69" s="50"/>
      <c r="I69" s="50"/>
      <c r="J69" s="50"/>
      <c r="K69" s="51" t="s">
        <v>66</v>
      </c>
      <c r="L69" s="14"/>
      <c r="M69" s="53">
        <f t="shared" ref="M69:R69" si="6">SUM(M39:M68)</f>
        <v>11.178904829556643</v>
      </c>
      <c r="N69" s="53">
        <f t="shared" si="6"/>
        <v>11.178904829556643</v>
      </c>
      <c r="O69" s="53">
        <f t="shared" si="6"/>
        <v>180.22363326406145</v>
      </c>
      <c r="P69" s="53">
        <f t="shared" si="6"/>
        <v>179.52946199136028</v>
      </c>
      <c r="Q69" s="53">
        <f t="shared" si="6"/>
        <v>10.484733556855474</v>
      </c>
      <c r="R69" s="53">
        <f t="shared" si="6"/>
        <v>10.484733556855474</v>
      </c>
    </row>
    <row r="70" spans="1:19" ht="16.7" thickTop="1" thickBot="1" x14ac:dyDescent="0.35">
      <c r="A70" s="46" t="s">
        <v>67</v>
      </c>
      <c r="B70" s="66"/>
      <c r="C70" s="67">
        <f>C68+C60</f>
        <v>366201.99</v>
      </c>
      <c r="D70" s="68">
        <f>SUM(D39:D69)</f>
        <v>366201.99</v>
      </c>
      <c r="E70" s="50"/>
      <c r="F70" s="50"/>
      <c r="G70" s="50"/>
      <c r="H70" s="50"/>
      <c r="I70" s="50"/>
      <c r="J70" s="69" t="s">
        <v>44</v>
      </c>
      <c r="K70" s="70">
        <f>SUM(M70:R70)</f>
        <v>366201.99000000005</v>
      </c>
      <c r="L70" s="71"/>
      <c r="M70" s="31">
        <f>E$5*M69</f>
        <v>275068.13223607076</v>
      </c>
      <c r="N70" s="31">
        <f t="shared" ref="N70:R70" si="7">F$5*N69</f>
        <v>32933.053627873873</v>
      </c>
      <c r="O70" s="31">
        <f t="shared" si="7"/>
        <v>55869.326311859048</v>
      </c>
      <c r="P70" s="31">
        <f t="shared" si="7"/>
        <v>538.58838597408089</v>
      </c>
      <c r="Q70" s="31">
        <f t="shared" si="7"/>
        <v>20.969467113710948</v>
      </c>
      <c r="R70" s="31">
        <f t="shared" si="7"/>
        <v>1771.9199711085751</v>
      </c>
    </row>
    <row r="71" spans="1:19" ht="16" thickBot="1" x14ac:dyDescent="0.35">
      <c r="A71" s="25"/>
      <c r="B71" s="25"/>
      <c r="C71" s="25"/>
      <c r="D71" s="72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9" ht="16" thickBot="1" x14ac:dyDescent="0.35">
      <c r="A72" s="46" t="s">
        <v>68</v>
      </c>
      <c r="B72" s="73"/>
      <c r="C72" s="74" t="s">
        <v>44</v>
      </c>
      <c r="D72" s="68">
        <f>SUM(D8:D30)+SUM(D39:D68)</f>
        <v>513839.24</v>
      </c>
      <c r="E72" s="75"/>
      <c r="F72" s="75"/>
      <c r="G72" s="75"/>
      <c r="H72" s="75"/>
      <c r="I72" s="75"/>
      <c r="J72" s="76" t="s">
        <v>44</v>
      </c>
      <c r="K72" s="70">
        <f>SUM(M72:R72)</f>
        <v>513839.24000000005</v>
      </c>
      <c r="L72" s="77"/>
      <c r="M72" s="78">
        <f>M70+M34</f>
        <v>405115.04562421411</v>
      </c>
      <c r="N72" s="78">
        <f t="shared" ref="N72:R72" si="8">N70+N34</f>
        <v>48503.166886488456</v>
      </c>
      <c r="O72" s="78">
        <f t="shared" si="8"/>
        <v>57507.729268468189</v>
      </c>
      <c r="P72" s="78">
        <f t="shared" si="8"/>
        <v>545.17149626085506</v>
      </c>
      <c r="Q72" s="78">
        <f t="shared" si="8"/>
        <v>25.358207304893714</v>
      </c>
      <c r="R72" s="78">
        <f t="shared" si="8"/>
        <v>2142.7685172635188</v>
      </c>
      <c r="S72" s="4" t="s">
        <v>69</v>
      </c>
    </row>
    <row r="73" spans="1:19" ht="16" thickBot="1" x14ac:dyDescent="0.35">
      <c r="A73" s="79"/>
      <c r="B73" s="25"/>
      <c r="C73" s="25"/>
      <c r="D73" s="72"/>
      <c r="E73" s="50"/>
      <c r="F73" s="50"/>
      <c r="G73" s="50"/>
      <c r="H73" s="50"/>
      <c r="I73" s="50"/>
      <c r="J73" s="50"/>
      <c r="K73" s="80"/>
      <c r="L73" s="14"/>
      <c r="M73" s="31"/>
      <c r="N73" s="31"/>
      <c r="O73" s="31"/>
      <c r="P73" s="31"/>
      <c r="Q73" s="31"/>
      <c r="R73" s="31"/>
    </row>
    <row r="74" spans="1:19" ht="16" thickBot="1" x14ac:dyDescent="0.35">
      <c r="A74" s="25"/>
      <c r="B74" s="25"/>
      <c r="C74" s="25"/>
      <c r="D74" s="81"/>
      <c r="E74" s="25"/>
      <c r="F74" s="25"/>
      <c r="G74" s="25"/>
      <c r="H74" s="25"/>
      <c r="I74" s="25"/>
      <c r="J74" s="25"/>
      <c r="K74" s="56" t="s">
        <v>70</v>
      </c>
      <c r="L74" s="82"/>
      <c r="M74" s="83">
        <f>M33+M69</f>
        <v>16.464075657328056</v>
      </c>
      <c r="N74" s="83">
        <f t="shared" ref="N74:R74" si="9">N33+N69</f>
        <v>16.464075657328056</v>
      </c>
      <c r="O74" s="83">
        <f t="shared" si="9"/>
        <v>185.50880409183287</v>
      </c>
      <c r="P74" s="83">
        <f t="shared" si="9"/>
        <v>181.72383208695166</v>
      </c>
      <c r="Q74" s="83">
        <f t="shared" si="9"/>
        <v>12.679103652446857</v>
      </c>
      <c r="R74" s="83">
        <f t="shared" si="9"/>
        <v>12.679103652446857</v>
      </c>
    </row>
    <row r="75" spans="1:19" ht="16.7" thickTop="1" thickBot="1" x14ac:dyDescent="0.35">
      <c r="A75" s="25"/>
      <c r="B75" s="25"/>
      <c r="C75" s="25"/>
      <c r="D75" s="84"/>
      <c r="E75" s="25"/>
      <c r="F75" s="25"/>
      <c r="G75" s="25"/>
      <c r="H75" s="25"/>
      <c r="I75" s="25"/>
      <c r="J75" s="25"/>
      <c r="K75" s="51" t="s">
        <v>71</v>
      </c>
      <c r="L75" s="82"/>
      <c r="M75" s="85">
        <f>M72/(12*E$5)</f>
        <v>1.3720063047773379</v>
      </c>
      <c r="N75" s="85">
        <f t="shared" ref="N75:R75" si="10">N72/(12*F$5)</f>
        <v>1.3720063047773381</v>
      </c>
      <c r="O75" s="85">
        <f t="shared" si="10"/>
        <v>15.459067007652738</v>
      </c>
      <c r="P75" s="85">
        <f t="shared" si="10"/>
        <v>15.143652673912641</v>
      </c>
      <c r="Q75" s="85">
        <f t="shared" si="10"/>
        <v>1.056591971037238</v>
      </c>
      <c r="R75" s="85">
        <f t="shared" si="10"/>
        <v>1.056591971037238</v>
      </c>
      <c r="S75" s="4" t="s">
        <v>72</v>
      </c>
    </row>
    <row r="76" spans="1:19" ht="16.7" thickTop="1" thickBot="1" x14ac:dyDescent="0.35">
      <c r="A76" s="73" t="s">
        <v>73</v>
      </c>
      <c r="B76" s="73"/>
      <c r="C76" s="73"/>
      <c r="D76" s="86"/>
      <c r="E76" s="73"/>
      <c r="F76" s="73"/>
      <c r="G76" s="73"/>
      <c r="H76" s="73"/>
      <c r="I76" s="73"/>
      <c r="J76" s="73"/>
      <c r="K76" s="74" t="s">
        <v>74</v>
      </c>
      <c r="L76" s="87"/>
      <c r="M76" s="88">
        <f>M$74/$M$74</f>
        <v>1</v>
      </c>
      <c r="N76" s="89">
        <f t="shared" ref="N76:R76" si="11">N$74/$M$74</f>
        <v>1</v>
      </c>
      <c r="O76" s="89">
        <f t="shared" si="11"/>
        <v>11.267489773060177</v>
      </c>
      <c r="P76" s="89">
        <f t="shared" si="11"/>
        <v>11.037597000234115</v>
      </c>
      <c r="Q76" s="89">
        <f t="shared" si="11"/>
        <v>0.77010722717393898</v>
      </c>
      <c r="R76" s="90">
        <f t="shared" si="11"/>
        <v>0.77010722717393898</v>
      </c>
      <c r="S76" s="4" t="s">
        <v>75</v>
      </c>
    </row>
    <row r="77" spans="1:19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9" s="4" customFormat="1" ht="16" thickBo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 t="s">
        <v>76</v>
      </c>
      <c r="N78" s="91" t="s">
        <v>8</v>
      </c>
      <c r="O78" s="91" t="s">
        <v>9</v>
      </c>
      <c r="P78" s="91" t="s">
        <v>10</v>
      </c>
      <c r="Q78" s="91" t="s">
        <v>11</v>
      </c>
      <c r="R78" s="91" t="s">
        <v>12</v>
      </c>
    </row>
    <row r="79" spans="1:19" s="4" customFormat="1" ht="16" thickBo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92" t="s">
        <v>77</v>
      </c>
      <c r="L79" s="2"/>
      <c r="M79" s="93">
        <f>M76</f>
        <v>1</v>
      </c>
      <c r="N79" s="94">
        <f t="shared" ref="N79:R79" si="12">N76</f>
        <v>1</v>
      </c>
      <c r="O79" s="94">
        <f t="shared" si="12"/>
        <v>11.267489773060177</v>
      </c>
      <c r="P79" s="94">
        <f t="shared" si="12"/>
        <v>11.037597000234115</v>
      </c>
      <c r="Q79" s="94">
        <f t="shared" si="12"/>
        <v>0.77010722717393898</v>
      </c>
      <c r="R79" s="95">
        <f t="shared" si="12"/>
        <v>0.77010722717393898</v>
      </c>
    </row>
    <row r="80" spans="1:19" s="4" customForma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96"/>
      <c r="L80" s="2"/>
      <c r="M80" s="97"/>
      <c r="N80" s="91"/>
      <c r="O80" s="91"/>
      <c r="P80" s="91"/>
      <c r="Q80" s="97"/>
      <c r="R80" s="91"/>
    </row>
  </sheetData>
  <conditionalFormatting sqref="M8:R11 M32:R32 M17:R18 M21:R24">
    <cfRule type="containsText" dxfId="14" priority="15" operator="containsText" text="Data?">
      <formula>NOT(ISERROR(SEARCH("Data?",M8)))</formula>
    </cfRule>
  </conditionalFormatting>
  <conditionalFormatting sqref="K35">
    <cfRule type="containsText" dxfId="13" priority="13" operator="containsText" text="OK">
      <formula>NOT(ISERROR(SEARCH("OK",K35)))</formula>
    </cfRule>
    <cfRule type="containsText" dxfId="12" priority="14" operator="containsText" text="Check Inputs">
      <formula>NOT(ISERROR(SEARCH("Check Inputs",K35)))</formula>
    </cfRule>
  </conditionalFormatting>
  <conditionalFormatting sqref="M25:R25 M30:R31 M27:R28">
    <cfRule type="containsText" dxfId="11" priority="12" operator="containsText" text="Data?">
      <formula>NOT(ISERROR(SEARCH("Data?",M25)))</formula>
    </cfRule>
  </conditionalFormatting>
  <conditionalFormatting sqref="M29:R29">
    <cfRule type="containsText" dxfId="10" priority="11" operator="containsText" text="Data?">
      <formula>NOT(ISERROR(SEARCH("Data?",M29)))</formula>
    </cfRule>
  </conditionalFormatting>
  <conditionalFormatting sqref="M12:R16">
    <cfRule type="containsText" dxfId="9" priority="10" operator="containsText" text="Data?">
      <formula>NOT(ISERROR(SEARCH("Data?",M12)))</formula>
    </cfRule>
  </conditionalFormatting>
  <conditionalFormatting sqref="M19:R20">
    <cfRule type="containsText" dxfId="8" priority="9" operator="containsText" text="Data?">
      <formula>NOT(ISERROR(SEARCH("Data?",M19)))</formula>
    </cfRule>
  </conditionalFormatting>
  <conditionalFormatting sqref="M39:R50 M60:R61 M66:R68">
    <cfRule type="containsText" dxfId="7" priority="8" operator="containsText" text="Data?">
      <formula>NOT(ISERROR(SEARCH("Data?",M39)))</formula>
    </cfRule>
  </conditionalFormatting>
  <conditionalFormatting sqref="M51:R55">
    <cfRule type="containsText" dxfId="6" priority="7" operator="containsText" text="Data?">
      <formula>NOT(ISERROR(SEARCH("Data?",M51)))</formula>
    </cfRule>
  </conditionalFormatting>
  <conditionalFormatting sqref="M56:R59">
    <cfRule type="containsText" dxfId="5" priority="6" operator="containsText" text="Data?">
      <formula>NOT(ISERROR(SEARCH("Data?",M56)))</formula>
    </cfRule>
  </conditionalFormatting>
  <conditionalFormatting sqref="M62:R63">
    <cfRule type="containsText" dxfId="4" priority="5" operator="containsText" text="Data?">
      <formula>NOT(ISERROR(SEARCH("Data?",M62)))</formula>
    </cfRule>
  </conditionalFormatting>
  <conditionalFormatting sqref="M64:R65">
    <cfRule type="containsText" dxfId="3" priority="4" operator="containsText" text="Data?">
      <formula>NOT(ISERROR(SEARCH("Data?",M64)))</formula>
    </cfRule>
  </conditionalFormatting>
  <conditionalFormatting sqref="K73">
    <cfRule type="containsText" dxfId="2" priority="2" operator="containsText" text="OK">
      <formula>NOT(ISERROR(SEARCH("OK",K73)))</formula>
    </cfRule>
    <cfRule type="containsText" dxfId="1" priority="3" operator="containsText" text="Check Inputs">
      <formula>NOT(ISERROR(SEARCH("Check Inputs",K73)))</formula>
    </cfRule>
  </conditionalFormatting>
  <conditionalFormatting sqref="M26:R26">
    <cfRule type="containsText" dxfId="0" priority="1" operator="containsText" text="Data?">
      <formula>NOT(ISERROR(SEARCH("Data?",M26)))</formula>
    </cfRule>
  </conditionalFormatting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Services Weighting Factors</vt:lpstr>
      <vt:lpstr>Bill_Collect Weighting Factors</vt:lpstr>
      <vt:lpstr>'Bill_Collect Weighting Factors'!Print_Area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Gibson,Sherry</dc:creator>
  <cp:lastModifiedBy>Gibson,Sherry</cp:lastModifiedBy>
  <dcterms:created xsi:type="dcterms:W3CDTF">2022-09-19T14:06:23Z</dcterms:created>
  <dcterms:modified xsi:type="dcterms:W3CDTF">2022-09-19T14:23:54Z</dcterms:modified>
</cp:coreProperties>
</file>