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ity.kingston.on.ca\ns\UK\Utility Stats\CAPITAL\KHC\2021 Work for Rate App 2022\IR 2022\2023 IR - Matthew\"/>
    </mc:Choice>
  </mc:AlternateContent>
  <xr:revisionPtr revIDLastSave="0" documentId="8_{849A7362-610C-4731-90BC-2EB3C91E548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ummary" sheetId="8" r:id="rId1"/>
    <sheet name="General Plant-ERM" sheetId="1" r:id="rId2"/>
    <sheet name="General Plant-Truck" sheetId="2" r:id="rId3"/>
  </sheets>
  <definedNames>
    <definedName name="_xlnm.Print_Area" localSheetId="1">'General Plant-ERM'!$A$1:$J$46</definedName>
    <definedName name="_xlnm.Print_Area" localSheetId="2">'General Plant-Truck'!$A$1:$I$47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2" l="1"/>
  <c r="D16" i="1" l="1"/>
  <c r="H16" i="2" l="1"/>
  <c r="H41" i="2" s="1"/>
  <c r="H34" i="2" s="1"/>
  <c r="G16" i="2"/>
  <c r="I29" i="2"/>
  <c r="H29" i="2"/>
  <c r="F22" i="2"/>
  <c r="G22" i="2"/>
  <c r="H22" i="2"/>
  <c r="I22" i="2"/>
  <c r="E22" i="2"/>
  <c r="E16" i="2"/>
  <c r="I16" i="2" l="1"/>
  <c r="I41" i="2" s="1"/>
  <c r="I34" i="2" s="1"/>
  <c r="C16" i="1"/>
  <c r="C17" i="1"/>
  <c r="D3" i="8"/>
  <c r="E3" i="8" s="1"/>
  <c r="F3" i="8" s="1"/>
  <c r="G3" i="8" s="1"/>
  <c r="H3" i="8" s="1"/>
  <c r="I3" i="8" s="1"/>
  <c r="I41" i="1"/>
  <c r="I34" i="1" s="1"/>
  <c r="I22" i="1"/>
  <c r="H22" i="1"/>
  <c r="H41" i="1" l="1"/>
  <c r="H34" i="1" l="1"/>
  <c r="E23" i="2" l="1"/>
  <c r="F23" i="2"/>
  <c r="C16" i="2"/>
  <c r="G22" i="1"/>
  <c r="G29" i="2" l="1"/>
  <c r="G41" i="2"/>
  <c r="G34" i="2" s="1"/>
  <c r="F16" i="2"/>
  <c r="G29" i="1"/>
  <c r="F22" i="1"/>
  <c r="F41" i="2" l="1"/>
  <c r="F29" i="2"/>
  <c r="E29" i="2"/>
  <c r="F29" i="1"/>
  <c r="F34" i="2" l="1"/>
  <c r="D22" i="2" l="1"/>
  <c r="D22" i="1"/>
  <c r="D29" i="2" l="1"/>
  <c r="C29" i="2"/>
  <c r="C22" i="2"/>
  <c r="C23" i="2" s="1"/>
  <c r="E41" i="2"/>
  <c r="D41" i="2"/>
  <c r="D34" i="2" s="1"/>
  <c r="C41" i="2"/>
  <c r="C34" i="2" l="1"/>
  <c r="C35" i="2"/>
  <c r="C17" i="2"/>
  <c r="C18" i="2" s="1"/>
  <c r="C44" i="2" s="1"/>
  <c r="C33" i="2" s="1"/>
  <c r="C36" i="2" s="1"/>
  <c r="C37" i="2" s="1"/>
  <c r="C38" i="2" s="1"/>
  <c r="E34" i="2"/>
  <c r="D14" i="2"/>
  <c r="D17" i="2" s="1"/>
  <c r="C24" i="2"/>
  <c r="E29" i="1"/>
  <c r="D29" i="1"/>
  <c r="D21" i="2" l="1"/>
  <c r="D23" i="2"/>
  <c r="C43" i="2"/>
  <c r="C45" i="2"/>
  <c r="D35" i="2"/>
  <c r="E41" i="1"/>
  <c r="E34" i="1" s="1"/>
  <c r="D41" i="1"/>
  <c r="D34" i="1" s="1"/>
  <c r="C29" i="1"/>
  <c r="C46" i="2" l="1"/>
  <c r="C5" i="8" s="1"/>
  <c r="D24" i="2"/>
  <c r="E35" i="2" s="1"/>
  <c r="D18" i="2"/>
  <c r="D44" i="2" s="1"/>
  <c r="D33" i="2" s="1"/>
  <c r="E17" i="2"/>
  <c r="F14" i="2" s="1"/>
  <c r="F17" i="2" s="1"/>
  <c r="C22" i="1"/>
  <c r="C23" i="1" s="1"/>
  <c r="C41" i="1"/>
  <c r="D36" i="2" l="1"/>
  <c r="D37" i="2" s="1"/>
  <c r="D38" i="2" s="1"/>
  <c r="D45" i="2" s="1"/>
  <c r="E18" i="2"/>
  <c r="E44" i="2" s="1"/>
  <c r="E33" i="2" s="1"/>
  <c r="E36" i="2" s="1"/>
  <c r="E37" i="2" s="1"/>
  <c r="E38" i="2" s="1"/>
  <c r="E45" i="2" s="1"/>
  <c r="F18" i="2"/>
  <c r="F44" i="2" s="1"/>
  <c r="F33" i="2" s="1"/>
  <c r="G14" i="2"/>
  <c r="D43" i="2"/>
  <c r="E24" i="2"/>
  <c r="F21" i="2" s="1"/>
  <c r="C35" i="1"/>
  <c r="C24" i="1"/>
  <c r="D14" i="1"/>
  <c r="D17" i="1" s="1"/>
  <c r="C34" i="1"/>
  <c r="D21" i="1" l="1"/>
  <c r="D23" i="1"/>
  <c r="D35" i="1" s="1"/>
  <c r="E43" i="2"/>
  <c r="E46" i="2" s="1"/>
  <c r="E5" i="8" s="1"/>
  <c r="F43" i="2"/>
  <c r="D46" i="2"/>
  <c r="D5" i="8" s="1"/>
  <c r="G17" i="2"/>
  <c r="F35" i="2"/>
  <c r="F36" i="2" s="1"/>
  <c r="C18" i="1"/>
  <c r="C44" i="1" s="1"/>
  <c r="C33" i="1" s="1"/>
  <c r="C36" i="1" s="1"/>
  <c r="C37" i="1" s="1"/>
  <c r="C38" i="1" s="1"/>
  <c r="C45" i="1" s="1"/>
  <c r="D18" i="1"/>
  <c r="D43" i="1" s="1"/>
  <c r="E14" i="1"/>
  <c r="E17" i="1" s="1"/>
  <c r="C43" i="1" l="1"/>
  <c r="G41" i="1"/>
  <c r="G34" i="1" s="1"/>
  <c r="G18" i="2"/>
  <c r="H14" i="2"/>
  <c r="G44" i="2"/>
  <c r="G33" i="2" s="1"/>
  <c r="G43" i="2"/>
  <c r="F37" i="2"/>
  <c r="F38" i="2" s="1"/>
  <c r="F45" i="2" s="1"/>
  <c r="F46" i="2" s="1"/>
  <c r="F5" i="8" s="1"/>
  <c r="F41" i="1"/>
  <c r="F24" i="2"/>
  <c r="D44" i="1"/>
  <c r="D33" i="1" s="1"/>
  <c r="D36" i="1" s="1"/>
  <c r="D37" i="1" s="1"/>
  <c r="D38" i="1" s="1"/>
  <c r="D45" i="1" s="1"/>
  <c r="D46" i="1" s="1"/>
  <c r="D4" i="8" s="1"/>
  <c r="D6" i="8" s="1"/>
  <c r="C46" i="1"/>
  <c r="C4" i="8" s="1"/>
  <c r="C6" i="8" s="1"/>
  <c r="D24" i="1"/>
  <c r="E21" i="1" s="1"/>
  <c r="G21" i="2" l="1"/>
  <c r="G23" i="2"/>
  <c r="G35" i="2" s="1"/>
  <c r="G36" i="2" s="1"/>
  <c r="F17" i="1"/>
  <c r="G14" i="1" s="1"/>
  <c r="G17" i="1" s="1"/>
  <c r="G18" i="1" s="1"/>
  <c r="H17" i="2"/>
  <c r="I14" i="2" s="1"/>
  <c r="E35" i="1"/>
  <c r="E18" i="1"/>
  <c r="E43" i="1" s="1"/>
  <c r="F34" i="1"/>
  <c r="F18" i="1" l="1"/>
  <c r="F43" i="1" s="1"/>
  <c r="E24" i="1"/>
  <c r="F21" i="1" s="1"/>
  <c r="F35" i="1" s="1"/>
  <c r="G37" i="2"/>
  <c r="G38" i="2" s="1"/>
  <c r="G45" i="2" s="1"/>
  <c r="G46" i="2" s="1"/>
  <c r="I17" i="2"/>
  <c r="I18" i="2" s="1"/>
  <c r="H18" i="2"/>
  <c r="E44" i="1"/>
  <c r="G24" i="2"/>
  <c r="H21" i="2" l="1"/>
  <c r="H23" i="2"/>
  <c r="H35" i="2" s="1"/>
  <c r="E33" i="1"/>
  <c r="E36" i="1" s="1"/>
  <c r="E37" i="1" s="1"/>
  <c r="E38" i="1" s="1"/>
  <c r="E45" i="1" s="1"/>
  <c r="E46" i="1" s="1"/>
  <c r="E4" i="8" s="1"/>
  <c r="E6" i="8" s="1"/>
  <c r="F44" i="1"/>
  <c r="F33" i="1" s="1"/>
  <c r="F36" i="1" s="1"/>
  <c r="F37" i="1" s="1"/>
  <c r="F38" i="1" s="1"/>
  <c r="F45" i="1" s="1"/>
  <c r="F46" i="1" s="1"/>
  <c r="F4" i="8" s="1"/>
  <c r="F6" i="8" s="1"/>
  <c r="G5" i="8"/>
  <c r="I44" i="2"/>
  <c r="I33" i="2" s="1"/>
  <c r="I43" i="2"/>
  <c r="H43" i="2"/>
  <c r="H44" i="2"/>
  <c r="H33" i="2" s="1"/>
  <c r="G43" i="1"/>
  <c r="H14" i="1"/>
  <c r="H17" i="1" s="1"/>
  <c r="F24" i="1"/>
  <c r="G21" i="1" s="1"/>
  <c r="H36" i="2" l="1"/>
  <c r="H37" i="2" s="1"/>
  <c r="H38" i="2" s="1"/>
  <c r="H45" i="2" s="1"/>
  <c r="H24" i="2"/>
  <c r="I21" i="2"/>
  <c r="I23" i="2"/>
  <c r="I35" i="2" s="1"/>
  <c r="I36" i="2" s="1"/>
  <c r="I37" i="2" s="1"/>
  <c r="I38" i="2" s="1"/>
  <c r="I45" i="2" s="1"/>
  <c r="I46" i="2" s="1"/>
  <c r="I5" i="8" s="1"/>
  <c r="H46" i="2"/>
  <c r="H5" i="8" s="1"/>
  <c r="G44" i="1"/>
  <c r="G33" i="1" s="1"/>
  <c r="I14" i="1"/>
  <c r="I17" i="1" s="1"/>
  <c r="G35" i="1"/>
  <c r="G24" i="1"/>
  <c r="H21" i="1" s="1"/>
  <c r="I24" i="2" l="1"/>
  <c r="H35" i="1"/>
  <c r="I18" i="1"/>
  <c r="G36" i="1"/>
  <c r="H18" i="1"/>
  <c r="H24" i="1" l="1"/>
  <c r="I21" i="1" s="1"/>
  <c r="I35" i="1" s="1"/>
  <c r="H44" i="1"/>
  <c r="H33" i="1" s="1"/>
  <c r="H36" i="1" s="1"/>
  <c r="H37" i="1" s="1"/>
  <c r="H38" i="1" s="1"/>
  <c r="H45" i="1" s="1"/>
  <c r="H43" i="1"/>
  <c r="I44" i="1"/>
  <c r="I33" i="1" s="1"/>
  <c r="I43" i="1"/>
  <c r="G37" i="1"/>
  <c r="G38" i="1" s="1"/>
  <c r="G45" i="1" s="1"/>
  <c r="G46" i="1" s="1"/>
  <c r="I36" i="1" l="1"/>
  <c r="I37" i="1" s="1"/>
  <c r="I38" i="1" s="1"/>
  <c r="I45" i="1" s="1"/>
  <c r="I46" i="1" s="1"/>
  <c r="I4" i="8" s="1"/>
  <c r="I6" i="8" s="1"/>
  <c r="I24" i="1"/>
  <c r="H46" i="1"/>
  <c r="H4" i="8" s="1"/>
  <c r="H6" i="8" s="1"/>
  <c r="G4" i="8"/>
  <c r="G6" i="8" s="1"/>
  <c r="K6" i="8" l="1"/>
</calcChain>
</file>

<file path=xl/sharedStrings.xml><?xml version="1.0" encoding="utf-8"?>
<sst xmlns="http://schemas.openxmlformats.org/spreadsheetml/2006/main" count="84" uniqueCount="42">
  <si>
    <t>Kingston Hydro</t>
  </si>
  <si>
    <t>Capital Additions Variance Model</t>
  </si>
  <si>
    <t>Depreciation</t>
  </si>
  <si>
    <t>CCA Rate</t>
  </si>
  <si>
    <t>PILs Rate</t>
  </si>
  <si>
    <t>Deemed STD%</t>
  </si>
  <si>
    <t>Deemed LTD%</t>
  </si>
  <si>
    <t>Deemed Equity %</t>
  </si>
  <si>
    <t>Fixed Asset Continuity</t>
  </si>
  <si>
    <t>Opening Balance</t>
  </si>
  <si>
    <t>Depreciation (1/2 year)</t>
  </si>
  <si>
    <t>Closing Balance</t>
  </si>
  <si>
    <t>Average Balance (Rate Base)</t>
  </si>
  <si>
    <t>UCC Continuity</t>
  </si>
  <si>
    <t>Capex Variance</t>
  </si>
  <si>
    <t>CCA</t>
  </si>
  <si>
    <t>Cost of Capital</t>
  </si>
  <si>
    <t>Short-Term Debt</t>
  </si>
  <si>
    <t>Long-Term Debt Rate</t>
  </si>
  <si>
    <t>Weighted Debt Rate</t>
  </si>
  <si>
    <t>Equity</t>
  </si>
  <si>
    <t>Revenue Requirement ("RR")</t>
  </si>
  <si>
    <t>Cost of Capital:</t>
  </si>
  <si>
    <t xml:space="preserve">  Debt</t>
  </si>
  <si>
    <t xml:space="preserve">  Equity</t>
  </si>
  <si>
    <t>PILS Gross-up</t>
  </si>
  <si>
    <t>Annual RR Variance</t>
  </si>
  <si>
    <t>Depreciation Years</t>
  </si>
  <si>
    <t>PILS Calcualtion</t>
  </si>
  <si>
    <t>Cost of Equity Capital</t>
  </si>
  <si>
    <t>Deduct CCA</t>
  </si>
  <si>
    <t>Add Depreciation</t>
  </si>
  <si>
    <t>PILs Income</t>
  </si>
  <si>
    <t>PILS before Gross-Up</t>
  </si>
  <si>
    <t>Pils Grossed Up</t>
  </si>
  <si>
    <t>General Plant - ERM Software</t>
  </si>
  <si>
    <t>General Plant - Truck</t>
  </si>
  <si>
    <t>ERM</t>
  </si>
  <si>
    <t>General Plant</t>
  </si>
  <si>
    <t>Truck</t>
  </si>
  <si>
    <t>Total</t>
  </si>
  <si>
    <t>Final Line Summary: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</si>
</sst>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66" fontId="0" fillId="0" borderId="0" xfId="1" applyNumberFormat="1" applyFont="1"/>
    <xf numFmtId="166" fontId="0" fillId="0" borderId="0" xfId="0" applyNumberFormat="1"/>
    <xf numFmtId="166" fontId="0" fillId="0" borderId="1" xfId="1" applyNumberFormat="1" applyFont="1" applyBorder="1"/>
    <xf numFmtId="166" fontId="0" fillId="0" borderId="2" xfId="1" applyNumberFormat="1" applyFont="1" applyBorder="1"/>
    <xf numFmtId="166" fontId="0" fillId="0" borderId="3" xfId="1" applyNumberFormat="1" applyFont="1" applyBorder="1"/>
    <xf numFmtId="10" fontId="0" fillId="0" borderId="0" xfId="2" applyNumberFormat="1" applyFont="1"/>
    <xf numFmtId="10" fontId="0" fillId="0" borderId="0" xfId="2" applyNumberFormat="1" applyFont="1" applyFill="1" applyBorder="1" applyProtection="1"/>
    <xf numFmtId="166" fontId="0" fillId="0" borderId="1" xfId="0" applyNumberFormat="1" applyBorder="1"/>
    <xf numFmtId="166" fontId="2" fillId="0" borderId="4" xfId="0" applyNumberFormat="1" applyFont="1" applyBorder="1"/>
    <xf numFmtId="0" fontId="2" fillId="0" borderId="0" xfId="0" applyFont="1" applyAlignment="1">
      <alignment horizontal="center"/>
    </xf>
    <xf numFmtId="166" fontId="0" fillId="0" borderId="0" xfId="1" applyNumberFormat="1" applyFont="1" applyFill="1"/>
    <xf numFmtId="164" fontId="0" fillId="0" borderId="0" xfId="1" applyFont="1"/>
    <xf numFmtId="166" fontId="2" fillId="0" borderId="4" xfId="0" applyNumberFormat="1" applyFont="1" applyFill="1" applyBorder="1"/>
    <xf numFmtId="0" fontId="0" fillId="0" borderId="0" xfId="0" applyFill="1"/>
    <xf numFmtId="9" fontId="0" fillId="0" borderId="0" xfId="2" applyFont="1" applyFill="1"/>
    <xf numFmtId="165" fontId="0" fillId="0" borderId="0" xfId="2" applyNumberFormat="1" applyFont="1" applyFill="1"/>
    <xf numFmtId="167" fontId="0" fillId="0" borderId="0" xfId="1" applyNumberFormat="1" applyFont="1"/>
    <xf numFmtId="0" fontId="3" fillId="0" borderId="0" xfId="0" applyFont="1"/>
    <xf numFmtId="166" fontId="0" fillId="0" borderId="2" xfId="1" applyNumberFormat="1" applyFont="1" applyFill="1" applyBorder="1"/>
    <xf numFmtId="0" fontId="0" fillId="0" borderId="5" xfId="0" applyBorder="1"/>
    <xf numFmtId="164" fontId="0" fillId="0" borderId="4" xfId="1" applyFont="1" applyBorder="1"/>
    <xf numFmtId="164" fontId="0" fillId="0" borderId="0" xfId="0" applyNumberFormat="1"/>
    <xf numFmtId="164" fontId="1" fillId="0" borderId="0" xfId="1" applyFont="1"/>
    <xf numFmtId="0" fontId="2" fillId="0" borderId="0" xfId="0" applyFont="1" applyFill="1"/>
    <xf numFmtId="166" fontId="0" fillId="0" borderId="0" xfId="0" applyNumberFormat="1" applyFill="1"/>
    <xf numFmtId="166" fontId="0" fillId="0" borderId="1" xfId="0" applyNumberFormat="1" applyFill="1" applyBorder="1"/>
    <xf numFmtId="166" fontId="0" fillId="0" borderId="3" xfId="1" applyNumberFormat="1" applyFont="1" applyFill="1" applyBorder="1"/>
    <xf numFmtId="0" fontId="2" fillId="0" borderId="0" xfId="0" applyFont="1" applyFill="1" applyAlignment="1">
      <alignment horizontal="center"/>
    </xf>
    <xf numFmtId="167" fontId="0" fillId="0" borderId="1" xfId="1" applyNumberFormat="1" applyFont="1" applyFill="1" applyBorder="1"/>
    <xf numFmtId="167" fontId="0" fillId="0" borderId="0" xfId="1" applyNumberFormat="1" applyFont="1" applyFill="1"/>
    <xf numFmtId="0" fontId="0" fillId="0" borderId="0" xfId="0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0CEEC-942B-496B-AB56-0C47293629F3}">
  <sheetPr codeName="Sheet2"/>
  <dimension ref="A1:K7"/>
  <sheetViews>
    <sheetView tabSelected="1" zoomScaleNormal="100" workbookViewId="0">
      <selection activeCell="E7" sqref="E7"/>
    </sheetView>
  </sheetViews>
  <sheetFormatPr defaultRowHeight="15" x14ac:dyDescent="0.25"/>
  <cols>
    <col min="2" max="2" width="15.7109375" bestFit="1" customWidth="1"/>
    <col min="3" max="4" width="11.28515625" bestFit="1" customWidth="1"/>
    <col min="5" max="5" width="10.28515625" bestFit="1" customWidth="1"/>
    <col min="6" max="6" width="8.7109375" bestFit="1" customWidth="1"/>
    <col min="7" max="9" width="11.28515625" bestFit="1" customWidth="1"/>
    <col min="11" max="11" width="12.28515625" bestFit="1" customWidth="1"/>
  </cols>
  <sheetData>
    <row r="1" spans="1:11" x14ac:dyDescent="0.25">
      <c r="A1" t="s">
        <v>41</v>
      </c>
    </row>
    <row r="3" spans="1:11" x14ac:dyDescent="0.25">
      <c r="C3" s="11">
        <v>2016</v>
      </c>
      <c r="D3" s="11">
        <f>C3+1</f>
        <v>2017</v>
      </c>
      <c r="E3" s="11">
        <f t="shared" ref="E3:I3" si="0">D3+1</f>
        <v>2018</v>
      </c>
      <c r="F3" s="11">
        <f t="shared" si="0"/>
        <v>2019</v>
      </c>
      <c r="G3" s="11">
        <f t="shared" si="0"/>
        <v>2020</v>
      </c>
      <c r="H3" s="11">
        <f t="shared" si="0"/>
        <v>2021</v>
      </c>
      <c r="I3" s="11">
        <f t="shared" si="0"/>
        <v>2022</v>
      </c>
    </row>
    <row r="4" spans="1:11" x14ac:dyDescent="0.25">
      <c r="A4" s="21" t="s">
        <v>37</v>
      </c>
      <c r="B4" s="1" t="s">
        <v>38</v>
      </c>
      <c r="C4" s="13">
        <f>IF('General Plant-ERM'!C46&lt;0,'General Plant-ERM'!C46,0)</f>
        <v>-21532.057665704582</v>
      </c>
      <c r="D4" s="13">
        <f>IF('General Plant-ERM'!D46&lt;0,'General Plant-ERM'!D46,0)</f>
        <v>-45704.903197914988</v>
      </c>
      <c r="E4" s="24">
        <f>IF('General Plant-ERM'!E46&lt;0,'General Plant-ERM'!E46,0)</f>
        <v>-2006.7785284765146</v>
      </c>
      <c r="F4" s="13">
        <f>IF('General Plant-ERM'!F46&lt;0,'General Plant-ERM'!F46,0)</f>
        <v>0</v>
      </c>
      <c r="G4" s="13">
        <f>IF('General Plant-ERM'!G46&lt;0,'General Plant-ERM'!G46,0)</f>
        <v>0</v>
      </c>
      <c r="H4" s="13">
        <f>IF('General Plant-ERM'!H46&lt;0,'General Plant-ERM'!H46,0)</f>
        <v>0</v>
      </c>
      <c r="I4" s="13">
        <f>IF('General Plant-ERM'!I46&lt;0,'General Plant-ERM'!I46,0)</f>
        <v>0</v>
      </c>
    </row>
    <row r="5" spans="1:11" x14ac:dyDescent="0.25">
      <c r="A5" s="21" t="s">
        <v>39</v>
      </c>
      <c r="B5" s="1" t="s">
        <v>38</v>
      </c>
      <c r="C5" s="13">
        <f>IF('General Plant-Truck'!C46&lt;0,'General Plant-Truck'!C46,0)</f>
        <v>-6770.3146919776327</v>
      </c>
      <c r="D5" s="13">
        <f>IF('General Plant-Truck'!D46&lt;0,'General Plant-Truck'!D46,0)</f>
        <v>-9160.7977030782313</v>
      </c>
      <c r="E5" s="13">
        <f>IF('General Plant-Truck'!E46&lt;0,'General Plant-Truck'!E46,0)</f>
        <v>0</v>
      </c>
      <c r="F5" s="13">
        <f>IF('General Plant-Truck'!F46&lt;0,'General Plant-Truck'!F46,0)</f>
        <v>-498.41837275271536</v>
      </c>
      <c r="G5" s="13">
        <f>IF('General Plant-Truck'!G46&lt;0,'General Plant-Truck'!G46,0)</f>
        <v>-10633.954871658581</v>
      </c>
      <c r="H5" s="13">
        <f>IF('General Plant-Truck'!H46&lt;0,'General Plant-Truck'!H46,0)</f>
        <v>-23720.27890553886</v>
      </c>
      <c r="I5" s="13">
        <f>IF('General Plant-Truck'!I46&lt;0,'General Plant-Truck'!I46,0)</f>
        <v>-29342.223335309456</v>
      </c>
    </row>
    <row r="6" spans="1:11" ht="15.75" thickBot="1" x14ac:dyDescent="0.3">
      <c r="B6" s="1" t="s">
        <v>40</v>
      </c>
      <c r="C6" s="22">
        <f t="shared" ref="C6:I6" si="1">SUM(C4:C5)</f>
        <v>-28302.372357682216</v>
      </c>
      <c r="D6" s="22">
        <f t="shared" si="1"/>
        <v>-54865.700900993223</v>
      </c>
      <c r="E6" s="22">
        <f t="shared" si="1"/>
        <v>-2006.7785284765146</v>
      </c>
      <c r="F6" s="22">
        <f t="shared" si="1"/>
        <v>-498.41837275271536</v>
      </c>
      <c r="G6" s="22">
        <f t="shared" si="1"/>
        <v>-10633.954871658581</v>
      </c>
      <c r="H6" s="22">
        <f t="shared" si="1"/>
        <v>-23720.27890553886</v>
      </c>
      <c r="I6" s="22">
        <f t="shared" si="1"/>
        <v>-29342.223335309456</v>
      </c>
      <c r="K6" s="23">
        <f>SUM(C6:J6)</f>
        <v>-149369.72727241155</v>
      </c>
    </row>
    <row r="7" spans="1:11" ht="15.75" thickTop="1" x14ac:dyDescent="0.25"/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F0"/>
    <pageSetUpPr fitToPage="1"/>
  </sheetPr>
  <dimension ref="A1:K48"/>
  <sheetViews>
    <sheetView zoomScale="90" zoomScaleNormal="90" workbookViewId="0">
      <pane xSplit="1" ySplit="12" topLeftCell="B13" activePane="bottomRight" state="frozen"/>
      <selection activeCell="F49" sqref="F49"/>
      <selection pane="topRight" activeCell="F49" sqref="F49"/>
      <selection pane="bottomLeft" activeCell="F49" sqref="F49"/>
      <selection pane="bottomRight" activeCell="I7" sqref="I7"/>
    </sheetView>
  </sheetViews>
  <sheetFormatPr defaultRowHeight="15" x14ac:dyDescent="0.25"/>
  <cols>
    <col min="1" max="1" width="30.7109375" style="15" customWidth="1"/>
    <col min="2" max="2" width="9.140625" style="15"/>
    <col min="3" max="4" width="10.140625" bestFit="1" customWidth="1"/>
    <col min="5" max="5" width="9" bestFit="1" customWidth="1"/>
    <col min="6" max="9" width="8.42578125" bestFit="1" customWidth="1"/>
    <col min="10" max="10" width="10.140625" bestFit="1" customWidth="1"/>
  </cols>
  <sheetData>
    <row r="1" spans="1:11" x14ac:dyDescent="0.25">
      <c r="A1" s="25" t="s">
        <v>0</v>
      </c>
    </row>
    <row r="2" spans="1:11" x14ac:dyDescent="0.25">
      <c r="A2" s="25" t="s">
        <v>1</v>
      </c>
      <c r="C2" s="33"/>
      <c r="D2" s="32"/>
      <c r="E2" s="32"/>
      <c r="F2" s="32"/>
      <c r="G2" s="32"/>
      <c r="H2" s="32"/>
      <c r="I2" s="32"/>
    </row>
    <row r="3" spans="1:11" x14ac:dyDescent="0.25">
      <c r="A3" s="25" t="s">
        <v>35</v>
      </c>
    </row>
    <row r="5" spans="1:11" x14ac:dyDescent="0.25">
      <c r="A5" s="15" t="s">
        <v>27</v>
      </c>
      <c r="B5" s="12">
        <v>5</v>
      </c>
    </row>
    <row r="6" spans="1:11" x14ac:dyDescent="0.25">
      <c r="A6" s="15" t="s">
        <v>3</v>
      </c>
      <c r="B6" s="16">
        <v>0.55000000000000004</v>
      </c>
    </row>
    <row r="7" spans="1:11" x14ac:dyDescent="0.25">
      <c r="A7" s="15" t="s">
        <v>4</v>
      </c>
      <c r="B7" s="17">
        <v>0.26500000000000001</v>
      </c>
    </row>
    <row r="8" spans="1:11" x14ac:dyDescent="0.25">
      <c r="A8" s="15" t="s">
        <v>5</v>
      </c>
      <c r="B8" s="17">
        <v>0.04</v>
      </c>
    </row>
    <row r="9" spans="1:11" x14ac:dyDescent="0.25">
      <c r="A9" s="15" t="s">
        <v>6</v>
      </c>
      <c r="B9" s="17">
        <v>0.56000000000000005</v>
      </c>
      <c r="C9" s="15"/>
      <c r="D9" s="15"/>
      <c r="E9" s="15"/>
      <c r="F9" s="15"/>
      <c r="G9" s="15"/>
      <c r="H9" s="15"/>
      <c r="I9" s="15"/>
      <c r="J9" s="15"/>
    </row>
    <row r="10" spans="1:11" x14ac:dyDescent="0.25">
      <c r="A10" s="15" t="s">
        <v>7</v>
      </c>
      <c r="B10" s="17">
        <v>0.4</v>
      </c>
      <c r="C10" s="15"/>
      <c r="D10" s="15"/>
      <c r="E10" s="15"/>
      <c r="F10" s="15"/>
      <c r="G10" s="15"/>
      <c r="H10" s="15"/>
      <c r="I10" s="15"/>
      <c r="J10" s="15"/>
    </row>
    <row r="11" spans="1:11" x14ac:dyDescent="0.25">
      <c r="C11" s="15"/>
      <c r="D11" s="15"/>
      <c r="E11" s="15"/>
      <c r="F11" s="15"/>
      <c r="G11" s="15"/>
      <c r="H11" s="15"/>
      <c r="I11" s="15"/>
      <c r="J11" s="15"/>
    </row>
    <row r="12" spans="1:11" x14ac:dyDescent="0.25">
      <c r="C12" s="29">
        <v>2016</v>
      </c>
      <c r="D12" s="29">
        <v>2017</v>
      </c>
      <c r="E12" s="29">
        <v>2018</v>
      </c>
      <c r="F12" s="29">
        <v>2019</v>
      </c>
      <c r="G12" s="29">
        <v>2020</v>
      </c>
      <c r="H12" s="29">
        <v>2021</v>
      </c>
      <c r="I12" s="29">
        <v>2022</v>
      </c>
      <c r="J12" s="15"/>
    </row>
    <row r="13" spans="1:11" x14ac:dyDescent="0.25">
      <c r="A13" s="25" t="s">
        <v>8</v>
      </c>
      <c r="C13" s="15"/>
      <c r="D13" s="15"/>
      <c r="E13" s="15"/>
      <c r="F13" s="15"/>
      <c r="G13" s="15"/>
      <c r="H13" s="15"/>
      <c r="I13" s="15"/>
      <c r="J13" s="15"/>
    </row>
    <row r="14" spans="1:11" x14ac:dyDescent="0.25">
      <c r="A14" s="15" t="s">
        <v>9</v>
      </c>
      <c r="C14" s="12">
        <v>0</v>
      </c>
      <c r="D14" s="12">
        <f t="shared" ref="D14:I14" si="0">C17</f>
        <v>-278581.19399999996</v>
      </c>
      <c r="E14" s="12">
        <f t="shared" si="0"/>
        <v>-61523.846999999965</v>
      </c>
      <c r="F14" s="26">
        <v>0</v>
      </c>
      <c r="G14" s="26">
        <f t="shared" si="0"/>
        <v>0</v>
      </c>
      <c r="H14" s="26">
        <f t="shared" si="0"/>
        <v>0</v>
      </c>
      <c r="I14" s="26">
        <f t="shared" si="0"/>
        <v>0</v>
      </c>
      <c r="J14" s="15"/>
    </row>
    <row r="15" spans="1:11" x14ac:dyDescent="0.25">
      <c r="A15" s="15" t="s">
        <v>14</v>
      </c>
      <c r="C15" s="12">
        <v>-309534.65999999997</v>
      </c>
      <c r="D15" s="12">
        <v>172389.35</v>
      </c>
      <c r="E15" s="12">
        <v>67784.03</v>
      </c>
      <c r="F15" s="12"/>
      <c r="G15" s="12"/>
      <c r="H15" s="12">
        <v>0</v>
      </c>
      <c r="I15" s="12">
        <v>0</v>
      </c>
      <c r="J15" s="26"/>
    </row>
    <row r="16" spans="1:11" x14ac:dyDescent="0.25">
      <c r="A16" s="15" t="s">
        <v>10</v>
      </c>
      <c r="C16" s="30">
        <f>-C15/$B$5/2</f>
        <v>30953.465999999997</v>
      </c>
      <c r="D16" s="30">
        <f>-C15/B5-D15/$B$5/2</f>
        <v>44667.996999999988</v>
      </c>
      <c r="E16" s="31">
        <v>0</v>
      </c>
      <c r="F16" s="31"/>
      <c r="G16" s="31"/>
      <c r="H16" s="31"/>
      <c r="I16" s="31"/>
      <c r="J16" s="15"/>
      <c r="K16" s="19"/>
    </row>
    <row r="17" spans="1:11" ht="15.75" thickBot="1" x14ac:dyDescent="0.3">
      <c r="A17" s="15" t="s">
        <v>11</v>
      </c>
      <c r="C17" s="20">
        <f t="shared" ref="C17:I17" si="1">SUM(C14:C16)</f>
        <v>-278581.19399999996</v>
      </c>
      <c r="D17" s="20">
        <f t="shared" si="1"/>
        <v>-61523.846999999965</v>
      </c>
      <c r="E17" s="20">
        <f t="shared" si="1"/>
        <v>6260.1830000000336</v>
      </c>
      <c r="F17" s="20">
        <f t="shared" si="1"/>
        <v>0</v>
      </c>
      <c r="G17" s="20">
        <f t="shared" si="1"/>
        <v>0</v>
      </c>
      <c r="H17" s="20">
        <f t="shared" si="1"/>
        <v>0</v>
      </c>
      <c r="I17" s="20">
        <f t="shared" si="1"/>
        <v>0</v>
      </c>
      <c r="J17" s="15"/>
      <c r="K17" s="1"/>
    </row>
    <row r="18" spans="1:11" ht="15.75" thickBot="1" x14ac:dyDescent="0.3">
      <c r="A18" s="15" t="s">
        <v>12</v>
      </c>
      <c r="C18" s="28">
        <f>C17/2</f>
        <v>-139290.59699999998</v>
      </c>
      <c r="D18" s="28">
        <f t="shared" ref="D18:I18" si="2">(D14+D17)/2</f>
        <v>-170052.52049999996</v>
      </c>
      <c r="E18" s="28">
        <f t="shared" si="2"/>
        <v>-27631.831999999966</v>
      </c>
      <c r="F18" s="28">
        <f t="shared" si="2"/>
        <v>0</v>
      </c>
      <c r="G18" s="28">
        <f t="shared" si="2"/>
        <v>0</v>
      </c>
      <c r="H18" s="28">
        <f t="shared" si="2"/>
        <v>0</v>
      </c>
      <c r="I18" s="28">
        <f t="shared" si="2"/>
        <v>0</v>
      </c>
      <c r="J18" s="15"/>
    </row>
    <row r="19" spans="1:11" x14ac:dyDescent="0.25">
      <c r="C19" s="2"/>
      <c r="D19" s="2"/>
      <c r="E19" s="2"/>
    </row>
    <row r="20" spans="1:11" x14ac:dyDescent="0.25">
      <c r="A20" s="25" t="s">
        <v>13</v>
      </c>
      <c r="C20" s="2"/>
      <c r="D20" s="2"/>
      <c r="E20" s="2"/>
    </row>
    <row r="21" spans="1:11" x14ac:dyDescent="0.25">
      <c r="A21" s="15" t="s">
        <v>9</v>
      </c>
      <c r="C21" s="2">
        <v>0</v>
      </c>
      <c r="D21" s="2">
        <f t="shared" ref="D21:I21" si="3">C24</f>
        <v>-224412.62849999999</v>
      </c>
      <c r="E21" s="2">
        <f t="shared" si="3"/>
        <v>23996.595925000016</v>
      </c>
      <c r="F21" s="3">
        <f t="shared" si="3"/>
        <v>23996.595925000016</v>
      </c>
      <c r="G21" s="3">
        <f t="shared" si="3"/>
        <v>23996.595925000016</v>
      </c>
      <c r="H21" s="3">
        <f t="shared" si="3"/>
        <v>23996.595925000016</v>
      </c>
      <c r="I21" s="3">
        <f t="shared" si="3"/>
        <v>23996.595925000016</v>
      </c>
    </row>
    <row r="22" spans="1:11" x14ac:dyDescent="0.25">
      <c r="A22" s="15" t="s">
        <v>14</v>
      </c>
      <c r="C22" s="2">
        <f>C15</f>
        <v>-309534.65999999997</v>
      </c>
      <c r="D22" s="2">
        <f>D15</f>
        <v>172389.35</v>
      </c>
      <c r="E22" s="2">
        <v>0</v>
      </c>
      <c r="F22" s="3">
        <f>F15</f>
        <v>0</v>
      </c>
      <c r="G22" s="3">
        <f>G15</f>
        <v>0</v>
      </c>
      <c r="H22" s="3">
        <f>H15</f>
        <v>0</v>
      </c>
      <c r="I22" s="3">
        <f>I15</f>
        <v>0</v>
      </c>
    </row>
    <row r="23" spans="1:11" x14ac:dyDescent="0.25">
      <c r="A23" s="15" t="s">
        <v>15</v>
      </c>
      <c r="C23" s="4">
        <f>-C22*$B$6/2</f>
        <v>85122.031499999997</v>
      </c>
      <c r="D23" s="4">
        <f>-C24*B6-D22*$B$6/2</f>
        <v>76019.874425000002</v>
      </c>
      <c r="E23" s="2">
        <v>0</v>
      </c>
      <c r="F23" s="18">
        <v>0</v>
      </c>
      <c r="G23" s="18">
        <v>0</v>
      </c>
      <c r="H23" s="18">
        <v>0</v>
      </c>
      <c r="I23" s="18">
        <v>0</v>
      </c>
    </row>
    <row r="24" spans="1:11" ht="15.75" thickBot="1" x14ac:dyDescent="0.3">
      <c r="A24" s="15" t="s">
        <v>11</v>
      </c>
      <c r="C24" s="5">
        <f t="shared" ref="C24:I24" si="4">SUM(C21:C23)</f>
        <v>-224412.62849999999</v>
      </c>
      <c r="D24" s="5">
        <f t="shared" si="4"/>
        <v>23996.595925000016</v>
      </c>
      <c r="E24" s="5">
        <f t="shared" si="4"/>
        <v>23996.595925000016</v>
      </c>
      <c r="F24" s="5">
        <f t="shared" si="4"/>
        <v>23996.595925000016</v>
      </c>
      <c r="G24" s="5">
        <f t="shared" si="4"/>
        <v>23996.595925000016</v>
      </c>
      <c r="H24" s="5">
        <f t="shared" si="4"/>
        <v>23996.595925000016</v>
      </c>
      <c r="I24" s="5">
        <f t="shared" si="4"/>
        <v>23996.595925000016</v>
      </c>
    </row>
    <row r="26" spans="1:11" x14ac:dyDescent="0.25">
      <c r="A26" s="25" t="s">
        <v>16</v>
      </c>
    </row>
    <row r="27" spans="1:11" x14ac:dyDescent="0.25">
      <c r="A27" s="15" t="s">
        <v>17</v>
      </c>
      <c r="C27" s="7">
        <v>1.6500000000000001E-2</v>
      </c>
      <c r="D27" s="7">
        <v>1.6500000000000001E-2</v>
      </c>
      <c r="E27" s="7">
        <v>1.6500000000000001E-2</v>
      </c>
      <c r="F27" s="7">
        <v>1.6500000000000001E-2</v>
      </c>
      <c r="G27" s="7">
        <v>1.6500000000000001E-2</v>
      </c>
      <c r="H27" s="7">
        <v>1.6500000000000001E-2</v>
      </c>
      <c r="I27" s="7">
        <v>1.6500000000000001E-2</v>
      </c>
    </row>
    <row r="28" spans="1:11" x14ac:dyDescent="0.25">
      <c r="A28" s="15" t="s">
        <v>18</v>
      </c>
      <c r="C28" s="8">
        <v>3.9106295561843772E-2</v>
      </c>
      <c r="D28" s="7">
        <v>3.9100000000000003E-2</v>
      </c>
      <c r="E28" s="7">
        <v>3.9199999999999999E-2</v>
      </c>
      <c r="F28" s="7">
        <v>3.9199999999999999E-2</v>
      </c>
      <c r="G28" s="7">
        <v>3.9199999999999999E-2</v>
      </c>
      <c r="H28" s="7">
        <v>3.9199999999999999E-2</v>
      </c>
      <c r="I28" s="7">
        <v>3.9199999999999999E-2</v>
      </c>
    </row>
    <row r="29" spans="1:11" x14ac:dyDescent="0.25">
      <c r="A29" s="15" t="s">
        <v>19</v>
      </c>
      <c r="C29" s="7">
        <f>(C27*0.04+C28*0.56)/0.6*1</f>
        <v>3.7599209191054195E-2</v>
      </c>
      <c r="D29" s="7">
        <f>(D27*0.04+D28*0.56)/0.6*1</f>
        <v>3.759333333333334E-2</v>
      </c>
      <c r="E29" s="7">
        <f>(E27*0.04+E28*0.56)/0.6*1</f>
        <v>3.7686666666666674E-2</v>
      </c>
      <c r="F29" s="7">
        <f>(F27*0.04+F28*0.56)/0.6*1</f>
        <v>3.7686666666666674E-2</v>
      </c>
      <c r="G29" s="7">
        <f>(G27*0.04+G28*0.56)/0.6*1</f>
        <v>3.7686666666666674E-2</v>
      </c>
      <c r="H29" s="7">
        <v>3.7686666666666674E-2</v>
      </c>
      <c r="I29" s="7">
        <v>3.7686666666666674E-2</v>
      </c>
    </row>
    <row r="30" spans="1:11" x14ac:dyDescent="0.25">
      <c r="A30" s="15" t="s">
        <v>20</v>
      </c>
      <c r="C30" s="7">
        <v>9.1899999999999996E-2</v>
      </c>
      <c r="D30" s="7">
        <v>9.1899999999999996E-2</v>
      </c>
      <c r="E30" s="7">
        <v>9.1899999999999996E-2</v>
      </c>
      <c r="F30" s="7">
        <v>9.1899999999999996E-2</v>
      </c>
      <c r="G30" s="7">
        <v>9.1899999999999996E-2</v>
      </c>
      <c r="H30" s="7">
        <v>9.1899999999999996E-2</v>
      </c>
      <c r="I30" s="7">
        <v>9.1899999999999996E-2</v>
      </c>
    </row>
    <row r="32" spans="1:11" x14ac:dyDescent="0.25">
      <c r="A32" s="15" t="s">
        <v>28</v>
      </c>
    </row>
    <row r="33" spans="1:9" x14ac:dyDescent="0.25">
      <c r="A33" s="15" t="s">
        <v>29</v>
      </c>
      <c r="C33" s="2">
        <f>C44</f>
        <v>-5120.3223457199992</v>
      </c>
      <c r="D33" s="2">
        <f>D44</f>
        <v>-6251.1306535799986</v>
      </c>
      <c r="E33" s="2">
        <f>E44</f>
        <v>-1015.7461443199987</v>
      </c>
      <c r="F33" s="2">
        <f>F44</f>
        <v>0</v>
      </c>
      <c r="G33" s="2">
        <f>G44</f>
        <v>0</v>
      </c>
      <c r="H33" s="2">
        <f t="shared" ref="H33:I33" si="5">H44</f>
        <v>0</v>
      </c>
      <c r="I33" s="2">
        <f t="shared" si="5"/>
        <v>0</v>
      </c>
    </row>
    <row r="34" spans="1:9" x14ac:dyDescent="0.25">
      <c r="A34" s="15" t="s">
        <v>31</v>
      </c>
      <c r="C34" s="2">
        <f>C41</f>
        <v>-30953.465999999997</v>
      </c>
      <c r="D34" s="2">
        <f>D41</f>
        <v>-44667.996999999988</v>
      </c>
      <c r="E34" s="2">
        <f>E41</f>
        <v>0</v>
      </c>
      <c r="F34" s="2">
        <f>F41</f>
        <v>0</v>
      </c>
      <c r="G34" s="2">
        <f>G41</f>
        <v>0</v>
      </c>
      <c r="H34" s="2">
        <f t="shared" ref="H34:I34" si="6">H41</f>
        <v>0</v>
      </c>
      <c r="I34" s="2">
        <f t="shared" si="6"/>
        <v>0</v>
      </c>
    </row>
    <row r="35" spans="1:9" x14ac:dyDescent="0.25">
      <c r="A35" s="15" t="s">
        <v>30</v>
      </c>
      <c r="C35" s="4">
        <f>C23</f>
        <v>85122.031499999997</v>
      </c>
      <c r="D35" s="4">
        <f>D23</f>
        <v>76019.874425000002</v>
      </c>
      <c r="E35" s="4">
        <f>E23</f>
        <v>0</v>
      </c>
      <c r="F35" s="2">
        <f>F23</f>
        <v>0</v>
      </c>
      <c r="G35" s="2">
        <f>G23</f>
        <v>0</v>
      </c>
      <c r="H35" s="2">
        <f t="shared" ref="H35:I35" si="7">H23</f>
        <v>0</v>
      </c>
      <c r="I35" s="2">
        <f t="shared" si="7"/>
        <v>0</v>
      </c>
    </row>
    <row r="36" spans="1:9" ht="15.75" thickBot="1" x14ac:dyDescent="0.3">
      <c r="A36" s="15" t="s">
        <v>32</v>
      </c>
      <c r="C36" s="5">
        <f>SUM(C33:C35)</f>
        <v>49048.243154280004</v>
      </c>
      <c r="D36" s="5">
        <f>SUM(D33:D35)</f>
        <v>25100.746771420017</v>
      </c>
      <c r="E36" s="5">
        <f>SUM(E33:E35)</f>
        <v>-1015.7461443199987</v>
      </c>
      <c r="F36" s="5">
        <f>SUM(F33:F35)</f>
        <v>0</v>
      </c>
      <c r="G36" s="5">
        <f>SUM(G33:G35)</f>
        <v>0</v>
      </c>
      <c r="H36" s="5">
        <f t="shared" ref="H36:I36" si="8">SUM(H33:H35)</f>
        <v>0</v>
      </c>
      <c r="I36" s="5">
        <f t="shared" si="8"/>
        <v>0</v>
      </c>
    </row>
    <row r="37" spans="1:9" ht="15.75" thickBot="1" x14ac:dyDescent="0.3">
      <c r="A37" s="15" t="s">
        <v>33</v>
      </c>
      <c r="C37" s="6">
        <f>C36*B7</f>
        <v>12997.784435884201</v>
      </c>
      <c r="D37" s="6">
        <f>D36*B7</f>
        <v>6651.6978944263046</v>
      </c>
      <c r="E37" s="6">
        <f>E36*B7</f>
        <v>-269.17272824479966</v>
      </c>
      <c r="F37" s="6">
        <f>F36*B7</f>
        <v>0</v>
      </c>
      <c r="G37" s="6">
        <f>G36*$B$7</f>
        <v>0</v>
      </c>
      <c r="H37" s="6">
        <f t="shared" ref="H37:I37" si="9">H36*$B$7</f>
        <v>0</v>
      </c>
      <c r="I37" s="6">
        <f t="shared" si="9"/>
        <v>0</v>
      </c>
    </row>
    <row r="38" spans="1:9" ht="15.75" thickBot="1" x14ac:dyDescent="0.3">
      <c r="A38" s="15" t="s">
        <v>34</v>
      </c>
      <c r="C38" s="6">
        <f>C37/(1-0.265)</f>
        <v>17684.060456985309</v>
      </c>
      <c r="D38" s="6">
        <f>D37/(1-0.265)</f>
        <v>9049.9291080629991</v>
      </c>
      <c r="E38" s="6">
        <f>E37/(1-0.265)</f>
        <v>-366.22139897251657</v>
      </c>
      <c r="F38" s="6">
        <f>F37/(1-0.265)</f>
        <v>0</v>
      </c>
      <c r="G38" s="6">
        <f>G37/(1-0.265)</f>
        <v>0</v>
      </c>
      <c r="H38" s="6">
        <f t="shared" ref="H38:I38" si="10">H37/(1-0.265)</f>
        <v>0</v>
      </c>
      <c r="I38" s="6">
        <f t="shared" si="10"/>
        <v>0</v>
      </c>
    </row>
    <row r="40" spans="1:9" x14ac:dyDescent="0.25">
      <c r="A40" s="15" t="s">
        <v>21</v>
      </c>
    </row>
    <row r="41" spans="1:9" x14ac:dyDescent="0.25">
      <c r="A41" s="15" t="s">
        <v>2</v>
      </c>
      <c r="C41" s="3">
        <f t="shared" ref="C41:H41" si="11">-C16</f>
        <v>-30953.465999999997</v>
      </c>
      <c r="D41" s="3">
        <f t="shared" si="11"/>
        <v>-44667.996999999988</v>
      </c>
      <c r="E41" s="3">
        <f t="shared" si="11"/>
        <v>0</v>
      </c>
      <c r="F41" s="3">
        <f t="shared" si="11"/>
        <v>0</v>
      </c>
      <c r="G41" s="3">
        <f t="shared" si="11"/>
        <v>0</v>
      </c>
      <c r="H41" s="3">
        <f t="shared" si="11"/>
        <v>0</v>
      </c>
      <c r="I41" s="3">
        <f t="shared" ref="I41" si="12">-I16</f>
        <v>0</v>
      </c>
    </row>
    <row r="42" spans="1:9" x14ac:dyDescent="0.25">
      <c r="A42" s="15" t="s">
        <v>22</v>
      </c>
      <c r="C42" s="3"/>
      <c r="D42" s="3"/>
      <c r="E42" s="3"/>
    </row>
    <row r="43" spans="1:9" x14ac:dyDescent="0.25">
      <c r="A43" s="15" t="s">
        <v>23</v>
      </c>
      <c r="C43" s="3">
        <f t="shared" ref="C43:H43" si="13">C18*C29*0.6</f>
        <v>-3142.3297769698952</v>
      </c>
      <c r="D43" s="3">
        <f t="shared" si="13"/>
        <v>-3835.7046523979993</v>
      </c>
      <c r="E43" s="3">
        <f t="shared" si="13"/>
        <v>-624.81098518399938</v>
      </c>
      <c r="F43" s="3">
        <f t="shared" si="13"/>
        <v>0</v>
      </c>
      <c r="G43" s="3">
        <f t="shared" si="13"/>
        <v>0</v>
      </c>
      <c r="H43" s="3">
        <f t="shared" si="13"/>
        <v>0</v>
      </c>
      <c r="I43" s="3">
        <f t="shared" ref="I43" si="14">I18*I29*0.6</f>
        <v>0</v>
      </c>
    </row>
    <row r="44" spans="1:9" x14ac:dyDescent="0.25">
      <c r="A44" s="15" t="s">
        <v>24</v>
      </c>
      <c r="C44" s="3">
        <f t="shared" ref="C44:H44" si="15">C18*C30*0.4</f>
        <v>-5120.3223457199992</v>
      </c>
      <c r="D44" s="3">
        <f t="shared" si="15"/>
        <v>-6251.1306535799986</v>
      </c>
      <c r="E44" s="3">
        <f t="shared" si="15"/>
        <v>-1015.7461443199987</v>
      </c>
      <c r="F44" s="26">
        <f t="shared" si="15"/>
        <v>0</v>
      </c>
      <c r="G44" s="26">
        <f t="shared" si="15"/>
        <v>0</v>
      </c>
      <c r="H44" s="26">
        <f t="shared" si="15"/>
        <v>0</v>
      </c>
      <c r="I44" s="26">
        <f t="shared" ref="I44" si="16">I18*I30*0.4</f>
        <v>0</v>
      </c>
    </row>
    <row r="45" spans="1:9" x14ac:dyDescent="0.25">
      <c r="A45" s="15" t="s">
        <v>25</v>
      </c>
      <c r="C45" s="9">
        <f t="shared" ref="C45:H45" si="17">C38</f>
        <v>17684.060456985309</v>
      </c>
      <c r="D45" s="9">
        <f t="shared" si="17"/>
        <v>9049.9291080629991</v>
      </c>
      <c r="E45" s="9">
        <f t="shared" si="17"/>
        <v>-366.22139897251657</v>
      </c>
      <c r="F45" s="27">
        <f t="shared" si="17"/>
        <v>0</v>
      </c>
      <c r="G45" s="27">
        <f t="shared" si="17"/>
        <v>0</v>
      </c>
      <c r="H45" s="27">
        <f t="shared" si="17"/>
        <v>0</v>
      </c>
      <c r="I45" s="27">
        <f t="shared" ref="I45" si="18">I38</f>
        <v>0</v>
      </c>
    </row>
    <row r="46" spans="1:9" ht="15.75" thickBot="1" x14ac:dyDescent="0.3">
      <c r="A46" s="25" t="s">
        <v>26</v>
      </c>
      <c r="B46" s="25"/>
      <c r="C46" s="10">
        <f t="shared" ref="C46:H46" si="19">SUM(C41:C45)</f>
        <v>-21532.057665704582</v>
      </c>
      <c r="D46" s="14">
        <f t="shared" si="19"/>
        <v>-45704.903197914988</v>
      </c>
      <c r="E46" s="10">
        <f t="shared" si="19"/>
        <v>-2006.7785284765146</v>
      </c>
      <c r="F46" s="14">
        <f t="shared" si="19"/>
        <v>0</v>
      </c>
      <c r="G46" s="14">
        <f t="shared" si="19"/>
        <v>0</v>
      </c>
      <c r="H46" s="14">
        <f t="shared" si="19"/>
        <v>0</v>
      </c>
      <c r="I46" s="14">
        <f t="shared" ref="I46" si="20">SUM(I41:I45)</f>
        <v>0</v>
      </c>
    </row>
    <row r="47" spans="1:9" ht="15.75" thickTop="1" x14ac:dyDescent="0.25">
      <c r="F47" s="15"/>
      <c r="G47" s="15"/>
      <c r="H47" s="15"/>
      <c r="I47" s="15"/>
    </row>
    <row r="48" spans="1:9" x14ac:dyDescent="0.25">
      <c r="F48" s="15"/>
      <c r="G48" s="15"/>
      <c r="H48" s="15"/>
      <c r="I48" s="15"/>
    </row>
  </sheetData>
  <pageMargins left="0.70866141732283472" right="0.70866141732283472" top="0.74803149606299213" bottom="0.74803149606299213" header="0.31496062992125984" footer="0.31496062992125984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F0"/>
    <pageSetUpPr fitToPage="1"/>
  </sheetPr>
  <dimension ref="A1:J48"/>
  <sheetViews>
    <sheetView zoomScale="90" zoomScaleNormal="90" workbookViewId="0">
      <pane xSplit="1" ySplit="12" topLeftCell="B13" activePane="bottomRight" state="frozen"/>
      <selection activeCell="E21" sqref="E21"/>
      <selection pane="topRight" activeCell="E21" sqref="E21"/>
      <selection pane="bottomLeft" activeCell="E21" sqref="E21"/>
      <selection pane="bottomRight" activeCell="K7" sqref="K7"/>
    </sheetView>
  </sheetViews>
  <sheetFormatPr defaultRowHeight="15" x14ac:dyDescent="0.25"/>
  <cols>
    <col min="1" max="1" width="33.5703125" style="15" customWidth="1"/>
    <col min="2" max="2" width="9.140625" style="15"/>
    <col min="3" max="4" width="10.140625" bestFit="1" customWidth="1"/>
    <col min="5" max="5" width="6.28515625" bestFit="1" customWidth="1"/>
    <col min="6" max="6" width="9" bestFit="1" customWidth="1"/>
    <col min="7" max="9" width="10.140625" bestFit="1" customWidth="1"/>
    <col min="10" max="10" width="10.85546875" customWidth="1"/>
  </cols>
  <sheetData>
    <row r="1" spans="1:10" x14ac:dyDescent="0.25">
      <c r="A1" s="25" t="s">
        <v>0</v>
      </c>
    </row>
    <row r="2" spans="1:10" x14ac:dyDescent="0.25">
      <c r="A2" s="25" t="s">
        <v>1</v>
      </c>
      <c r="C2" s="33"/>
      <c r="D2" s="32"/>
      <c r="E2" s="32"/>
      <c r="F2" s="32"/>
      <c r="G2" s="32"/>
    </row>
    <row r="3" spans="1:10" x14ac:dyDescent="0.25">
      <c r="A3" s="25" t="s">
        <v>36</v>
      </c>
    </row>
    <row r="5" spans="1:10" x14ac:dyDescent="0.25">
      <c r="A5" s="15" t="s">
        <v>27</v>
      </c>
      <c r="B5" s="12">
        <v>12</v>
      </c>
    </row>
    <row r="6" spans="1:10" x14ac:dyDescent="0.25">
      <c r="A6" s="15" t="s">
        <v>3</v>
      </c>
      <c r="B6" s="16">
        <v>0.3</v>
      </c>
    </row>
    <row r="7" spans="1:10" x14ac:dyDescent="0.25">
      <c r="A7" s="15" t="s">
        <v>4</v>
      </c>
      <c r="B7" s="17">
        <v>0.26500000000000001</v>
      </c>
    </row>
    <row r="8" spans="1:10" x14ac:dyDescent="0.25">
      <c r="A8" s="15" t="s">
        <v>5</v>
      </c>
      <c r="B8" s="17">
        <v>0.04</v>
      </c>
    </row>
    <row r="9" spans="1:10" x14ac:dyDescent="0.25">
      <c r="A9" s="15" t="s">
        <v>6</v>
      </c>
      <c r="B9" s="17">
        <v>0.56000000000000005</v>
      </c>
    </row>
    <row r="10" spans="1:10" x14ac:dyDescent="0.25">
      <c r="A10" s="15" t="s">
        <v>7</v>
      </c>
      <c r="B10" s="17">
        <v>0.4</v>
      </c>
    </row>
    <row r="12" spans="1:10" x14ac:dyDescent="0.25">
      <c r="C12" s="11">
        <v>2016</v>
      </c>
      <c r="D12" s="11">
        <v>2017</v>
      </c>
      <c r="E12" s="11">
        <v>2018</v>
      </c>
      <c r="F12" s="11">
        <v>2019</v>
      </c>
      <c r="G12" s="11">
        <v>2020</v>
      </c>
      <c r="H12" s="11">
        <v>2021</v>
      </c>
      <c r="I12" s="11">
        <v>2022</v>
      </c>
    </row>
    <row r="13" spans="1:10" x14ac:dyDescent="0.25">
      <c r="A13" s="25" t="s">
        <v>8</v>
      </c>
    </row>
    <row r="14" spans="1:10" x14ac:dyDescent="0.25">
      <c r="A14" s="15" t="s">
        <v>9</v>
      </c>
      <c r="C14" s="2">
        <v>0</v>
      </c>
      <c r="D14" s="2">
        <f>C17</f>
        <v>-173563.75</v>
      </c>
      <c r="E14" s="12">
        <v>0</v>
      </c>
      <c r="F14" s="12">
        <f>E17</f>
        <v>0</v>
      </c>
      <c r="G14" s="12">
        <f>F17</f>
        <v>-12768.862083333333</v>
      </c>
      <c r="H14" s="12">
        <f t="shared" ref="H14:I14" si="0">G17</f>
        <v>-254044.35208333333</v>
      </c>
      <c r="I14" s="12">
        <f t="shared" si="0"/>
        <v>-231856.98791666667</v>
      </c>
      <c r="J14" s="15"/>
    </row>
    <row r="15" spans="1:10" x14ac:dyDescent="0.25">
      <c r="A15" s="15" t="s">
        <v>14</v>
      </c>
      <c r="C15" s="12">
        <v>-181110</v>
      </c>
      <c r="D15" s="2">
        <v>181110</v>
      </c>
      <c r="E15" s="12">
        <v>0</v>
      </c>
      <c r="F15" s="12">
        <v>-13324.03</v>
      </c>
      <c r="G15" s="12">
        <v>-252924.34</v>
      </c>
      <c r="H15" s="12">
        <v>0</v>
      </c>
      <c r="I15" s="12">
        <v>0</v>
      </c>
      <c r="J15" s="26"/>
    </row>
    <row r="16" spans="1:10" x14ac:dyDescent="0.25">
      <c r="A16" s="15" t="s">
        <v>10</v>
      </c>
      <c r="C16" s="4">
        <f>-C15/$B$5/2</f>
        <v>7546.25</v>
      </c>
      <c r="D16" s="4">
        <f>-C15/B5-D15/$B$5/2</f>
        <v>7546.25</v>
      </c>
      <c r="E16" s="12">
        <f>-E15/$B$5/2</f>
        <v>0</v>
      </c>
      <c r="F16" s="12">
        <f>-F15/$B$5/2</f>
        <v>555.16791666666666</v>
      </c>
      <c r="G16" s="12">
        <f>-F15/B5-G15/$B$5/2</f>
        <v>11648.849999999999</v>
      </c>
      <c r="H16" s="12">
        <f>-F15/B5-G15/B5</f>
        <v>22187.364166666666</v>
      </c>
      <c r="I16" s="12">
        <f>H16</f>
        <v>22187.364166666666</v>
      </c>
      <c r="J16" s="15"/>
    </row>
    <row r="17" spans="1:10" ht="15.75" thickBot="1" x14ac:dyDescent="0.3">
      <c r="A17" s="15" t="s">
        <v>11</v>
      </c>
      <c r="C17" s="5">
        <f>SUM(C14:C16)</f>
        <v>-173563.75</v>
      </c>
      <c r="D17" s="5">
        <f>SUM(D14:D16)</f>
        <v>15092.5</v>
      </c>
      <c r="E17" s="20">
        <f>SUM(E14:E16)</f>
        <v>0</v>
      </c>
      <c r="F17" s="20">
        <f>SUM(F14:F16)</f>
        <v>-12768.862083333333</v>
      </c>
      <c r="G17" s="20">
        <f>SUM(G14:G16)</f>
        <v>-254044.35208333333</v>
      </c>
      <c r="H17" s="20">
        <f t="shared" ref="H17:I17" si="1">SUM(H14:H16)</f>
        <v>-231856.98791666667</v>
      </c>
      <c r="I17" s="20">
        <f t="shared" si="1"/>
        <v>-209669.62375</v>
      </c>
      <c r="J17" s="15"/>
    </row>
    <row r="18" spans="1:10" ht="15.75" thickBot="1" x14ac:dyDescent="0.3">
      <c r="A18" s="15" t="s">
        <v>12</v>
      </c>
      <c r="C18" s="6">
        <f>C17/2</f>
        <v>-86781.875</v>
      </c>
      <c r="D18" s="6">
        <f>(D14+D17)/2</f>
        <v>-79235.625</v>
      </c>
      <c r="E18" s="28">
        <f>(E14+E17)/2</f>
        <v>0</v>
      </c>
      <c r="F18" s="28">
        <f>(F14+F17)/2</f>
        <v>-6384.4310416666667</v>
      </c>
      <c r="G18" s="28">
        <f>(G14+G17)/2</f>
        <v>-133406.60708333334</v>
      </c>
      <c r="H18" s="28">
        <f t="shared" ref="H18:I18" si="2">(H14+H17)/2</f>
        <v>-242950.66999999998</v>
      </c>
      <c r="I18" s="28">
        <f t="shared" si="2"/>
        <v>-220763.30583333335</v>
      </c>
      <c r="J18" s="15"/>
    </row>
    <row r="19" spans="1:10" x14ac:dyDescent="0.25">
      <c r="C19" s="2"/>
      <c r="D19" s="2"/>
      <c r="E19" s="12"/>
      <c r="F19" s="12"/>
      <c r="G19" s="15"/>
      <c r="H19" s="15"/>
      <c r="I19" s="15"/>
      <c r="J19" s="15"/>
    </row>
    <row r="20" spans="1:10" x14ac:dyDescent="0.25">
      <c r="A20" s="25" t="s">
        <v>13</v>
      </c>
      <c r="C20" s="2"/>
      <c r="D20" s="2"/>
      <c r="E20" s="12"/>
      <c r="F20" s="12"/>
      <c r="G20" s="15"/>
      <c r="H20" s="15"/>
      <c r="I20" s="15"/>
      <c r="J20" s="15"/>
    </row>
    <row r="21" spans="1:10" x14ac:dyDescent="0.25">
      <c r="A21" s="15" t="s">
        <v>9</v>
      </c>
      <c r="C21" s="2">
        <v>0</v>
      </c>
      <c r="D21" s="2">
        <f>C24</f>
        <v>-153943.5</v>
      </c>
      <c r="E21" s="12">
        <v>0</v>
      </c>
      <c r="F21" s="12">
        <f>E24</f>
        <v>0</v>
      </c>
      <c r="G21" s="12">
        <f>F24</f>
        <v>-11325.425500000001</v>
      </c>
      <c r="H21" s="12">
        <f t="shared" ref="H21:I21" si="3">G24</f>
        <v>-222913.48684999999</v>
      </c>
      <c r="I21" s="12">
        <f t="shared" si="3"/>
        <v>-156039.440795</v>
      </c>
      <c r="J21" s="15"/>
    </row>
    <row r="22" spans="1:10" x14ac:dyDescent="0.25">
      <c r="A22" s="15" t="s">
        <v>14</v>
      </c>
      <c r="C22" s="2">
        <f>C15</f>
        <v>-181110</v>
      </c>
      <c r="D22" s="2">
        <f>D15</f>
        <v>181110</v>
      </c>
      <c r="E22" s="2">
        <f>E15</f>
        <v>0</v>
      </c>
      <c r="F22" s="2">
        <f t="shared" ref="F22:I22" si="4">F15</f>
        <v>-13324.03</v>
      </c>
      <c r="G22" s="2">
        <f t="shared" si="4"/>
        <v>-252924.34</v>
      </c>
      <c r="H22" s="2">
        <f t="shared" si="4"/>
        <v>0</v>
      </c>
      <c r="I22" s="2">
        <f t="shared" si="4"/>
        <v>0</v>
      </c>
    </row>
    <row r="23" spans="1:10" x14ac:dyDescent="0.25">
      <c r="A23" s="15" t="s">
        <v>15</v>
      </c>
      <c r="C23" s="4">
        <f>-C22*$B$6/2</f>
        <v>27166.5</v>
      </c>
      <c r="D23" s="4">
        <f>-C24*B6-D22*$B$6/2</f>
        <v>19016.549999999996</v>
      </c>
      <c r="E23" s="4">
        <f t="shared" ref="E23:F23" si="5">-E22*$B$6/2</f>
        <v>0</v>
      </c>
      <c r="F23" s="4">
        <f t="shared" si="5"/>
        <v>1998.6044999999999</v>
      </c>
      <c r="G23" s="4">
        <f>-F24*B6-G22*$B$6/2</f>
        <v>41336.27865</v>
      </c>
      <c r="H23" s="4">
        <f>-G24*B6</f>
        <v>66874.046054999999</v>
      </c>
      <c r="I23" s="4">
        <f>-H24*B6</f>
        <v>46811.832238499999</v>
      </c>
    </row>
    <row r="24" spans="1:10" ht="15.75" thickBot="1" x14ac:dyDescent="0.3">
      <c r="A24" s="15" t="s">
        <v>11</v>
      </c>
      <c r="C24" s="5">
        <f>SUM(C21:C23)</f>
        <v>-153943.5</v>
      </c>
      <c r="D24" s="5">
        <f>SUM(D21:D23)</f>
        <v>46183.049999999996</v>
      </c>
      <c r="E24" s="5">
        <f>SUM(E21:E23)</f>
        <v>0</v>
      </c>
      <c r="F24" s="5">
        <f>SUM(F21:F23)</f>
        <v>-11325.425500000001</v>
      </c>
      <c r="G24" s="5">
        <f>SUM(G21:G23)</f>
        <v>-222913.48684999999</v>
      </c>
      <c r="H24" s="5">
        <f t="shared" ref="H24:I24" si="6">SUM(H21:H23)</f>
        <v>-156039.440795</v>
      </c>
      <c r="I24" s="5">
        <f t="shared" si="6"/>
        <v>-109227.6085565</v>
      </c>
    </row>
    <row r="26" spans="1:10" x14ac:dyDescent="0.25">
      <c r="A26" s="25" t="s">
        <v>16</v>
      </c>
    </row>
    <row r="27" spans="1:10" x14ac:dyDescent="0.25">
      <c r="A27" s="15" t="s">
        <v>17</v>
      </c>
      <c r="C27" s="7">
        <v>1.6500000000000001E-2</v>
      </c>
      <c r="D27" s="7">
        <v>1.6500000000000001E-2</v>
      </c>
      <c r="E27" s="7">
        <v>1.6500000000000001E-2</v>
      </c>
      <c r="F27" s="7">
        <v>1.6500000000000001E-2</v>
      </c>
      <c r="G27" s="7">
        <v>1.6500000000000001E-2</v>
      </c>
      <c r="H27" s="7">
        <v>1.6500000000000001E-2</v>
      </c>
      <c r="I27" s="7">
        <v>1.6500000000000001E-2</v>
      </c>
    </row>
    <row r="28" spans="1:10" x14ac:dyDescent="0.25">
      <c r="A28" s="15" t="s">
        <v>18</v>
      </c>
      <c r="C28" s="8">
        <v>3.9106295561843772E-2</v>
      </c>
      <c r="D28" s="7">
        <v>3.9100000000000003E-2</v>
      </c>
      <c r="E28" s="7">
        <v>3.9199999999999999E-2</v>
      </c>
      <c r="F28" s="7">
        <v>3.9199999999999999E-2</v>
      </c>
      <c r="G28" s="7">
        <v>3.9199999999999999E-2</v>
      </c>
      <c r="H28" s="7">
        <v>3.9199999999999999E-2</v>
      </c>
      <c r="I28" s="7">
        <v>3.9199999999999999E-2</v>
      </c>
    </row>
    <row r="29" spans="1:10" x14ac:dyDescent="0.25">
      <c r="A29" s="15" t="s">
        <v>19</v>
      </c>
      <c r="C29" s="7">
        <f>(C27*0.04+C28*0.56)/0.6*1</f>
        <v>3.7599209191054195E-2</v>
      </c>
      <c r="D29" s="7">
        <f>(D27*0.04+D28*0.56)/0.6*1</f>
        <v>3.759333333333334E-2</v>
      </c>
      <c r="E29" s="7">
        <f>(E27*0.04+E28*0.56)/0.6*1</f>
        <v>3.7686666666666674E-2</v>
      </c>
      <c r="F29" s="7">
        <f>(F27*0.04+F28*0.56)/0.6*1</f>
        <v>3.7686666666666674E-2</v>
      </c>
      <c r="G29" s="7">
        <f>(G27*0.04+G28*0.56)/0.6*1</f>
        <v>3.7686666666666674E-2</v>
      </c>
      <c r="H29" s="7">
        <f t="shared" ref="H29:I29" si="7">(H27*0.04+H28*0.56)/0.6*1</f>
        <v>3.7686666666666674E-2</v>
      </c>
      <c r="I29" s="7">
        <f t="shared" si="7"/>
        <v>3.7686666666666674E-2</v>
      </c>
    </row>
    <row r="30" spans="1:10" x14ac:dyDescent="0.25">
      <c r="A30" s="15" t="s">
        <v>20</v>
      </c>
      <c r="C30" s="7">
        <v>9.1899999999999996E-2</v>
      </c>
      <c r="D30" s="7">
        <v>9.1899999999999996E-2</v>
      </c>
      <c r="E30" s="7">
        <v>9.1899999999999996E-2</v>
      </c>
      <c r="F30" s="7">
        <v>9.1899999999999996E-2</v>
      </c>
      <c r="G30" s="7">
        <v>9.1899999999999996E-2</v>
      </c>
      <c r="H30" s="7">
        <v>9.1899999999999996E-2</v>
      </c>
      <c r="I30" s="7">
        <v>9.1899999999999996E-2</v>
      </c>
    </row>
    <row r="32" spans="1:10" x14ac:dyDescent="0.25">
      <c r="A32" s="15" t="s">
        <v>28</v>
      </c>
    </row>
    <row r="33" spans="1:9" x14ac:dyDescent="0.25">
      <c r="A33" s="15" t="s">
        <v>29</v>
      </c>
      <c r="C33" s="2">
        <f>C44</f>
        <v>-3190.101725</v>
      </c>
      <c r="D33" s="2">
        <f>D44</f>
        <v>-2912.701575</v>
      </c>
      <c r="E33" s="2">
        <f>E44</f>
        <v>0</v>
      </c>
      <c r="F33" s="2">
        <f>F44</f>
        <v>-234.69168509166667</v>
      </c>
      <c r="G33" s="2">
        <f>G44</f>
        <v>-4904.0268763833328</v>
      </c>
      <c r="H33" s="2">
        <f t="shared" ref="H33:I33" si="8">H44</f>
        <v>-8930.8666291999998</v>
      </c>
      <c r="I33" s="2">
        <f t="shared" si="8"/>
        <v>-8115.2591224333337</v>
      </c>
    </row>
    <row r="34" spans="1:9" x14ac:dyDescent="0.25">
      <c r="A34" s="15" t="s">
        <v>31</v>
      </c>
      <c r="C34" s="2">
        <f>C41</f>
        <v>-7546.25</v>
      </c>
      <c r="D34" s="2">
        <f>D41</f>
        <v>-7546.25</v>
      </c>
      <c r="E34" s="2">
        <f>E41</f>
        <v>0</v>
      </c>
      <c r="F34" s="2">
        <f>F41</f>
        <v>-555.16791666666666</v>
      </c>
      <c r="G34" s="2">
        <f>G41</f>
        <v>-11648.849999999999</v>
      </c>
      <c r="H34" s="2">
        <f t="shared" ref="H34:I34" si="9">H41</f>
        <v>-22187.364166666666</v>
      </c>
      <c r="I34" s="2">
        <f t="shared" si="9"/>
        <v>-22187.364166666666</v>
      </c>
    </row>
    <row r="35" spans="1:9" x14ac:dyDescent="0.25">
      <c r="A35" s="15" t="s">
        <v>30</v>
      </c>
      <c r="C35" s="4">
        <f>C23</f>
        <v>27166.5</v>
      </c>
      <c r="D35" s="4">
        <f>D23</f>
        <v>19016.549999999996</v>
      </c>
      <c r="E35" s="4">
        <f>E23</f>
        <v>0</v>
      </c>
      <c r="F35" s="4">
        <f>F23</f>
        <v>1998.6044999999999</v>
      </c>
      <c r="G35" s="4">
        <f>G23</f>
        <v>41336.27865</v>
      </c>
      <c r="H35" s="4">
        <f t="shared" ref="H35:I35" si="10">H23</f>
        <v>66874.046054999999</v>
      </c>
      <c r="I35" s="4">
        <f t="shared" si="10"/>
        <v>46811.832238499999</v>
      </c>
    </row>
    <row r="36" spans="1:9" ht="15.75" thickBot="1" x14ac:dyDescent="0.3">
      <c r="A36" s="15" t="s">
        <v>32</v>
      </c>
      <c r="C36" s="5">
        <f>SUM(C33:C35)</f>
        <v>16430.148275</v>
      </c>
      <c r="D36" s="5">
        <f>SUM(D33:D35)</f>
        <v>8557.5984249999965</v>
      </c>
      <c r="E36" s="5">
        <f>SUM(E33:E35)</f>
        <v>0</v>
      </c>
      <c r="F36" s="5">
        <f>SUM(F33:F35)</f>
        <v>1208.7448982416665</v>
      </c>
      <c r="G36" s="5">
        <f>SUM(G33:G35)</f>
        <v>24783.401773616668</v>
      </c>
      <c r="H36" s="5">
        <f t="shared" ref="H36:I36" si="11">SUM(H33:H35)</f>
        <v>35755.815259133335</v>
      </c>
      <c r="I36" s="5">
        <f t="shared" si="11"/>
        <v>16509.208949399999</v>
      </c>
    </row>
    <row r="37" spans="1:9" ht="15.75" thickBot="1" x14ac:dyDescent="0.3">
      <c r="A37" s="15" t="s">
        <v>33</v>
      </c>
      <c r="C37" s="6">
        <f>C36*B7</f>
        <v>4353.9892928750005</v>
      </c>
      <c r="D37" s="6">
        <f>D36*B7</f>
        <v>2267.7635826249993</v>
      </c>
      <c r="E37" s="6">
        <f>E36*B7</f>
        <v>0</v>
      </c>
      <c r="F37" s="6">
        <f>F36*B7</f>
        <v>320.31739803404167</v>
      </c>
      <c r="G37" s="6">
        <f>G36*$B$7</f>
        <v>6567.601470008417</v>
      </c>
      <c r="H37" s="6">
        <f t="shared" ref="H37:I37" si="12">H36*$B$7</f>
        <v>9475.2910436703351</v>
      </c>
      <c r="I37" s="6">
        <f t="shared" si="12"/>
        <v>4374.9403715910003</v>
      </c>
    </row>
    <row r="38" spans="1:9" ht="15.75" thickBot="1" x14ac:dyDescent="0.3">
      <c r="A38" s="15" t="s">
        <v>34</v>
      </c>
      <c r="C38" s="6">
        <f>C37/(1-0.265)</f>
        <v>5923.7949562925178</v>
      </c>
      <c r="D38" s="6">
        <f>D37/(1-0.265)</f>
        <v>3085.3926294217677</v>
      </c>
      <c r="E38" s="6">
        <f>E37/(1-0.265)</f>
        <v>0</v>
      </c>
      <c r="F38" s="6">
        <f>F37/(1-0.265)</f>
        <v>435.80598371978459</v>
      </c>
      <c r="G38" s="6">
        <f>G37/(1-0.265)</f>
        <v>8935.5122040930837</v>
      </c>
      <c r="H38" s="6">
        <f t="shared" ref="H38:I38" si="13">H37/(1-0.265)</f>
        <v>12891.552440367803</v>
      </c>
      <c r="I38" s="6">
        <f t="shared" si="13"/>
        <v>5952.2998252938778</v>
      </c>
    </row>
    <row r="40" spans="1:9" x14ac:dyDescent="0.25">
      <c r="A40" s="15" t="s">
        <v>21</v>
      </c>
    </row>
    <row r="41" spans="1:9" x14ac:dyDescent="0.25">
      <c r="A41" s="15" t="s">
        <v>2</v>
      </c>
      <c r="C41" s="3">
        <f>-C16</f>
        <v>-7546.25</v>
      </c>
      <c r="D41" s="3">
        <f>-D16</f>
        <v>-7546.25</v>
      </c>
      <c r="E41" s="3">
        <f>-E16</f>
        <v>0</v>
      </c>
      <c r="F41" s="3">
        <f>-F16</f>
        <v>-555.16791666666666</v>
      </c>
      <c r="G41" s="3">
        <f>-G16</f>
        <v>-11648.849999999999</v>
      </c>
      <c r="H41" s="3">
        <f t="shared" ref="H41:I41" si="14">-H16</f>
        <v>-22187.364166666666</v>
      </c>
      <c r="I41" s="3">
        <f t="shared" si="14"/>
        <v>-22187.364166666666</v>
      </c>
    </row>
    <row r="42" spans="1:9" x14ac:dyDescent="0.25">
      <c r="A42" s="15" t="s">
        <v>22</v>
      </c>
      <c r="C42" s="3"/>
      <c r="D42" s="3"/>
      <c r="E42" s="3"/>
      <c r="F42" s="3"/>
    </row>
    <row r="43" spans="1:9" x14ac:dyDescent="0.25">
      <c r="A43" s="15" t="s">
        <v>23</v>
      </c>
      <c r="C43" s="3">
        <f>C18*C29*0.6</f>
        <v>-1957.7579232701496</v>
      </c>
      <c r="D43" s="3">
        <f>D18*D29*0.6</f>
        <v>-1787.2387575000002</v>
      </c>
      <c r="E43" s="3">
        <f>E18*E29*0.6</f>
        <v>0</v>
      </c>
      <c r="F43" s="3">
        <f>F18*F29*0.6</f>
        <v>-144.36475471416668</v>
      </c>
      <c r="G43" s="3">
        <f>G18*G29*0.6</f>
        <v>-3016.5901993683337</v>
      </c>
      <c r="H43" s="3">
        <f t="shared" ref="H43:I43" si="15">H18*H29*0.6</f>
        <v>-5493.6005500399997</v>
      </c>
      <c r="I43" s="3">
        <f t="shared" si="15"/>
        <v>-4991.8998715033349</v>
      </c>
    </row>
    <row r="44" spans="1:9" x14ac:dyDescent="0.25">
      <c r="A44" s="15" t="s">
        <v>24</v>
      </c>
      <c r="C44" s="3">
        <f>C18*C30*0.4</f>
        <v>-3190.101725</v>
      </c>
      <c r="D44" s="3">
        <f>D18*D30*0.4</f>
        <v>-2912.701575</v>
      </c>
      <c r="E44" s="3">
        <f>E18*E30*0.4</f>
        <v>0</v>
      </c>
      <c r="F44" s="3">
        <f>F18*F30*0.4</f>
        <v>-234.69168509166667</v>
      </c>
      <c r="G44" s="26">
        <f>G18*G30*0.4</f>
        <v>-4904.0268763833328</v>
      </c>
      <c r="H44" s="26">
        <f t="shared" ref="H44:I44" si="16">H18*H30*0.4</f>
        <v>-8930.8666291999998</v>
      </c>
      <c r="I44" s="26">
        <f t="shared" si="16"/>
        <v>-8115.2591224333337</v>
      </c>
    </row>
    <row r="45" spans="1:9" x14ac:dyDescent="0.25">
      <c r="A45" s="15" t="s">
        <v>25</v>
      </c>
      <c r="C45" s="9">
        <f>C38</f>
        <v>5923.7949562925178</v>
      </c>
      <c r="D45" s="9">
        <f>D38</f>
        <v>3085.3926294217677</v>
      </c>
      <c r="E45" s="9">
        <f>E38</f>
        <v>0</v>
      </c>
      <c r="F45" s="9">
        <f>F38</f>
        <v>435.80598371978459</v>
      </c>
      <c r="G45" s="27">
        <f>G38</f>
        <v>8935.5122040930837</v>
      </c>
      <c r="H45" s="27">
        <f t="shared" ref="H45:I45" si="17">H38</f>
        <v>12891.552440367803</v>
      </c>
      <c r="I45" s="27">
        <f t="shared" si="17"/>
        <v>5952.2998252938778</v>
      </c>
    </row>
    <row r="46" spans="1:9" ht="15.75" thickBot="1" x14ac:dyDescent="0.3">
      <c r="A46" s="25" t="s">
        <v>26</v>
      </c>
      <c r="B46" s="25"/>
      <c r="C46" s="10">
        <f>SUM(C41:C45)</f>
        <v>-6770.3146919776327</v>
      </c>
      <c r="D46" s="14">
        <f>SUM(D41:D45)</f>
        <v>-9160.7977030782313</v>
      </c>
      <c r="E46" s="10">
        <f>SUM(E41:E45)</f>
        <v>0</v>
      </c>
      <c r="F46" s="10">
        <f>SUM(F41:F45)</f>
        <v>-498.41837275271536</v>
      </c>
      <c r="G46" s="14">
        <f>SUM(G41:G45)</f>
        <v>-10633.954871658581</v>
      </c>
      <c r="H46" s="14">
        <f t="shared" ref="H46:I46" si="18">SUM(H41:H45)</f>
        <v>-23720.27890553886</v>
      </c>
      <c r="I46" s="14">
        <f t="shared" si="18"/>
        <v>-29342.223335309456</v>
      </c>
    </row>
    <row r="47" spans="1:9" ht="15.75" thickTop="1" x14ac:dyDescent="0.25">
      <c r="G47" s="15"/>
      <c r="H47" s="15"/>
      <c r="I47" s="15"/>
    </row>
    <row r="48" spans="1:9" x14ac:dyDescent="0.25">
      <c r="G48" s="15"/>
      <c r="H48" s="15"/>
      <c r="I48" s="15"/>
    </row>
  </sheetData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General Plant-ERM</vt:lpstr>
      <vt:lpstr>General Plant-Truck</vt:lpstr>
      <vt:lpstr>'General Plant-ERM'!Print_Area</vt:lpstr>
      <vt:lpstr>'General Plant-Truck'!Print_Area</vt:lpstr>
    </vt:vector>
  </TitlesOfParts>
  <Company>City of Kingston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rmurphy</dc:creator>
  <cp:lastModifiedBy>Leeck, Matthew</cp:lastModifiedBy>
  <cp:lastPrinted>2018-03-19T18:53:27Z</cp:lastPrinted>
  <dcterms:created xsi:type="dcterms:W3CDTF">2015-10-20T23:58:46Z</dcterms:created>
  <dcterms:modified xsi:type="dcterms:W3CDTF">2022-09-22T17:03:08Z</dcterms:modified>
</cp:coreProperties>
</file>