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 drive_EB-2022-0040\Interrogatories and DRO\Excel for Sharepoint\"/>
    </mc:Choice>
  </mc:AlternateContent>
  <xr:revisionPtr revIDLastSave="0" documentId="13_ncr:1_{B9B190F3-467C-4EA4-AF5F-69711830BC6F}" xr6:coauthVersionLast="47" xr6:coauthVersionMax="47" xr10:uidLastSave="{00000000-0000-0000-0000-000000000000}"/>
  <bookViews>
    <workbookView xWindow="-110" yWindow="-110" windowWidth="19420" windowHeight="10420" tabRatio="841" activeTab="1" xr2:uid="{EF6416DB-E274-4F8B-85AD-74799EDF447C}"/>
  </bookViews>
  <sheets>
    <sheet name="Billing Determinants" sheetId="1" r:id="rId1"/>
    <sheet name="Allocation of Balances" sheetId="2" r:id="rId2"/>
    <sheet name="Rate Rider Calculation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2" l="1"/>
  <c r="D47" i="2"/>
  <c r="D32" i="2"/>
  <c r="D31" i="2"/>
  <c r="D25" i="2"/>
  <c r="H7" i="1"/>
  <c r="D75" i="2" l="1"/>
  <c r="C8" i="3" l="1"/>
  <c r="C9" i="3"/>
  <c r="C10" i="3"/>
  <c r="C11" i="3"/>
  <c r="C12" i="3"/>
  <c r="C13" i="3"/>
  <c r="C7" i="3"/>
  <c r="F55" i="2"/>
  <c r="G55" i="2"/>
  <c r="H55" i="2"/>
  <c r="I55" i="2"/>
  <c r="J55" i="2"/>
  <c r="K55" i="2"/>
  <c r="L55" i="2"/>
  <c r="F56" i="2"/>
  <c r="G56" i="2"/>
  <c r="H56" i="2"/>
  <c r="I56" i="2"/>
  <c r="J56" i="2"/>
  <c r="K56" i="2"/>
  <c r="L56" i="2"/>
  <c r="D14" i="1" l="1"/>
  <c r="E14" i="1"/>
  <c r="C14" i="1"/>
  <c r="D86" i="2"/>
  <c r="L84" i="2"/>
  <c r="K84" i="2"/>
  <c r="J84" i="2"/>
  <c r="I84" i="2"/>
  <c r="H84" i="2"/>
  <c r="G84" i="2"/>
  <c r="F84" i="2"/>
  <c r="D84" i="2"/>
  <c r="C82" i="2"/>
  <c r="D78" i="2"/>
  <c r="D77" i="2"/>
  <c r="L73" i="2"/>
  <c r="K73" i="2"/>
  <c r="J73" i="2"/>
  <c r="I73" i="2"/>
  <c r="H73" i="2"/>
  <c r="G73" i="2"/>
  <c r="F73" i="2"/>
  <c r="D67" i="2"/>
  <c r="D65" i="2"/>
  <c r="I65" i="2" s="1"/>
  <c r="D61" i="2"/>
  <c r="D59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G8" i="2" s="1"/>
  <c r="D7" i="2"/>
  <c r="H12" i="1"/>
  <c r="H10" i="1"/>
  <c r="H9" i="1"/>
  <c r="H8" i="1"/>
  <c r="H11" i="1"/>
  <c r="D79" i="2" l="1"/>
  <c r="L66" i="2"/>
  <c r="L29" i="2"/>
  <c r="L37" i="2"/>
  <c r="L45" i="2"/>
  <c r="L53" i="2"/>
  <c r="L28" i="2"/>
  <c r="L36" i="2"/>
  <c r="L44" i="2"/>
  <c r="L52" i="2"/>
  <c r="L24" i="2"/>
  <c r="L48" i="2"/>
  <c r="L27" i="2"/>
  <c r="L35" i="2"/>
  <c r="L43" i="2"/>
  <c r="L51" i="2"/>
  <c r="L31" i="2"/>
  <c r="L34" i="2"/>
  <c r="L42" i="2"/>
  <c r="L58" i="2"/>
  <c r="L33" i="2"/>
  <c r="L41" i="2"/>
  <c r="L49" i="2"/>
  <c r="L57" i="2"/>
  <c r="L32" i="2"/>
  <c r="L40" i="2"/>
  <c r="L46" i="2"/>
  <c r="L65" i="2"/>
  <c r="L47" i="2"/>
  <c r="L38" i="2"/>
  <c r="L54" i="2"/>
  <c r="L39" i="2"/>
  <c r="L30" i="2"/>
  <c r="I26" i="2"/>
  <c r="J26" i="2"/>
  <c r="K26" i="2"/>
  <c r="L26" i="2"/>
  <c r="F26" i="2"/>
  <c r="G26" i="2"/>
  <c r="H26" i="2"/>
  <c r="F31" i="2"/>
  <c r="F39" i="2"/>
  <c r="F30" i="2"/>
  <c r="F38" i="2"/>
  <c r="F46" i="2"/>
  <c r="F54" i="2"/>
  <c r="F58" i="2"/>
  <c r="F29" i="2"/>
  <c r="F37" i="2"/>
  <c r="F45" i="2"/>
  <c r="F53" i="2"/>
  <c r="F24" i="2"/>
  <c r="F51" i="2"/>
  <c r="F66" i="2"/>
  <c r="F28" i="2"/>
  <c r="F36" i="2"/>
  <c r="F44" i="2"/>
  <c r="F52" i="2"/>
  <c r="F27" i="2"/>
  <c r="F35" i="2"/>
  <c r="F43" i="2"/>
  <c r="F65" i="2"/>
  <c r="F34" i="2"/>
  <c r="F42" i="2"/>
  <c r="F57" i="2"/>
  <c r="F32" i="2"/>
  <c r="F48" i="2"/>
  <c r="F49" i="2"/>
  <c r="F41" i="2"/>
  <c r="F33" i="2"/>
  <c r="F40" i="2"/>
  <c r="F47" i="2"/>
  <c r="I50" i="2"/>
  <c r="J50" i="2"/>
  <c r="K50" i="2"/>
  <c r="L50" i="2"/>
  <c r="F50" i="2"/>
  <c r="H50" i="2"/>
  <c r="G50" i="2"/>
  <c r="G32" i="2"/>
  <c r="G40" i="2"/>
  <c r="G48" i="2"/>
  <c r="G31" i="2"/>
  <c r="G39" i="2"/>
  <c r="G51" i="2"/>
  <c r="G30" i="2"/>
  <c r="G38" i="2"/>
  <c r="G46" i="2"/>
  <c r="G54" i="2"/>
  <c r="G24" i="2"/>
  <c r="G29" i="2"/>
  <c r="G37" i="2"/>
  <c r="G45" i="2"/>
  <c r="G53" i="2"/>
  <c r="G65" i="2"/>
  <c r="G28" i="2"/>
  <c r="G36" i="2"/>
  <c r="G44" i="2"/>
  <c r="G52" i="2"/>
  <c r="G66" i="2"/>
  <c r="G27" i="2"/>
  <c r="G35" i="2"/>
  <c r="G43" i="2"/>
  <c r="G33" i="2"/>
  <c r="G41" i="2"/>
  <c r="G42" i="2"/>
  <c r="G34" i="2"/>
  <c r="G57" i="2"/>
  <c r="G58" i="2"/>
  <c r="G49" i="2"/>
  <c r="G47" i="2"/>
  <c r="H33" i="2"/>
  <c r="H41" i="2"/>
  <c r="H49" i="2"/>
  <c r="H57" i="2"/>
  <c r="H32" i="2"/>
  <c r="H40" i="2"/>
  <c r="H48" i="2"/>
  <c r="H31" i="2"/>
  <c r="H39" i="2"/>
  <c r="H53" i="2"/>
  <c r="H52" i="2"/>
  <c r="H27" i="2"/>
  <c r="H65" i="2"/>
  <c r="H30" i="2"/>
  <c r="H38" i="2"/>
  <c r="H46" i="2"/>
  <c r="H54" i="2"/>
  <c r="H66" i="2"/>
  <c r="H29" i="2"/>
  <c r="H37" i="2"/>
  <c r="H45" i="2"/>
  <c r="H28" i="2"/>
  <c r="H36" i="2"/>
  <c r="H44" i="2"/>
  <c r="H24" i="2"/>
  <c r="H42" i="2"/>
  <c r="H58" i="2"/>
  <c r="H43" i="2"/>
  <c r="H34" i="2"/>
  <c r="H35" i="2"/>
  <c r="H51" i="2"/>
  <c r="H47" i="2"/>
  <c r="I34" i="2"/>
  <c r="I42" i="2"/>
  <c r="I58" i="2"/>
  <c r="I33" i="2"/>
  <c r="I41" i="2"/>
  <c r="I49" i="2"/>
  <c r="I57" i="2"/>
  <c r="I45" i="2"/>
  <c r="I32" i="2"/>
  <c r="I40" i="2"/>
  <c r="I48" i="2"/>
  <c r="I46" i="2"/>
  <c r="I66" i="2"/>
  <c r="I31" i="2"/>
  <c r="I39" i="2"/>
  <c r="I30" i="2"/>
  <c r="I38" i="2"/>
  <c r="I54" i="2"/>
  <c r="I29" i="2"/>
  <c r="I37" i="2"/>
  <c r="I53" i="2"/>
  <c r="I28" i="2"/>
  <c r="I51" i="2"/>
  <c r="I27" i="2"/>
  <c r="I43" i="2"/>
  <c r="I52" i="2"/>
  <c r="I24" i="2"/>
  <c r="I44" i="2"/>
  <c r="I35" i="2"/>
  <c r="I36" i="2"/>
  <c r="I47" i="2"/>
  <c r="J27" i="2"/>
  <c r="J35" i="2"/>
  <c r="J43" i="2"/>
  <c r="J51" i="2"/>
  <c r="J65" i="2"/>
  <c r="J34" i="2"/>
  <c r="J42" i="2"/>
  <c r="J58" i="2"/>
  <c r="J54" i="2"/>
  <c r="J66" i="2"/>
  <c r="J33" i="2"/>
  <c r="J41" i="2"/>
  <c r="J49" i="2"/>
  <c r="J57" i="2"/>
  <c r="J46" i="2"/>
  <c r="J29" i="2"/>
  <c r="J32" i="2"/>
  <c r="J40" i="2"/>
  <c r="J48" i="2"/>
  <c r="J31" i="2"/>
  <c r="J39" i="2"/>
  <c r="J30" i="2"/>
  <c r="J38" i="2"/>
  <c r="J24" i="2"/>
  <c r="J52" i="2"/>
  <c r="J36" i="2"/>
  <c r="J28" i="2"/>
  <c r="J53" i="2"/>
  <c r="J37" i="2"/>
  <c r="J44" i="2"/>
  <c r="J45" i="2"/>
  <c r="J47" i="2"/>
  <c r="K65" i="2"/>
  <c r="K28" i="2"/>
  <c r="K36" i="2"/>
  <c r="K44" i="2"/>
  <c r="K52" i="2"/>
  <c r="K24" i="2"/>
  <c r="K66" i="2"/>
  <c r="K27" i="2"/>
  <c r="K35" i="2"/>
  <c r="K43" i="2"/>
  <c r="K51" i="2"/>
  <c r="K34" i="2"/>
  <c r="K42" i="2"/>
  <c r="K58" i="2"/>
  <c r="K40" i="2"/>
  <c r="K48" i="2"/>
  <c r="K33" i="2"/>
  <c r="K41" i="2"/>
  <c r="K49" i="2"/>
  <c r="K57" i="2"/>
  <c r="K32" i="2"/>
  <c r="K31" i="2"/>
  <c r="K39" i="2"/>
  <c r="K30" i="2"/>
  <c r="K37" i="2"/>
  <c r="K38" i="2"/>
  <c r="K45" i="2"/>
  <c r="K54" i="2"/>
  <c r="K46" i="2"/>
  <c r="K29" i="2"/>
  <c r="K53" i="2"/>
  <c r="K47" i="2"/>
  <c r="D73" i="2"/>
  <c r="H14" i="1"/>
  <c r="F25" i="2" s="1"/>
  <c r="D22" i="2"/>
  <c r="F15" i="2"/>
  <c r="L16" i="2"/>
  <c r="L21" i="2"/>
  <c r="L14" i="2"/>
  <c r="L19" i="2"/>
  <c r="L17" i="2"/>
  <c r="K20" i="2"/>
  <c r="I14" i="2"/>
  <c r="I18" i="2"/>
  <c r="I21" i="2"/>
  <c r="I20" i="2"/>
  <c r="H15" i="2"/>
  <c r="F18" i="2"/>
  <c r="F19" i="2"/>
  <c r="K86" i="2"/>
  <c r="K15" i="2"/>
  <c r="I15" i="2"/>
  <c r="G16" i="2"/>
  <c r="J18" i="2"/>
  <c r="H19" i="2"/>
  <c r="J20" i="2"/>
  <c r="L86" i="2"/>
  <c r="L18" i="2"/>
  <c r="F14" i="2"/>
  <c r="J15" i="2"/>
  <c r="H16" i="2"/>
  <c r="K18" i="2"/>
  <c r="I19" i="2"/>
  <c r="F20" i="2"/>
  <c r="G14" i="2"/>
  <c r="L15" i="2"/>
  <c r="I16" i="2"/>
  <c r="F17" i="2"/>
  <c r="J19" i="2"/>
  <c r="G20" i="2"/>
  <c r="F21" i="2"/>
  <c r="F86" i="2"/>
  <c r="F16" i="2"/>
  <c r="H14" i="2"/>
  <c r="J16" i="2"/>
  <c r="G17" i="2"/>
  <c r="K19" i="2"/>
  <c r="H20" i="2"/>
  <c r="G21" i="2"/>
  <c r="G86" i="2"/>
  <c r="G19" i="2"/>
  <c r="K16" i="2"/>
  <c r="H17" i="2"/>
  <c r="H86" i="2"/>
  <c r="H21" i="2"/>
  <c r="F8" i="2"/>
  <c r="J14" i="2"/>
  <c r="J17" i="2"/>
  <c r="G18" i="2"/>
  <c r="J21" i="2"/>
  <c r="J86" i="2"/>
  <c r="I86" i="2"/>
  <c r="I17" i="2"/>
  <c r="K14" i="2"/>
  <c r="G15" i="2"/>
  <c r="K17" i="2"/>
  <c r="H18" i="2"/>
  <c r="L20" i="2"/>
  <c r="K21" i="2"/>
  <c r="D62" i="2"/>
  <c r="D63" i="2" s="1"/>
  <c r="F75" i="2" l="1"/>
  <c r="L59" i="2"/>
  <c r="H25" i="2"/>
  <c r="H75" i="2" s="1"/>
  <c r="I25" i="2"/>
  <c r="I75" i="2" s="1"/>
  <c r="K25" i="2"/>
  <c r="K75" i="2" s="1"/>
  <c r="J25" i="2"/>
  <c r="J75" i="2" s="1"/>
  <c r="L25" i="2"/>
  <c r="L75" i="2" s="1"/>
  <c r="G25" i="2"/>
  <c r="G75" i="2" s="1"/>
  <c r="H59" i="2"/>
  <c r="F59" i="2"/>
  <c r="D7" i="3" s="1"/>
  <c r="E7" i="3" s="1"/>
  <c r="K59" i="2"/>
  <c r="J59" i="2"/>
  <c r="I59" i="2"/>
  <c r="G59" i="2"/>
  <c r="G12" i="2" l="1"/>
  <c r="I9" i="2"/>
  <c r="J9" i="2"/>
  <c r="G9" i="2"/>
  <c r="I12" i="2"/>
  <c r="L12" i="2"/>
  <c r="H12" i="2"/>
  <c r="L9" i="2"/>
  <c r="H9" i="2"/>
  <c r="K12" i="2"/>
  <c r="K9" i="2"/>
  <c r="K70" i="2" s="1"/>
  <c r="J12" i="2"/>
  <c r="F9" i="2"/>
  <c r="F12" i="2"/>
  <c r="L70" i="2" l="1"/>
  <c r="G70" i="2"/>
  <c r="F70" i="2"/>
  <c r="J70" i="2"/>
  <c r="I70" i="2"/>
  <c r="H70" i="2"/>
  <c r="D70" i="2" l="1"/>
  <c r="F67" i="2"/>
  <c r="J67" i="2"/>
  <c r="K67" i="2"/>
  <c r="I67" i="2"/>
  <c r="L67" i="2"/>
  <c r="H67" i="2"/>
  <c r="G67" i="2"/>
  <c r="C83" i="2" l="1"/>
  <c r="G77" i="2"/>
  <c r="G7" i="2"/>
  <c r="G78" i="2"/>
  <c r="L78" i="2"/>
  <c r="L10" i="2"/>
  <c r="I11" i="2"/>
  <c r="K77" i="2"/>
  <c r="K10" i="2"/>
  <c r="H77" i="2"/>
  <c r="L77" i="2"/>
  <c r="I7" i="2"/>
  <c r="L11" i="2"/>
  <c r="I10" i="2"/>
  <c r="J77" i="2"/>
  <c r="J10" i="2"/>
  <c r="J7" i="2"/>
  <c r="J11" i="2"/>
  <c r="F78" i="2"/>
  <c r="G11" i="2"/>
  <c r="G10" i="2"/>
  <c r="H10" i="2"/>
  <c r="J78" i="2"/>
  <c r="H7" i="2"/>
  <c r="F11" i="2"/>
  <c r="H78" i="2"/>
  <c r="L7" i="2"/>
  <c r="F7" i="2"/>
  <c r="K7" i="2"/>
  <c r="K11" i="2"/>
  <c r="F10" i="2"/>
  <c r="K78" i="2"/>
  <c r="F77" i="2"/>
  <c r="H11" i="2"/>
  <c r="I78" i="2"/>
  <c r="I77" i="2"/>
  <c r="I13" i="2"/>
  <c r="H13" i="2"/>
  <c r="G13" i="2"/>
  <c r="K13" i="2"/>
  <c r="J13" i="2"/>
  <c r="L13" i="2"/>
  <c r="F13" i="2"/>
  <c r="F79" i="2" l="1"/>
  <c r="L69" i="2"/>
  <c r="L79" i="2"/>
  <c r="I79" i="2"/>
  <c r="K69" i="2"/>
  <c r="D9" i="3"/>
  <c r="E9" i="3" s="1"/>
  <c r="I69" i="2"/>
  <c r="D11" i="3"/>
  <c r="D8" i="3"/>
  <c r="J79" i="2"/>
  <c r="K79" i="2"/>
  <c r="H69" i="2"/>
  <c r="J69" i="2"/>
  <c r="G79" i="2"/>
  <c r="F69" i="2"/>
  <c r="D10" i="3"/>
  <c r="E10" i="3" s="1"/>
  <c r="H79" i="2"/>
  <c r="G69" i="2"/>
  <c r="I71" i="2"/>
  <c r="I22" i="2"/>
  <c r="H71" i="2"/>
  <c r="H22" i="2"/>
  <c r="F71" i="2"/>
  <c r="F22" i="2"/>
  <c r="L22" i="2"/>
  <c r="L71" i="2"/>
  <c r="G71" i="2"/>
  <c r="G22" i="2"/>
  <c r="J22" i="2"/>
  <c r="J71" i="2"/>
  <c r="K71" i="2"/>
  <c r="K22" i="2"/>
  <c r="D12" i="3" l="1"/>
  <c r="E12" i="3" s="1"/>
  <c r="D13" i="3"/>
  <c r="E8" i="3"/>
  <c r="D69" i="2"/>
  <c r="D71" i="2"/>
  <c r="D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abramoma</author>
    <author>Donna Kwan</author>
  </authors>
  <commentList>
    <comment ref="C8" authorId="0" shapeId="0" xr:uid="{74C4541A-449B-41BE-A857-16E4C311E3E7}">
      <text>
        <r>
          <rPr>
            <b/>
            <sz val="9"/>
            <color indexed="81"/>
            <rFont val="Tahoma"/>
            <family val="2"/>
          </rPr>
          <t>OEB Staff:</t>
        </r>
        <r>
          <rPr>
            <sz val="9"/>
            <color indexed="81"/>
            <rFont val="Tahoma"/>
            <family val="2"/>
          </rPr>
          <t xml:space="preserve">
1551 balance is allocated to the residential and Gs&lt;50 class only.  A macro that runs in the background generates the formula based on inputs on sheet 4.</t>
        </r>
      </text>
    </comment>
    <comment ref="C14" authorId="1" shapeId="0" xr:uid="{33BE512E-F722-48DF-90DF-A93E4B9CBAE0}">
      <text>
        <r>
          <rPr>
            <b/>
            <sz val="9"/>
            <color indexed="81"/>
            <rFont val="Tahoma"/>
            <family val="2"/>
          </rPr>
          <t xml:space="preserve">OEB Staff: 
</t>
        </r>
        <r>
          <rPr>
            <sz val="9"/>
            <color indexed="81"/>
            <rFont val="Tahoma"/>
            <family val="2"/>
          </rPr>
          <t xml:space="preserve">For each proposed 1595 vintage year disposition, ensure that the appropriate billing determinant is inputted in Sheet 4.
</t>
        </r>
      </text>
    </comment>
  </commentList>
</comments>
</file>

<file path=xl/sharedStrings.xml><?xml version="1.0" encoding="utf-8"?>
<sst xmlns="http://schemas.openxmlformats.org/spreadsheetml/2006/main" count="168" uniqueCount="86">
  <si>
    <t>Rate Class 
(Enter Rate Classes in cells below as they appear on your current tariff of rates and charges)</t>
  </si>
  <si>
    <t>Units</t>
  </si>
  <si>
    <t># of Customers</t>
  </si>
  <si>
    <t>Total 
Metered kWh</t>
  </si>
  <si>
    <t>Total 
Metered kW</t>
  </si>
  <si>
    <t>RESIDENTIAL SERVICE CLASSIFICATION</t>
  </si>
  <si>
    <t>kWh</t>
  </si>
  <si>
    <t>GENERAL SERVICE LESS THAN 50 KW SERVICE CLASSIFICATION</t>
  </si>
  <si>
    <t>GENERAL SERVICE 50 to 4,999 kW SERVICE CLASSIFICATION</t>
  </si>
  <si>
    <t>kW</t>
  </si>
  <si>
    <t>UNMETERED SCATTERED LOAD SERVICE CLASSIFICATION</t>
  </si>
  <si>
    <t>SENTINEL LIGHTING SERVICE CLASSIFICATION</t>
  </si>
  <si>
    <t>STREET LIGHTING SERVICE CLASSIFICATION</t>
  </si>
  <si>
    <t>Allocator</t>
  </si>
  <si>
    <t>LV Variance Account</t>
  </si>
  <si>
    <t>Smart Metering Entity Charge Variance Account</t>
  </si>
  <si>
    <t>RSVA - Wholesale Market Service Charge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</si>
  <si>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</si>
  <si>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</si>
  <si>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</si>
  <si>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</si>
  <si>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t>Non-RPP kWh</t>
  </si>
  <si>
    <t>Disposition and Recovery/Refund of Regulatory Balances (2009)</t>
  </si>
  <si>
    <t>%</t>
  </si>
  <si>
    <t>Disposition and Recovery/Refund of Regulatory Balances (2016 and pre-2016)</t>
  </si>
  <si>
    <t>Disposition and Recovery/Refund of Regulatory Balances (2017)</t>
  </si>
  <si>
    <t>Disposition and Recovery/Refund of Regulatory Balances (2018)</t>
  </si>
  <si>
    <t>Disposition and Recovery/Refund of Regulatory Balances (2019)</t>
  </si>
  <si>
    <t>Disposition and Recovery/Refund of Regulatory Balances (2020)</t>
  </si>
  <si>
    <t>Disposition and Recovery/Refund of Regulatory Balances (2021)</t>
  </si>
  <si>
    <t>Disposition and Recovery/Refund of Regulatory Balances (2022)</t>
  </si>
  <si>
    <t>Total Group 1 accounts above (excluding 1589)</t>
  </si>
  <si>
    <t>Deferred IFRS Transition Costs</t>
  </si>
  <si>
    <t>Pole Attachment Revenue Variance</t>
  </si>
  <si>
    <t>Distribution Rev.</t>
  </si>
  <si>
    <t>Retail Service Charge Incremental Revenue</t>
  </si>
  <si>
    <t>Pension &amp; OPEB Forecast Accrual versus Actual Cash Payment Differential Carrying Charges</t>
  </si>
  <si>
    <t>Misc. Deferred Debits</t>
  </si>
  <si>
    <t>Retail Cost Variance Account - STR</t>
  </si>
  <si>
    <t>Extra-Ordinary Event Costs</t>
  </si>
  <si>
    <t>Deferred Rate Impact Amounts</t>
  </si>
  <si>
    <t>RSVA - One-time</t>
  </si>
  <si>
    <t>Other Deferred Credits</t>
  </si>
  <si>
    <t>Total of Group 2 Accounts</t>
  </si>
  <si>
    <t>PILs and Tax Variance for 2006 and Subsequent Years 
      (excludes sub-account and contra account)</t>
  </si>
  <si>
    <t>PILs and Tax Variance for 2006 and Subsequent Years- Sub-account CCA Changes</t>
  </si>
  <si>
    <t>Total of Account 1592</t>
  </si>
  <si>
    <t>LRAM Variance Account</t>
  </si>
  <si>
    <t>(Account 1568 - total amount allocated to classes)</t>
  </si>
  <si>
    <t>Variance</t>
  </si>
  <si>
    <t>Renewable Generation Connection OM&amp;A Deferral Account</t>
  </si>
  <si>
    <t>Smart Meter Capital and Recovery Offset Variance - Sub-Account - Stranded Meter Costs</t>
  </si>
  <si>
    <t>Variance WMS - Sub-account CBR Class B (separate rate rider if Class A Customers)</t>
  </si>
  <si>
    <t>Total of Group 1 Accounts (1550, 1551, 1584, 1586 and 1595)</t>
  </si>
  <si>
    <t>Total of Account 1580 and 1588 (not allocated to WMPs)</t>
  </si>
  <si>
    <t>Account 1589 (allocated to Non-WMPs)</t>
  </si>
  <si>
    <t>Balance of Account 1589 allocated to Class A Non-WMP Customers</t>
  </si>
  <si>
    <t>Total Group 2 Accounts</t>
  </si>
  <si>
    <t>IFRS-CGAAP Transition PP&amp;E Amounts Balance + Return Component</t>
  </si>
  <si>
    <t>Accounting Changes Under CGAAP Balance + Return Component</t>
  </si>
  <si>
    <t>Total of Accounts 1575 and 1576</t>
  </si>
  <si>
    <t>Account 1589 reference calculation by customer and consumption</t>
  </si>
  <si>
    <t>Account 1589 / Number of Customers</t>
  </si>
  <si>
    <t>1589/total kwh</t>
  </si>
  <si>
    <t xml:space="preserve">Impacts Arising from the COVID-19 Emergency </t>
  </si>
  <si>
    <r>
      <t xml:space="preserve">Rate Class 
</t>
    </r>
    <r>
      <rPr>
        <b/>
        <sz val="8"/>
        <rFont val="Arial"/>
        <family val="2"/>
      </rPr>
      <t>(Enter Rate Classes in cells below)</t>
    </r>
  </si>
  <si>
    <t>kW / kWh / # of Customers</t>
  </si>
  <si>
    <t>Allocated Group 2 Balance</t>
  </si>
  <si>
    <t>Rate Rider for Group 2 Accounts</t>
  </si>
  <si>
    <t>Total</t>
  </si>
  <si>
    <t>Billing Determinants for HONI's Former Peterborough Distribution Inc. Service Area</t>
  </si>
  <si>
    <t>Current Service Charge ($/month)</t>
  </si>
  <si>
    <t>Current Distribution Volumetric Rate
 ($/kwh or $/kw)</t>
  </si>
  <si>
    <t>Distribution Revenue ($)</t>
  </si>
  <si>
    <t>Notes:</t>
  </si>
  <si>
    <t>Rate Rider Recovery Period (in months)</t>
  </si>
  <si>
    <t>STANDBY POWER SERVICE CLASSIFICATION</t>
  </si>
  <si>
    <t>Retail Cost Variance Account - Retail &amp; STR</t>
  </si>
  <si>
    <t>1518,1548</t>
  </si>
  <si>
    <t>Group 2 DVA Balances as of Dec 31-22 Adjusted for Dispositions during 2023*</t>
  </si>
  <si>
    <t>2023 Rate Rider Calculation for Group 2 DVA balances for Orillia</t>
  </si>
  <si>
    <t>Allocation of Group 2 DVA Balances to Rate Classes</t>
  </si>
  <si>
    <t>Billing Determinants and Allocators</t>
  </si>
  <si>
    <t xml:space="preserve">1.  Number of Customers, Total Metered kWh and Total Metered kW are populated using HONI's 2021 RRR filing
</t>
  </si>
  <si>
    <t>2.  Distribution Revenue calculated using data from HONI's 2021 RRR filing applied to the current effective 2022 distribution rates for Orillia</t>
  </si>
  <si>
    <t>*Per I-01-13 Attachment 1 Updated Appendix 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</si>
</sst>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[Red]\(#,##0\)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  <numFmt numFmtId="168" formatCode="_-&quot;$&quot;* #,##0.00_-;\-&quot;$&quot;* #,##0.00_-;_-&quot;$&quot;* &quot;-&quot;??_-;_-@_-"/>
    <numFmt numFmtId="169" formatCode="_-&quot;$&quot;* #,##0_-;\-&quot;$&quot;* #,##0_-;_-&quot;$&quot;* &quot;-&quot;??_-;_-@_-"/>
    <numFmt numFmtId="170" formatCode="&quot;$&quot;#,##0.0000_);[Red]\(&quot;$&quot;#,##0.0000\)"/>
    <numFmt numFmtId="171" formatCode="_ #,##0.0000000000000;[Red]\(#,##0.0000000000000\)"/>
    <numFmt numFmtId="172" formatCode="_(* #,##0.0000_);_(* \(#,##0.0000\);_(* &quot;-&quot;??_);_(@_)"/>
    <numFmt numFmtId="173" formatCode="_-&quot;$&quot;* #,##0.0000_-;\-&quot;$&quot;* #,##0.00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8"/>
      <color rgb="FFFF0000"/>
      <name val="Arial"/>
      <family val="2"/>
    </font>
    <font>
      <b/>
      <sz val="8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166" fontId="3" fillId="3" borderId="1" xfId="3" applyNumberFormat="1" applyFont="1" applyFill="1" applyBorder="1" applyProtection="1">
      <protection locked="0"/>
    </xf>
    <xf numFmtId="166" fontId="3" fillId="3" borderId="1" xfId="4" applyNumberFormat="1" applyFont="1" applyFill="1" applyBorder="1" applyProtection="1">
      <protection locked="0"/>
    </xf>
    <xf numFmtId="166" fontId="0" fillId="0" borderId="0" xfId="0" applyNumberFormat="1"/>
    <xf numFmtId="16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3" applyNumberFormat="1" applyFont="1" applyBorder="1" applyAlignment="1" applyProtection="1">
      <alignment horizontal="center" vertical="center"/>
    </xf>
    <xf numFmtId="164" fontId="3" fillId="0" borderId="1" xfId="5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64" fontId="3" fillId="0" borderId="1" xfId="1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Protection="1">
      <protection locked="0"/>
    </xf>
    <xf numFmtId="164" fontId="4" fillId="5" borderId="1" xfId="1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169" fontId="4" fillId="0" borderId="0" xfId="1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top" wrapText="1"/>
    </xf>
    <xf numFmtId="164" fontId="3" fillId="0" borderId="1" xfId="1" applyNumberFormat="1" applyFont="1" applyBorder="1" applyAlignment="1" applyProtection="1">
      <alignment horizontal="left" vertical="center"/>
    </xf>
    <xf numFmtId="0" fontId="3" fillId="0" borderId="1" xfId="0" applyFont="1" applyBorder="1" applyAlignment="1">
      <alignment wrapText="1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169" fontId="3" fillId="0" borderId="0" xfId="1" applyNumberFormat="1" applyFont="1" applyBorder="1" applyAlignment="1" applyProtection="1">
      <alignment horizontal="center"/>
    </xf>
    <xf numFmtId="0" fontId="4" fillId="6" borderId="0" xfId="0" applyFont="1" applyFill="1"/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 wrapText="1" indent="1"/>
    </xf>
    <xf numFmtId="164" fontId="4" fillId="0" borderId="0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 indent="1"/>
    </xf>
    <xf numFmtId="164" fontId="4" fillId="6" borderId="5" xfId="1" applyNumberFormat="1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6" borderId="0" xfId="0" applyFont="1" applyFill="1" applyAlignment="1">
      <alignment horizontal="left"/>
    </xf>
    <xf numFmtId="164" fontId="4" fillId="7" borderId="1" xfId="1" applyNumberFormat="1" applyFont="1" applyFill="1" applyBorder="1" applyAlignment="1" applyProtection="1">
      <alignment horizontal="center" vertical="center"/>
    </xf>
    <xf numFmtId="0" fontId="3" fillId="7" borderId="0" xfId="0" applyFont="1" applyFill="1"/>
    <xf numFmtId="0" fontId="3" fillId="6" borderId="0" xfId="0" applyFont="1" applyFill="1"/>
    <xf numFmtId="0" fontId="4" fillId="6" borderId="1" xfId="0" applyFont="1" applyFill="1" applyBorder="1" applyAlignment="1" applyProtection="1">
      <alignment horizontal="left"/>
      <protection locked="0"/>
    </xf>
    <xf numFmtId="164" fontId="4" fillId="6" borderId="1" xfId="1" applyNumberFormat="1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indent="2"/>
    </xf>
    <xf numFmtId="8" fontId="3" fillId="2" borderId="1" xfId="1" applyNumberFormat="1" applyFont="1" applyFill="1" applyBorder="1" applyProtection="1"/>
    <xf numFmtId="170" fontId="3" fillId="2" borderId="1" xfId="1" applyNumberFormat="1" applyFont="1" applyFill="1" applyBorder="1" applyProtection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166" fontId="0" fillId="0" borderId="1" xfId="3" applyNumberFormat="1" applyFont="1" applyBorder="1" applyAlignment="1" applyProtection="1">
      <alignment horizontal="center" vertical="center"/>
    </xf>
    <xf numFmtId="169" fontId="0" fillId="0" borderId="1" xfId="5" applyNumberFormat="1" applyFont="1" applyBorder="1" applyProtection="1"/>
    <xf numFmtId="168" fontId="4" fillId="0" borderId="1" xfId="5" applyFont="1" applyBorder="1" applyAlignment="1" applyProtection="1">
      <alignment horizontal="center" vertic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center" vertical="center"/>
    </xf>
    <xf numFmtId="166" fontId="4" fillId="9" borderId="1" xfId="3" applyNumberFormat="1" applyFont="1" applyFill="1" applyBorder="1" applyAlignment="1" applyProtection="1">
      <alignment horizontal="center" vertical="center"/>
    </xf>
    <xf numFmtId="169" fontId="4" fillId="9" borderId="1" xfId="5" applyNumberFormat="1" applyFont="1" applyFill="1" applyBorder="1" applyProtection="1"/>
    <xf numFmtId="0" fontId="0" fillId="2" borderId="0" xfId="0" applyFont="1" applyFill="1" applyBorder="1" applyAlignment="1">
      <alignment horizontal="left"/>
    </xf>
    <xf numFmtId="0" fontId="0" fillId="0" borderId="1" xfId="0" applyBorder="1"/>
    <xf numFmtId="167" fontId="0" fillId="0" borderId="1" xfId="0" applyNumberFormat="1" applyBorder="1"/>
    <xf numFmtId="0" fontId="0" fillId="0" borderId="0" xfId="0" applyAlignment="1">
      <alignment wrapText="1"/>
    </xf>
    <xf numFmtId="0" fontId="9" fillId="0" borderId="0" xfId="0" applyFont="1"/>
    <xf numFmtId="0" fontId="4" fillId="0" borderId="0" xfId="6" applyFont="1" applyAlignment="1">
      <alignment vertical="top"/>
    </xf>
    <xf numFmtId="0" fontId="4" fillId="0" borderId="0" xfId="6" applyFont="1" applyAlignment="1">
      <alignment vertical="top" wrapText="1"/>
    </xf>
    <xf numFmtId="0" fontId="4" fillId="3" borderId="1" xfId="6" applyFont="1" applyFill="1" applyBorder="1" applyAlignment="1" applyProtection="1">
      <alignment horizontal="center"/>
      <protection locked="0"/>
    </xf>
    <xf numFmtId="166" fontId="0" fillId="0" borderId="1" xfId="0" applyNumberFormat="1" applyBorder="1"/>
    <xf numFmtId="0" fontId="0" fillId="0" borderId="1" xfId="0" applyBorder="1" applyAlignment="1">
      <alignment wrapText="1"/>
    </xf>
    <xf numFmtId="3" fontId="3" fillId="0" borderId="1" xfId="0" quotePrefix="1" applyNumberFormat="1" applyFont="1" applyBorder="1" applyAlignment="1">
      <alignment horizontal="center"/>
    </xf>
    <xf numFmtId="0" fontId="0" fillId="0" borderId="0" xfId="0" applyFill="1"/>
    <xf numFmtId="171" fontId="0" fillId="0" borderId="0" xfId="0" applyNumberFormat="1" applyAlignment="1">
      <alignment horizontal="center" vertical="center"/>
    </xf>
    <xf numFmtId="0" fontId="10" fillId="0" borderId="0" xfId="0" applyFont="1"/>
    <xf numFmtId="164" fontId="3" fillId="0" borderId="0" xfId="0" applyNumberFormat="1" applyFont="1" applyAlignment="1">
      <alignment horizontal="center"/>
    </xf>
    <xf numFmtId="0" fontId="0" fillId="0" borderId="1" xfId="0" applyBorder="1" applyAlignment="1">
      <alignment horizontal="center" wrapText="1"/>
    </xf>
    <xf numFmtId="172" fontId="3" fillId="0" borderId="0" xfId="7" applyNumberFormat="1" applyFont="1" applyAlignment="1">
      <alignment horizontal="center"/>
    </xf>
    <xf numFmtId="0" fontId="0" fillId="0" borderId="0" xfId="0" applyFont="1"/>
    <xf numFmtId="0" fontId="2" fillId="0" borderId="0" xfId="0" applyFont="1" applyFill="1" applyBorder="1" applyAlignment="1">
      <alignment horizontal="left" vertical="top" wrapText="1"/>
    </xf>
    <xf numFmtId="173" fontId="4" fillId="0" borderId="1" xfId="5" applyNumberFormat="1" applyFont="1" applyBorder="1" applyAlignment="1" applyProtection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 indent="1"/>
    </xf>
    <xf numFmtId="0" fontId="4" fillId="6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 indent="1"/>
    </xf>
    <xf numFmtId="0" fontId="4" fillId="0" borderId="1" xfId="0" applyFont="1" applyBorder="1" applyAlignment="1">
      <alignment horizontal="right" vertical="center" wrapText="1" indent="1"/>
    </xf>
    <xf numFmtId="0" fontId="4" fillId="7" borderId="1" xfId="0" applyFont="1" applyFill="1" applyBorder="1" applyAlignment="1">
      <alignment horizontal="right" vertical="center" wrapText="1" inden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8">
    <cellStyle name="Comma" xfId="7" builtinId="3"/>
    <cellStyle name="Comma 32" xfId="3" xr:uid="{0E62C78B-7BEB-46D5-A7B8-35B25C553136}"/>
    <cellStyle name="Comma 33" xfId="4" xr:uid="{61CFAF3F-74FE-4FF3-BE76-D015D21548F0}"/>
    <cellStyle name="Currency" xfId="1" builtinId="4"/>
    <cellStyle name="Currency 2" xfId="5" xr:uid="{AB01DF1E-9040-438C-B216-639FE2623B35}"/>
    <cellStyle name="Normal" xfId="0" builtinId="0"/>
    <cellStyle name="Normal_6. Cost Allocation for Def-Var" xfId="2" xr:uid="{2F9C4B98-6E65-4286-BA07-5FB6557BEAE7}"/>
    <cellStyle name="Normal_Sheet7" xfId="6" xr:uid="{FC1EEAF4-5A68-469C-A38F-F2C57E64A112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65</xdr:row>
      <xdr:rowOff>361950</xdr:rowOff>
    </xdr:from>
    <xdr:to>
      <xdr:col>12</xdr:col>
      <xdr:colOff>0</xdr:colOff>
      <xdr:row>65</xdr:row>
      <xdr:rowOff>457200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20D211D-85BA-4694-A3FF-83E936D6ADE3}"/>
            </a:ext>
          </a:extLst>
        </xdr:cNvPr>
        <xdr:cNvSpPr/>
      </xdr:nvSpPr>
      <xdr:spPr bwMode="auto">
        <a:xfrm>
          <a:off x="19050" y="8997950"/>
          <a:ext cx="42157650" cy="95250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%20drive_EB-2022-0040/2023_DVA_Continuity_Schedule_CoS_1.0_20220527_PDI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%20drive_EB-2022-0040/Interrogatories%20and%20DRO/Appendix%20E-2%20-%20Orillia%20Continuity%20Schedule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16 List"/>
      <sheetName val="1.1 Instruction Sheet"/>
      <sheetName val="1. Information Sheet"/>
      <sheetName val="2a. Continuity Schedule"/>
      <sheetName val="2b. Continuity Schedule"/>
      <sheetName val="3. Appendix A"/>
      <sheetName val="4. Billing Determinants"/>
      <sheetName val="5. Allocation of Balances"/>
      <sheetName val="6. Class A Consumption Data"/>
      <sheetName val="6.1a GA Allocation"/>
      <sheetName val="6.2a CBR B_Allocation"/>
      <sheetName val="6.2 CBR B"/>
      <sheetName val="7. Rate Rider Calculations"/>
      <sheetName val="2.1.7 Filing"/>
      <sheetName val="Summary Sheet"/>
    </sheetNames>
    <sheetDataSet>
      <sheetData sheetId="0"/>
      <sheetData sheetId="1"/>
      <sheetData sheetId="2"/>
      <sheetData sheetId="3"/>
      <sheetData sheetId="4">
        <row r="24">
          <cell r="BT24">
            <v>0</v>
          </cell>
        </row>
        <row r="25">
          <cell r="BT25">
            <v>0</v>
          </cell>
        </row>
        <row r="26">
          <cell r="BT26">
            <v>0</v>
          </cell>
        </row>
        <row r="28">
          <cell r="BT28">
            <v>0</v>
          </cell>
        </row>
        <row r="29">
          <cell r="BT29">
            <v>0</v>
          </cell>
        </row>
        <row r="30">
          <cell r="BT30">
            <v>0</v>
          </cell>
        </row>
        <row r="31">
          <cell r="BT31">
            <v>0</v>
          </cell>
        </row>
        <row r="33">
          <cell r="BT33">
            <v>0</v>
          </cell>
        </row>
        <row r="34">
          <cell r="BT34">
            <v>0</v>
          </cell>
        </row>
        <row r="35">
          <cell r="BT35">
            <v>0</v>
          </cell>
        </row>
        <row r="36">
          <cell r="BT36">
            <v>0</v>
          </cell>
        </row>
        <row r="37">
          <cell r="BT37">
            <v>0</v>
          </cell>
        </row>
        <row r="38">
          <cell r="BT38">
            <v>0</v>
          </cell>
        </row>
        <row r="39">
          <cell r="BT39">
            <v>0</v>
          </cell>
        </row>
        <row r="40">
          <cell r="BT40">
            <v>0</v>
          </cell>
        </row>
        <row r="45">
          <cell r="BT45">
            <v>0</v>
          </cell>
        </row>
      </sheetData>
      <sheetData sheetId="5">
        <row r="45">
          <cell r="BT45">
            <v>0</v>
          </cell>
        </row>
        <row r="51">
          <cell r="C51" t="str">
            <v>Customer Choice Initiative Costs7</v>
          </cell>
        </row>
        <row r="52">
          <cell r="C52" t="str">
            <v>Local Initiatives Program Costs9</v>
          </cell>
        </row>
        <row r="53">
          <cell r="C53" t="str">
            <v>Green Button Initiative Costs10</v>
          </cell>
        </row>
        <row r="54">
          <cell r="C54" t="str">
            <v>Other Regulatory Assets - Sub-Account - Other</v>
          </cell>
        </row>
        <row r="55">
          <cell r="C55" t="str">
            <v xml:space="preserve">OEB Cost Differential Variance Account </v>
          </cell>
        </row>
        <row r="56">
          <cell r="C56" t="str">
            <v xml:space="preserve">Incremental Capital Module (ICM) </v>
          </cell>
        </row>
        <row r="88">
          <cell r="BT88">
            <v>0</v>
          </cell>
        </row>
        <row r="96">
          <cell r="BT96">
            <v>0</v>
          </cell>
        </row>
        <row r="107">
          <cell r="BT107">
            <v>0</v>
          </cell>
        </row>
        <row r="108">
          <cell r="BT108">
            <v>0</v>
          </cell>
        </row>
        <row r="110">
          <cell r="BT110">
            <v>0</v>
          </cell>
        </row>
      </sheetData>
      <sheetData sheetId="6"/>
      <sheetData sheetId="7">
        <row r="19">
          <cell r="B19" t="str">
            <v>Rate Class 
(Enter Rate Classes in cells below as they appear on your current tariff of rates and charges)</v>
          </cell>
          <cell r="C19" t="str">
            <v>Units</v>
          </cell>
          <cell r="D19" t="str">
            <v># of Customers</v>
          </cell>
          <cell r="E19" t="str">
            <v>Total 
Metered kWh</v>
          </cell>
          <cell r="F19" t="str">
            <v>Total 
Metered kW</v>
          </cell>
          <cell r="G19" t="str">
            <v>Metered kWh for 
Non-RPP Customers 4</v>
          </cell>
          <cell r="H19" t="str">
            <v>Metered kW for 
Non-RPP Customers 4</v>
          </cell>
          <cell r="I19" t="str">
            <v xml:space="preserve">Distribution Revenue </v>
          </cell>
          <cell r="J19" t="str">
            <v>Metered kWh for Wholesale Market Participants (WMP)</v>
          </cell>
          <cell r="K19" t="str">
            <v>Metered kW for Wholesale Market Participants (WMP)</v>
          </cell>
          <cell r="L19" t="str">
            <v xml:space="preserve">Total Metered kWh less WMP consumption 
(if applicable) </v>
          </cell>
          <cell r="M19" t="str">
            <v>Total Metered kW less WMP consumption  
(if applicable)</v>
          </cell>
          <cell r="N19" t="str">
            <v>GA Allocator for Class A, 
Non-WMP Customers 
(if applicable)2</v>
          </cell>
          <cell r="O19" t="str">
            <v>Forecast Total Metered Test Year kWh for Full Year Class A Customers</v>
          </cell>
          <cell r="P19" t="str">
            <v>Forecast Total Metered Test Year kWh for Transition Customers</v>
          </cell>
          <cell r="R19" t="str">
            <v xml:space="preserve"> Metered kW Consumption for New Class A customer(s) in the period prior to becoming Class A (i.e. Jan. 1 - June 30, 2015) </v>
          </cell>
          <cell r="S19" t="str">
            <v>Non-RPP Metered Consumption for Current Class B Customers (Non-RPP Consumption excluding WMP, Class A and Transition Customers' Consumption</v>
          </cell>
          <cell r="T19" t="str">
            <v>Total Metered kW for
Non-RPP Customers less WMP and 
Class A Consumption</v>
          </cell>
          <cell r="U19" t="str">
            <v>1595 Recovery Share Proportion (2009) 1</v>
          </cell>
          <cell r="V19" t="str">
            <v>1595 Recovery Share Proportion (2016 and pre-2016) 1</v>
          </cell>
          <cell r="W19" t="str">
            <v>1595 Recovery Share Proportion (2017) 1</v>
          </cell>
          <cell r="X19" t="str">
            <v>1595 Recovery Share Proportion (2018) 1</v>
          </cell>
          <cell r="Y19" t="str">
            <v>1595 Recovery Share Proportion (2019) 1</v>
          </cell>
          <cell r="Z19" t="str">
            <v>1595 Recovery Share Proportion (2020) 1</v>
          </cell>
          <cell r="AA19" t="str">
            <v>1595 Recovery Share Proportion (2021) 1</v>
          </cell>
          <cell r="AB19" t="str">
            <v>1595 Recovery Share Proportion (2022) 1</v>
          </cell>
        </row>
        <row r="21">
          <cell r="B21" t="str">
            <v>RESIDENTIAL SERVICE CLASSIFICATION</v>
          </cell>
          <cell r="C21" t="str">
            <v>kWh</v>
          </cell>
          <cell r="D21">
            <v>33536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</row>
        <row r="22">
          <cell r="B22" t="str">
            <v>GENERAL SERVICE LESS THAN 50 KW SERVICE CLASSIFICATION</v>
          </cell>
          <cell r="C22" t="str">
            <v>kWh</v>
          </cell>
          <cell r="D22">
            <v>3527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</row>
        <row r="23">
          <cell r="B23" t="str">
            <v>GENERAL SERVICE 50 to 4,999 kW SERVICE CLASSIFICATION</v>
          </cell>
          <cell r="C23" t="str">
            <v>kW</v>
          </cell>
          <cell r="D23">
            <v>349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</row>
        <row r="24">
          <cell r="B24" t="str">
            <v>LARGE USE SERVICE CLASSIFICATION</v>
          </cell>
          <cell r="C24" t="str">
            <v>kW</v>
          </cell>
          <cell r="D24">
            <v>2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</row>
        <row r="25">
          <cell r="B25" t="str">
            <v>UNMETERED SCATTERED LOAD SERVICE CLASSIFICATION</v>
          </cell>
          <cell r="C25" t="str">
            <v>kWh</v>
          </cell>
          <cell r="D25">
            <v>12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</row>
        <row r="26">
          <cell r="B26" t="str">
            <v>SENTINEL LIGHTING SERVICE CLASSIFICATION</v>
          </cell>
          <cell r="C26" t="str">
            <v>kW</v>
          </cell>
          <cell r="D26">
            <v>111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</row>
        <row r="27">
          <cell r="B27" t="str">
            <v>STREET LIGHTING SERVICE CLASSIFICATION</v>
          </cell>
          <cell r="C27" t="str">
            <v>kW</v>
          </cell>
          <cell r="D27">
            <v>10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</row>
        <row r="28"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T28">
            <v>0</v>
          </cell>
        </row>
        <row r="29"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</row>
        <row r="30"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</row>
        <row r="31"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T31">
            <v>0</v>
          </cell>
        </row>
        <row r="32"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</row>
        <row r="33"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T33">
            <v>0</v>
          </cell>
        </row>
        <row r="34"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T34">
            <v>0</v>
          </cell>
        </row>
        <row r="35"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</row>
        <row r="36"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</row>
        <row r="37">
          <cell r="L37">
            <v>0</v>
          </cell>
          <cell r="M37">
            <v>0</v>
          </cell>
          <cell r="O37">
            <v>0</v>
          </cell>
          <cell r="P37">
            <v>0</v>
          </cell>
          <cell r="Q37">
            <v>0</v>
          </cell>
          <cell r="S37">
            <v>0</v>
          </cell>
          <cell r="T37">
            <v>0</v>
          </cell>
        </row>
        <row r="38"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</row>
        <row r="39"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</row>
        <row r="40"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>
            <v>0</v>
          </cell>
          <cell r="S40">
            <v>0</v>
          </cell>
          <cell r="T40">
            <v>0</v>
          </cell>
        </row>
        <row r="41">
          <cell r="B41" t="str">
            <v>Total</v>
          </cell>
          <cell r="D41">
            <v>37547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</row>
      </sheetData>
      <sheetData sheetId="8"/>
      <sheetData sheetId="9"/>
      <sheetData sheetId="10">
        <row r="29">
          <cell r="C29">
            <v>0</v>
          </cell>
        </row>
      </sheetData>
      <sheetData sheetId="11">
        <row r="29">
          <cell r="C29">
            <v>0</v>
          </cell>
        </row>
      </sheetData>
      <sheetData sheetId="12">
        <row r="17">
          <cell r="A17" t="str">
            <v>RESIDENTIAL SERVICE CLASSIFICATION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e">
            <v>#DIV/0!</v>
          </cell>
        </row>
        <row r="18">
          <cell r="A18" t="str">
            <v>GENERAL SERVICE LESS THAN 50 KW SERVICE CLASSIFICATION</v>
          </cell>
          <cell r="B18" t="str">
            <v/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#DIV/0!</v>
          </cell>
        </row>
        <row r="19">
          <cell r="A19" t="str">
            <v>GENERAL SERVICE 50 to 4,999 kW SERVICE CLASSIFICATION</v>
          </cell>
          <cell r="B19" t="str">
            <v/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e">
            <v>#DIV/0!</v>
          </cell>
        </row>
        <row r="20">
          <cell r="A20" t="str">
            <v>LARGE USE SERVICE CLASSIFICATION</v>
          </cell>
          <cell r="B20" t="str">
            <v/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#DIV/0!</v>
          </cell>
        </row>
        <row r="21">
          <cell r="A21" t="str">
            <v>UNMETERED SCATTERED LOAD SERVICE CLASSIFICATION</v>
          </cell>
          <cell r="B21" t="str">
            <v/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e">
            <v>#DIV/0!</v>
          </cell>
        </row>
        <row r="22">
          <cell r="A22" t="str">
            <v>SENTINEL LIGHTING SERVICE CLASSIFICATION</v>
          </cell>
          <cell r="B22" t="str">
            <v/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e">
            <v>#DIV/0!</v>
          </cell>
        </row>
        <row r="23">
          <cell r="A23" t="str">
            <v>STREET LIGHTING SERVICE CLASSIFICATION</v>
          </cell>
          <cell r="B23" t="str">
            <v/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#DIV/0!</v>
          </cell>
        </row>
        <row r="24">
          <cell r="A24" t="str">
            <v/>
          </cell>
          <cell r="B24" t="str">
            <v/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#DIV/0!</v>
          </cell>
        </row>
        <row r="25">
          <cell r="A25" t="str">
            <v/>
          </cell>
          <cell r="B25" t="str">
            <v/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e">
            <v>#DIV/0!</v>
          </cell>
        </row>
        <row r="26">
          <cell r="A26" t="str">
            <v/>
          </cell>
          <cell r="B26" t="str">
            <v/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e">
            <v>#DIV/0!</v>
          </cell>
        </row>
        <row r="27">
          <cell r="A27" t="str">
            <v/>
          </cell>
          <cell r="B27" t="str">
            <v/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#DIV/0!</v>
          </cell>
        </row>
        <row r="28">
          <cell r="A28" t="str">
            <v/>
          </cell>
          <cell r="B28" t="str">
            <v/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#DIV/0!</v>
          </cell>
        </row>
        <row r="29">
          <cell r="A29" t="str">
            <v/>
          </cell>
          <cell r="B29" t="str">
            <v/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#DIV/0!</v>
          </cell>
        </row>
        <row r="30">
          <cell r="A30" t="str">
            <v/>
          </cell>
          <cell r="B30" t="str">
            <v/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e">
            <v>#DIV/0!</v>
          </cell>
        </row>
        <row r="31">
          <cell r="A31" t="str">
            <v/>
          </cell>
          <cell r="B31" t="str">
            <v/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e">
            <v>#DIV/0!</v>
          </cell>
        </row>
        <row r="32">
          <cell r="A32" t="str">
            <v/>
          </cell>
          <cell r="B32" t="str">
            <v/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e">
            <v>#DIV/0!</v>
          </cell>
        </row>
        <row r="33">
          <cell r="A33" t="str">
            <v/>
          </cell>
          <cell r="B33" t="str">
            <v/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e">
            <v>#DIV/0!</v>
          </cell>
        </row>
        <row r="34">
          <cell r="A34" t="str">
            <v/>
          </cell>
          <cell r="B34" t="str">
            <v/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e">
            <v>#DIV/0!</v>
          </cell>
        </row>
        <row r="35">
          <cell r="A35" t="str">
            <v/>
          </cell>
          <cell r="B35" t="str">
            <v/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e">
            <v>#DIV/0!</v>
          </cell>
        </row>
        <row r="36">
          <cell r="A36" t="str">
            <v/>
          </cell>
          <cell r="B36" t="str">
            <v/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e">
            <v>#DIV/0!</v>
          </cell>
        </row>
      </sheetData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a. Continuity Schedule - Grp 1"/>
      <sheetName val="2b. Continuity Schedule - Grp 2"/>
    </sheetNames>
    <sheetDataSet>
      <sheetData sheetId="0"/>
      <sheetData sheetId="1">
        <row r="11">
          <cell r="BW11">
            <v>86938.938754250004</v>
          </cell>
        </row>
        <row r="12">
          <cell r="BW12">
            <v>0</v>
          </cell>
        </row>
        <row r="13">
          <cell r="BW13">
            <v>-90887.379738541727</v>
          </cell>
        </row>
        <row r="15">
          <cell r="BW15">
            <v>-279670.08559999999</v>
          </cell>
        </row>
        <row r="16">
          <cell r="BW16">
            <v>-161721.63435000001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5AA0-F23D-433A-B5F8-150ED3C31E3A}">
  <dimension ref="A1:H18"/>
  <sheetViews>
    <sheetView workbookViewId="0">
      <selection activeCell="D8" sqref="D8"/>
    </sheetView>
  </sheetViews>
  <sheetFormatPr defaultRowHeight="14.5" x14ac:dyDescent="0.35"/>
  <cols>
    <col min="1" max="1" width="58.6328125" bestFit="1" customWidth="1"/>
    <col min="3" max="3" width="15.1796875" customWidth="1"/>
    <col min="4" max="4" width="12.1796875" bestFit="1" customWidth="1"/>
    <col min="5" max="5" width="14.54296875" customWidth="1"/>
    <col min="6" max="6" width="13" bestFit="1" customWidth="1"/>
    <col min="7" max="7" width="16.54296875" customWidth="1"/>
    <col min="8" max="8" width="12.54296875" bestFit="1" customWidth="1"/>
  </cols>
  <sheetData>
    <row r="1" spans="1:8" x14ac:dyDescent="0.35">
      <c r="A1" s="80" t="s">
        <v>80</v>
      </c>
    </row>
    <row r="2" spans="1:8" x14ac:dyDescent="0.35">
      <c r="C2" s="88"/>
    </row>
    <row r="3" spans="1:8" x14ac:dyDescent="0.35">
      <c r="A3" s="87" t="s">
        <v>82</v>
      </c>
      <c r="B3" s="87"/>
      <c r="C3" s="87"/>
      <c r="D3" s="87"/>
      <c r="E3" s="87"/>
    </row>
    <row r="4" spans="1:8" x14ac:dyDescent="0.35">
      <c r="A4" s="94"/>
      <c r="B4" s="94"/>
      <c r="C4" s="94"/>
      <c r="D4" s="94"/>
      <c r="E4" s="87"/>
    </row>
    <row r="5" spans="1:8" ht="32" customHeight="1" x14ac:dyDescent="0.35">
      <c r="A5" s="98" t="s">
        <v>0</v>
      </c>
      <c r="B5" s="100" t="s">
        <v>1</v>
      </c>
      <c r="C5" s="97" t="s">
        <v>2</v>
      </c>
      <c r="D5" s="96" t="s">
        <v>3</v>
      </c>
      <c r="E5" s="96" t="s">
        <v>4</v>
      </c>
      <c r="F5" s="96" t="s">
        <v>71</v>
      </c>
      <c r="G5" s="96" t="s">
        <v>72</v>
      </c>
      <c r="H5" s="96" t="s">
        <v>73</v>
      </c>
    </row>
    <row r="6" spans="1:8" ht="32" customHeight="1" x14ac:dyDescent="0.35">
      <c r="A6" s="99"/>
      <c r="B6" s="100"/>
      <c r="C6" s="97"/>
      <c r="D6" s="97"/>
      <c r="E6" s="97"/>
      <c r="F6" s="97"/>
      <c r="G6" s="97"/>
      <c r="H6" s="96"/>
    </row>
    <row r="7" spans="1:8" x14ac:dyDescent="0.35">
      <c r="A7" s="85" t="s">
        <v>5</v>
      </c>
      <c r="B7" s="2" t="s">
        <v>6</v>
      </c>
      <c r="C7" s="3">
        <v>12882</v>
      </c>
      <c r="D7" s="4">
        <v>112749901</v>
      </c>
      <c r="E7" s="4">
        <v>0</v>
      </c>
      <c r="F7" s="77">
        <v>27.93</v>
      </c>
      <c r="G7" s="4">
        <v>0</v>
      </c>
      <c r="H7" s="78">
        <f>(C7*F7*12)+D7*G7</f>
        <v>4317531.12</v>
      </c>
    </row>
    <row r="8" spans="1:8" x14ac:dyDescent="0.35">
      <c r="A8" s="85" t="s">
        <v>7</v>
      </c>
      <c r="B8" s="2" t="s">
        <v>6</v>
      </c>
      <c r="C8" s="3">
        <v>1562</v>
      </c>
      <c r="D8" s="4">
        <v>43909596</v>
      </c>
      <c r="E8" s="4">
        <v>0</v>
      </c>
      <c r="F8" s="77">
        <v>37.42</v>
      </c>
      <c r="G8" s="77">
        <v>1.6500000000000001E-2</v>
      </c>
      <c r="H8" s="78">
        <f>(C8*F8*12)+D8*G8</f>
        <v>1425908.814</v>
      </c>
    </row>
    <row r="9" spans="1:8" x14ac:dyDescent="0.35">
      <c r="A9" s="85" t="s">
        <v>8</v>
      </c>
      <c r="B9" s="2" t="s">
        <v>9</v>
      </c>
      <c r="C9" s="3">
        <v>153</v>
      </c>
      <c r="D9" s="4">
        <v>146609695</v>
      </c>
      <c r="E9" s="4">
        <v>375462</v>
      </c>
      <c r="F9" s="77">
        <v>340.6</v>
      </c>
      <c r="G9" s="77">
        <v>3.5825</v>
      </c>
      <c r="H9" s="78">
        <f>(C9*F9*12)+E9*G9</f>
        <v>1970434.2150000001</v>
      </c>
    </row>
    <row r="10" spans="1:8" x14ac:dyDescent="0.35">
      <c r="A10" s="85" t="s">
        <v>10</v>
      </c>
      <c r="B10" s="2" t="s">
        <v>6</v>
      </c>
      <c r="C10" s="3">
        <v>20</v>
      </c>
      <c r="D10" s="4">
        <v>655573</v>
      </c>
      <c r="E10" s="4">
        <v>0</v>
      </c>
      <c r="F10" s="77">
        <v>10.59</v>
      </c>
      <c r="G10" s="77">
        <v>9.4999999999999998E-3</v>
      </c>
      <c r="H10" s="78">
        <f>(C10*F10*12)+E10*G10</f>
        <v>2541.6000000000004</v>
      </c>
    </row>
    <row r="11" spans="1:8" x14ac:dyDescent="0.35">
      <c r="A11" s="85" t="s">
        <v>11</v>
      </c>
      <c r="B11" s="2" t="s">
        <v>9</v>
      </c>
      <c r="C11" s="3">
        <v>5</v>
      </c>
      <c r="D11" s="4">
        <v>0</v>
      </c>
      <c r="E11" s="4">
        <v>0</v>
      </c>
      <c r="F11" s="77">
        <v>3.88</v>
      </c>
      <c r="G11" s="77">
        <v>10.1477</v>
      </c>
      <c r="H11" s="78">
        <f>(C11*F11*12)+D11*G11</f>
        <v>232.79999999999998</v>
      </c>
    </row>
    <row r="12" spans="1:8" x14ac:dyDescent="0.35">
      <c r="A12" s="85" t="s">
        <v>12</v>
      </c>
      <c r="B12" s="2" t="s">
        <v>9</v>
      </c>
      <c r="C12" s="3">
        <v>3</v>
      </c>
      <c r="D12" s="4">
        <v>871268</v>
      </c>
      <c r="E12" s="4">
        <v>3540</v>
      </c>
      <c r="F12" s="77">
        <v>4.5599999999999996</v>
      </c>
      <c r="G12" s="77">
        <v>15.1656</v>
      </c>
      <c r="H12" s="78">
        <f>(C12*F12*12)+E12*G12</f>
        <v>53850.383999999998</v>
      </c>
    </row>
    <row r="13" spans="1:8" x14ac:dyDescent="0.35">
      <c r="A13" s="85" t="s">
        <v>76</v>
      </c>
      <c r="B13" s="2" t="s">
        <v>9</v>
      </c>
      <c r="C13" s="3"/>
      <c r="D13" s="4">
        <v>0</v>
      </c>
      <c r="E13" s="4">
        <v>0</v>
      </c>
      <c r="F13" s="4">
        <v>0</v>
      </c>
      <c r="G13" s="77">
        <v>1.0712999999999999</v>
      </c>
      <c r="H13" s="4">
        <v>0</v>
      </c>
    </row>
    <row r="14" spans="1:8" x14ac:dyDescent="0.35">
      <c r="A14" s="1" t="s">
        <v>69</v>
      </c>
      <c r="B14" s="77"/>
      <c r="C14" s="84">
        <f>SUM(C7:C13)</f>
        <v>14625</v>
      </c>
      <c r="D14" s="84">
        <f t="shared" ref="D14:E14" si="0">SUM(D7:D13)</f>
        <v>304796033</v>
      </c>
      <c r="E14" s="84">
        <f t="shared" si="0"/>
        <v>379002</v>
      </c>
      <c r="F14" s="77"/>
      <c r="G14" s="77"/>
      <c r="H14" s="78">
        <f>SUM(H7:H13)</f>
        <v>7770498.9329999993</v>
      </c>
    </row>
    <row r="15" spans="1:8" x14ac:dyDescent="0.35">
      <c r="C15" s="5"/>
      <c r="D15" s="5"/>
      <c r="E15" s="5"/>
      <c r="H15" s="6"/>
    </row>
    <row r="16" spans="1:8" x14ac:dyDescent="0.35">
      <c r="A16" s="79" t="s">
        <v>74</v>
      </c>
    </row>
    <row r="17" spans="1:1" x14ac:dyDescent="0.35">
      <c r="A17" s="76" t="s">
        <v>83</v>
      </c>
    </row>
    <row r="18" spans="1:1" x14ac:dyDescent="0.35">
      <c r="A18" t="s">
        <v>84</v>
      </c>
    </row>
  </sheetData>
  <mergeCells count="8">
    <mergeCell ref="H5:H6"/>
    <mergeCell ref="F5:F6"/>
    <mergeCell ref="G5:G6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DD2A1-E6D9-4BD8-B3F1-CCBE8FE7872D}">
  <dimension ref="A1:M89"/>
  <sheetViews>
    <sheetView tabSelected="1" topLeftCell="B1" workbookViewId="0">
      <selection activeCell="B88" sqref="B88"/>
    </sheetView>
  </sheetViews>
  <sheetFormatPr defaultColWidth="9" defaultRowHeight="12.5" x14ac:dyDescent="0.25"/>
  <cols>
    <col min="1" max="1" width="5.7265625" style="7" hidden="1" customWidth="1"/>
    <col min="2" max="2" width="46.26953125" style="7" customWidth="1"/>
    <col min="3" max="3" width="9" style="7"/>
    <col min="4" max="4" width="23.08984375" style="8" customWidth="1"/>
    <col min="5" max="5" width="20.26953125" style="8" bestFit="1" customWidth="1"/>
    <col min="6" max="12" width="17.453125" style="8" customWidth="1"/>
    <col min="13" max="13" width="0" style="7" hidden="1" customWidth="1"/>
    <col min="14" max="14" width="3.36328125" style="7" customWidth="1"/>
    <col min="15" max="16384" width="9" style="7"/>
  </cols>
  <sheetData>
    <row r="1" spans="1:13" ht="14.5" x14ac:dyDescent="0.35">
      <c r="B1" s="80" t="s">
        <v>80</v>
      </c>
      <c r="M1" s="7">
        <v>22</v>
      </c>
    </row>
    <row r="3" spans="1:13" customFormat="1" ht="14.5" x14ac:dyDescent="0.35">
      <c r="A3" t="s">
        <v>70</v>
      </c>
      <c r="B3" s="93" t="s">
        <v>81</v>
      </c>
    </row>
    <row r="4" spans="1:13" customFormat="1" ht="14.5" x14ac:dyDescent="0.35">
      <c r="B4" s="87"/>
      <c r="D4" s="89"/>
    </row>
    <row r="5" spans="1:13" customFormat="1" ht="7" customHeight="1" x14ac:dyDescent="0.35"/>
    <row r="6" spans="1:13" ht="60" customHeight="1" x14ac:dyDescent="0.35">
      <c r="A6" s="7">
        <v>1</v>
      </c>
      <c r="D6" s="9" t="s">
        <v>79</v>
      </c>
      <c r="E6" s="10" t="s">
        <v>13</v>
      </c>
      <c r="F6" s="91" t="s">
        <v>5</v>
      </c>
      <c r="G6" s="91" t="s">
        <v>7</v>
      </c>
      <c r="H6" s="91" t="s">
        <v>8</v>
      </c>
      <c r="I6" s="91" t="s">
        <v>10</v>
      </c>
      <c r="J6" s="91" t="s">
        <v>11</v>
      </c>
      <c r="K6" s="91" t="s">
        <v>12</v>
      </c>
      <c r="L6" s="91" t="s">
        <v>76</v>
      </c>
    </row>
    <row r="7" spans="1:13" hidden="1" x14ac:dyDescent="0.25">
      <c r="A7" s="7">
        <v>2</v>
      </c>
      <c r="B7" s="11" t="s">
        <v>14</v>
      </c>
      <c r="C7" s="12">
        <v>1550</v>
      </c>
      <c r="D7" s="13">
        <f>'[1]2a. Continuity Schedule'!BT24</f>
        <v>0</v>
      </c>
      <c r="E7" s="14" t="s">
        <v>6</v>
      </c>
      <c r="F7" s="13">
        <f>IFERROR(IF(F$6="",0,IF($E7="kWh",VLOOKUP(F$6,'[1]4. Billing Determinants'!$B$19:$R$41,4,0)/'[1]4. Billing Determinants'!$E$41*$D7,IF($E7="kW",VLOOKUP(F$6,'[1]4. Billing Determinants'!$B$19:$R$41,5,0)/'[1]4. Billing Determinants'!$F$41*$D7,IF($E7="Non-RPP kWh",VLOOKUP(F$6,'[1]4. Billing Determinants'!$B$19:$R$41,6,0)/'[1]4. Billing Determinants'!$G$41*$D7,IF($E7="Distribution Rev.",VLOOKUP(F$6,'[1]4. Billing Determinants'!$B$19:$R$41,8,0)/'[1]4. Billing Determinants'!$I$41*$D7, VLOOKUP(F$6,'[1]4. Billing Determinants'!$B$19:$R$41,3,0)/'[1]4. Billing Determinants'!$D$41*$D7))))),0)</f>
        <v>0</v>
      </c>
      <c r="G7" s="13">
        <f>IFERROR(IF(G$6="",0,IF($E7="kWh",VLOOKUP(G$6,'[1]4. Billing Determinants'!$B$19:$R$41,4,0)/'[1]4. Billing Determinants'!$E$41*$D7,IF($E7="kW",VLOOKUP(G$6,'[1]4. Billing Determinants'!$B$19:$R$41,5,0)/'[1]4. Billing Determinants'!$F$41*$D7,IF($E7="Non-RPP kWh",VLOOKUP(G$6,'[1]4. Billing Determinants'!$B$19:$R$41,6,0)/'[1]4. Billing Determinants'!$G$41*$D7,IF($E7="Distribution Rev.",VLOOKUP(G$6,'[1]4. Billing Determinants'!$B$19:$R$41,8,0)/'[1]4. Billing Determinants'!$I$41*$D7, VLOOKUP(G$6,'[1]4. Billing Determinants'!$B$19:$R$41,3,0)/'[1]4. Billing Determinants'!$D$41*$D7))))),0)</f>
        <v>0</v>
      </c>
      <c r="H7" s="13">
        <f>IFERROR(IF(H$6="",0,IF($E7="kWh",VLOOKUP(H$6,'[1]4. Billing Determinants'!$B$19:$R$41,4,0)/'[1]4. Billing Determinants'!$E$41*$D7,IF($E7="kW",VLOOKUP(H$6,'[1]4. Billing Determinants'!$B$19:$R$41,5,0)/'[1]4. Billing Determinants'!$F$41*$D7,IF($E7="Non-RPP kWh",VLOOKUP(H$6,'[1]4. Billing Determinants'!$B$19:$R$41,6,0)/'[1]4. Billing Determinants'!$G$41*$D7,IF($E7="Distribution Rev.",VLOOKUP(H$6,'[1]4. Billing Determinants'!$B$19:$R$41,8,0)/'[1]4. Billing Determinants'!$I$41*$D7, VLOOKUP(H$6,'[1]4. Billing Determinants'!$B$19:$R$41,3,0)/'[1]4. Billing Determinants'!$D$41*$D7))))),0)</f>
        <v>0</v>
      </c>
      <c r="I7" s="13">
        <f>IFERROR(IF(I$6="",0,IF($E7="kWh",VLOOKUP(I$6,'[1]4. Billing Determinants'!$B$19:$R$41,4,0)/'[1]4. Billing Determinants'!$E$41*$D7,IF($E7="kW",VLOOKUP(I$6,'[1]4. Billing Determinants'!$B$19:$R$41,5,0)/'[1]4. Billing Determinants'!$F$41*$D7,IF($E7="Non-RPP kWh",VLOOKUP(I$6,'[1]4. Billing Determinants'!$B$19:$R$41,6,0)/'[1]4. Billing Determinants'!$G$41*$D7,IF($E7="Distribution Rev.",VLOOKUP(I$6,'[1]4. Billing Determinants'!$B$19:$R$41,8,0)/'[1]4. Billing Determinants'!$I$41*$D7, VLOOKUP(I$6,'[1]4. Billing Determinants'!$B$19:$R$41,3,0)/'[1]4. Billing Determinants'!$D$41*$D7))))),0)</f>
        <v>0</v>
      </c>
      <c r="J7" s="13">
        <f>IFERROR(IF(J$6="",0,IF($E7="kWh",VLOOKUP(J$6,'[1]4. Billing Determinants'!$B$19:$R$41,4,0)/'[1]4. Billing Determinants'!$E$41*$D7,IF($E7="kW",VLOOKUP(J$6,'[1]4. Billing Determinants'!$B$19:$R$41,5,0)/'[1]4. Billing Determinants'!$F$41*$D7,IF($E7="Non-RPP kWh",VLOOKUP(J$6,'[1]4. Billing Determinants'!$B$19:$R$41,6,0)/'[1]4. Billing Determinants'!$G$41*$D7,IF($E7="Distribution Rev.",VLOOKUP(J$6,'[1]4. Billing Determinants'!$B$19:$R$41,8,0)/'[1]4. Billing Determinants'!$I$41*$D7, VLOOKUP(J$6,'[1]4. Billing Determinants'!$B$19:$R$41,3,0)/'[1]4. Billing Determinants'!$D$41*$D7))))),0)</f>
        <v>0</v>
      </c>
      <c r="K7" s="13">
        <f>IFERROR(IF(K$6="",0,IF($E7="kWh",VLOOKUP(K$6,'[1]4. Billing Determinants'!$B$19:$R$41,4,0)/'[1]4. Billing Determinants'!$E$41*$D7,IF($E7="kW",VLOOKUP(K$6,'[1]4. Billing Determinants'!$B$19:$R$41,5,0)/'[1]4. Billing Determinants'!$F$41*$D7,IF($E7="Non-RPP kWh",VLOOKUP(K$6,'[1]4. Billing Determinants'!$B$19:$R$41,6,0)/'[1]4. Billing Determinants'!$G$41*$D7,IF($E7="Distribution Rev.",VLOOKUP(K$6,'[1]4. Billing Determinants'!$B$19:$R$41,8,0)/'[1]4. Billing Determinants'!$I$41*$D7, VLOOKUP(K$6,'[1]4. Billing Determinants'!$B$19:$R$41,3,0)/'[1]4. Billing Determinants'!$D$41*$D7))))),0)</f>
        <v>0</v>
      </c>
      <c r="L7" s="13">
        <f>IFERROR(IF(L$6="",0,IF($E7="kWh",VLOOKUP(L$6,'[1]4. Billing Determinants'!$B$19:$R$41,4,0)/'[1]4. Billing Determinants'!$E$41*$D7,IF($E7="kW",VLOOKUP(L$6,'[1]4. Billing Determinants'!$B$19:$R$41,5,0)/'[1]4. Billing Determinants'!$F$41*$D7,IF($E7="Non-RPP kWh",VLOOKUP(L$6,'[1]4. Billing Determinants'!$B$19:$R$41,6,0)/'[1]4. Billing Determinants'!$G$41*$D7,IF($E7="Distribution Rev.",VLOOKUP(L$6,'[1]4. Billing Determinants'!$B$19:$R$41,8,0)/'[1]4. Billing Determinants'!$I$41*$D7, VLOOKUP(L$6,'[1]4. Billing Determinants'!$B$19:$R$41,3,0)/'[1]4. Billing Determinants'!$D$41*$D7))))),0)</f>
        <v>0</v>
      </c>
    </row>
    <row r="8" spans="1:13" hidden="1" x14ac:dyDescent="0.25">
      <c r="A8" s="7">
        <v>3</v>
      </c>
      <c r="B8" s="11" t="s">
        <v>15</v>
      </c>
      <c r="C8" s="12">
        <v>1551</v>
      </c>
      <c r="D8" s="13">
        <f>'[1]2a. Continuity Schedule'!BT25</f>
        <v>0</v>
      </c>
      <c r="E8" s="15" t="s">
        <v>2</v>
      </c>
      <c r="F8" s="16">
        <f>(33536/(33536+3527))*D8</f>
        <v>0</v>
      </c>
      <c r="G8" s="16">
        <f>(3527/(33536+3527))*D8</f>
        <v>0</v>
      </c>
      <c r="H8" s="16">
        <v>0</v>
      </c>
      <c r="I8" s="13">
        <v>0</v>
      </c>
      <c r="J8" s="13">
        <v>0</v>
      </c>
      <c r="K8" s="13">
        <v>0</v>
      </c>
      <c r="L8" s="13">
        <v>0</v>
      </c>
    </row>
    <row r="9" spans="1:13" hidden="1" x14ac:dyDescent="0.25">
      <c r="A9" s="7">
        <v>4</v>
      </c>
      <c r="B9" s="11" t="s">
        <v>16</v>
      </c>
      <c r="C9" s="12">
        <v>1580</v>
      </c>
      <c r="D9" s="13">
        <f>IF('[1]7. Rate Rider Calculations'!I70="",'[1]2a. Continuity Schedule'!BT26,'[1]2a. Continuity Schedule'!BT26+'[1]2a. Continuity Schedule'!BT28)</f>
        <v>0</v>
      </c>
      <c r="E9" s="14" t="s">
        <v>6</v>
      </c>
      <c r="F9" s="13">
        <f>IFERROR(IF(F$6="",0,IF($E9="kWh",VLOOKUP(F$6,'[1]4. Billing Determinants'!$B$19:$R$41,11,0)/'[1]4. Billing Determinants'!$L$41*$D9,IF($E9="kW",VLOOKUP(F$6,'[1]4. Billing Determinants'!$B$19:$R$41,12,0)/'[1]4. Billing Determinants'!$M$41*$D9,))),0)</f>
        <v>0</v>
      </c>
      <c r="G9" s="13">
        <f>IFERROR(IF(G$6="",0,IF($E9="kWh",VLOOKUP(G$6,'[1]4. Billing Determinants'!$B$19:$R$41,11,0)/'[1]4. Billing Determinants'!$L$41*$D9,IF($E9="kW",VLOOKUP(G$6,'[1]4. Billing Determinants'!$B$19:$R$41,12,0)/'[1]4. Billing Determinants'!$M$41*$D9,))),0)</f>
        <v>0</v>
      </c>
      <c r="H9" s="13">
        <f>IFERROR(IF(H$6="",0,IF($E9="kWh",VLOOKUP(H$6,'[1]4. Billing Determinants'!$B$19:$R$41,11,0)/'[1]4. Billing Determinants'!$L$41*$D9,IF($E9="kW",VLOOKUP(H$6,'[1]4. Billing Determinants'!$B$19:$R$41,12,0)/'[1]4. Billing Determinants'!$M$41*$D9,))),0)</f>
        <v>0</v>
      </c>
      <c r="I9" s="13">
        <f>IFERROR(IF(I$6="",0,IF($E9="kWh",VLOOKUP(I$6,'[1]4. Billing Determinants'!$B$19:$R$41,11,0)/'[1]4. Billing Determinants'!$L$41*$D9,IF($E9="kW",VLOOKUP(I$6,'[1]4. Billing Determinants'!$B$19:$R$41,12,0)/'[1]4. Billing Determinants'!$M$41*$D9,))),0)</f>
        <v>0</v>
      </c>
      <c r="J9" s="13">
        <f>IFERROR(IF(J$6="",0,IF($E9="kWh",VLOOKUP(J$6,'[1]4. Billing Determinants'!$B$19:$R$41,11,0)/'[1]4. Billing Determinants'!$L$41*$D9,IF($E9="kW",VLOOKUP(J$6,'[1]4. Billing Determinants'!$B$19:$R$41,12,0)/'[1]4. Billing Determinants'!$M$41*$D9,))),0)</f>
        <v>0</v>
      </c>
      <c r="K9" s="13">
        <f>IFERROR(IF(K$6="",0,IF($E9="kWh",VLOOKUP(K$6,'[1]4. Billing Determinants'!$B$19:$R$41,11,0)/'[1]4. Billing Determinants'!$L$41*$D9,IF($E9="kW",VLOOKUP(K$6,'[1]4. Billing Determinants'!$B$19:$R$41,12,0)/'[1]4. Billing Determinants'!$M$41*$D9,))),0)</f>
        <v>0</v>
      </c>
      <c r="L9" s="13">
        <f>IFERROR(IF(L$6="",0,IF($E9="kWh",VLOOKUP(L$6,'[1]4. Billing Determinants'!$B$19:$R$41,11,0)/'[1]4. Billing Determinants'!$L$41*$D9,IF($E9="kW",VLOOKUP(L$6,'[1]4. Billing Determinants'!$B$19:$R$41,12,0)/'[1]4. Billing Determinants'!$M$41*$D9,))),0)</f>
        <v>0</v>
      </c>
    </row>
    <row r="10" spans="1:13" hidden="1" x14ac:dyDescent="0.25">
      <c r="A10" s="7">
        <v>5</v>
      </c>
      <c r="B10" s="11" t="s">
        <v>17</v>
      </c>
      <c r="C10" s="12">
        <v>1584</v>
      </c>
      <c r="D10" s="13">
        <f>'[1]2a. Continuity Schedule'!BT29</f>
        <v>0</v>
      </c>
      <c r="E10" s="14" t="s">
        <v>6</v>
      </c>
      <c r="F10" s="13">
        <f>IFERROR(IF(F$6="",0,IF($E10="kWh",VLOOKUP(F$6,'[1]4. Billing Determinants'!$B$19:$R$41,4,0)/'[1]4. Billing Determinants'!$E$41*$D10,IF($E10="kW",VLOOKUP(F$6,'[1]4. Billing Determinants'!$B$19:$R$41,5,0)/'[1]4. Billing Determinants'!$F$41*$D10,IF($E10="Non-RPP kWh",VLOOKUP(F$6,'[1]4. Billing Determinants'!$B$19:$R$41,6,0)/'[1]4. Billing Determinants'!$G$41*$D10,IF($E10="Distribution Rev.",VLOOKUP(F$6,'[1]4. Billing Determinants'!$B$19:$R$41,8,0)/'[1]4. Billing Determinants'!$I$41*$D10, VLOOKUP(F$6,'[1]4. Billing Determinants'!$B$19:$R$41,3,0)/'[1]4. Billing Determinants'!$D$41*$D10))))),0)</f>
        <v>0</v>
      </c>
      <c r="G10" s="13">
        <f>IFERROR(IF(G$6="",0,IF($E10="kWh",VLOOKUP(G$6,'[1]4. Billing Determinants'!$B$19:$R$41,4,0)/'[1]4. Billing Determinants'!$E$41*$D10,IF($E10="kW",VLOOKUP(G$6,'[1]4. Billing Determinants'!$B$19:$R$41,5,0)/'[1]4. Billing Determinants'!$F$41*$D10,IF($E10="Non-RPP kWh",VLOOKUP(G$6,'[1]4. Billing Determinants'!$B$19:$R$41,6,0)/'[1]4. Billing Determinants'!$G$41*$D10,IF($E10="Distribution Rev.",VLOOKUP(G$6,'[1]4. Billing Determinants'!$B$19:$R$41,8,0)/'[1]4. Billing Determinants'!$I$41*$D10, VLOOKUP(G$6,'[1]4. Billing Determinants'!$B$19:$R$41,3,0)/'[1]4. Billing Determinants'!$D$41*$D10))))),0)</f>
        <v>0</v>
      </c>
      <c r="H10" s="13">
        <f>IFERROR(IF(H$6="",0,IF($E10="kWh",VLOOKUP(H$6,'[1]4. Billing Determinants'!$B$19:$R$41,4,0)/'[1]4. Billing Determinants'!$E$41*$D10,IF($E10="kW",VLOOKUP(H$6,'[1]4. Billing Determinants'!$B$19:$R$41,5,0)/'[1]4. Billing Determinants'!$F$41*$D10,IF($E10="Non-RPP kWh",VLOOKUP(H$6,'[1]4. Billing Determinants'!$B$19:$R$41,6,0)/'[1]4. Billing Determinants'!$G$41*$D10,IF($E10="Distribution Rev.",VLOOKUP(H$6,'[1]4. Billing Determinants'!$B$19:$R$41,8,0)/'[1]4. Billing Determinants'!$I$41*$D10, VLOOKUP(H$6,'[1]4. Billing Determinants'!$B$19:$R$41,3,0)/'[1]4. Billing Determinants'!$D$41*$D10))))),0)</f>
        <v>0</v>
      </c>
      <c r="I10" s="13">
        <f>IFERROR(IF(I$6="",0,IF($E10="kWh",VLOOKUP(I$6,'[1]4. Billing Determinants'!$B$19:$R$41,4,0)/'[1]4. Billing Determinants'!$E$41*$D10,IF($E10="kW",VLOOKUP(I$6,'[1]4. Billing Determinants'!$B$19:$R$41,5,0)/'[1]4. Billing Determinants'!$F$41*$D10,IF($E10="Non-RPP kWh",VLOOKUP(I$6,'[1]4. Billing Determinants'!$B$19:$R$41,6,0)/'[1]4. Billing Determinants'!$G$41*$D10,IF($E10="Distribution Rev.",VLOOKUP(I$6,'[1]4. Billing Determinants'!$B$19:$R$41,8,0)/'[1]4. Billing Determinants'!$I$41*$D10, VLOOKUP(I$6,'[1]4. Billing Determinants'!$B$19:$R$41,3,0)/'[1]4. Billing Determinants'!$D$41*$D10))))),0)</f>
        <v>0</v>
      </c>
      <c r="J10" s="13">
        <f>IFERROR(IF(J$6="",0,IF($E10="kWh",VLOOKUP(J$6,'[1]4. Billing Determinants'!$B$19:$R$41,4,0)/'[1]4. Billing Determinants'!$E$41*$D10,IF($E10="kW",VLOOKUP(J$6,'[1]4. Billing Determinants'!$B$19:$R$41,5,0)/'[1]4. Billing Determinants'!$F$41*$D10,IF($E10="Non-RPP kWh",VLOOKUP(J$6,'[1]4. Billing Determinants'!$B$19:$R$41,6,0)/'[1]4. Billing Determinants'!$G$41*$D10,IF($E10="Distribution Rev.",VLOOKUP(J$6,'[1]4. Billing Determinants'!$B$19:$R$41,8,0)/'[1]4. Billing Determinants'!$I$41*$D10, VLOOKUP(J$6,'[1]4. Billing Determinants'!$B$19:$R$41,3,0)/'[1]4. Billing Determinants'!$D$41*$D10))))),0)</f>
        <v>0</v>
      </c>
      <c r="K10" s="13">
        <f>IFERROR(IF(K$6="",0,IF($E10="kWh",VLOOKUP(K$6,'[1]4. Billing Determinants'!$B$19:$R$41,4,0)/'[1]4. Billing Determinants'!$E$41*$D10,IF($E10="kW",VLOOKUP(K$6,'[1]4. Billing Determinants'!$B$19:$R$41,5,0)/'[1]4. Billing Determinants'!$F$41*$D10,IF($E10="Non-RPP kWh",VLOOKUP(K$6,'[1]4. Billing Determinants'!$B$19:$R$41,6,0)/'[1]4. Billing Determinants'!$G$41*$D10,IF($E10="Distribution Rev.",VLOOKUP(K$6,'[1]4. Billing Determinants'!$B$19:$R$41,8,0)/'[1]4. Billing Determinants'!$I$41*$D10, VLOOKUP(K$6,'[1]4. Billing Determinants'!$B$19:$R$41,3,0)/'[1]4. Billing Determinants'!$D$41*$D10))))),0)</f>
        <v>0</v>
      </c>
      <c r="L10" s="13">
        <f>IFERROR(IF(L$6="",0,IF($E10="kWh",VLOOKUP(L$6,'[1]4. Billing Determinants'!$B$19:$R$41,4,0)/'[1]4. Billing Determinants'!$E$41*$D10,IF($E10="kW",VLOOKUP(L$6,'[1]4. Billing Determinants'!$B$19:$R$41,5,0)/'[1]4. Billing Determinants'!$F$41*$D10,IF($E10="Non-RPP kWh",VLOOKUP(L$6,'[1]4. Billing Determinants'!$B$19:$R$41,6,0)/'[1]4. Billing Determinants'!$G$41*$D10,IF($E10="Distribution Rev.",VLOOKUP(L$6,'[1]4. Billing Determinants'!$B$19:$R$41,8,0)/'[1]4. Billing Determinants'!$I$41*$D10, VLOOKUP(L$6,'[1]4. Billing Determinants'!$B$19:$R$41,3,0)/'[1]4. Billing Determinants'!$D$41*$D10))))),0)</f>
        <v>0</v>
      </c>
    </row>
    <row r="11" spans="1:13" hidden="1" x14ac:dyDescent="0.25">
      <c r="A11" s="7">
        <v>6</v>
      </c>
      <c r="B11" s="11" t="s">
        <v>18</v>
      </c>
      <c r="C11" s="12">
        <v>1586</v>
      </c>
      <c r="D11" s="13">
        <f>'[1]2a. Continuity Schedule'!BT30</f>
        <v>0</v>
      </c>
      <c r="E11" s="14" t="s">
        <v>6</v>
      </c>
      <c r="F11" s="13">
        <f>IFERROR(IF(F$6="",0,IF($E11="kWh",VLOOKUP(F$6,'[1]4. Billing Determinants'!$B$19:$R$41,4,0)/'[1]4. Billing Determinants'!$E$41*$D11,IF($E11="kW",VLOOKUP(F$6,'[1]4. Billing Determinants'!$B$19:$R$41,5,0)/'[1]4. Billing Determinants'!$F$41*$D11,IF($E11="Non-RPP kWh",VLOOKUP(F$6,'[1]4. Billing Determinants'!$B$19:$R$41,6,0)/'[1]4. Billing Determinants'!$G$41*$D11,IF($E11="Distribution Rev.",VLOOKUP(F$6,'[1]4. Billing Determinants'!$B$19:$R$41,8,0)/'[1]4. Billing Determinants'!$I$41*$D11, VLOOKUP(F$6,'[1]4. Billing Determinants'!$B$19:$R$41,3,0)/'[1]4. Billing Determinants'!$D$41*$D11))))),0)</f>
        <v>0</v>
      </c>
      <c r="G11" s="13">
        <f>IFERROR(IF(G$6="",0,IF($E11="kWh",VLOOKUP(G$6,'[1]4. Billing Determinants'!$B$19:$R$41,4,0)/'[1]4. Billing Determinants'!$E$41*$D11,IF($E11="kW",VLOOKUP(G$6,'[1]4. Billing Determinants'!$B$19:$R$41,5,0)/'[1]4. Billing Determinants'!$F$41*$D11,IF($E11="Non-RPP kWh",VLOOKUP(G$6,'[1]4. Billing Determinants'!$B$19:$R$41,6,0)/'[1]4. Billing Determinants'!$G$41*$D11,IF($E11="Distribution Rev.",VLOOKUP(G$6,'[1]4. Billing Determinants'!$B$19:$R$41,8,0)/'[1]4. Billing Determinants'!$I$41*$D11, VLOOKUP(G$6,'[1]4. Billing Determinants'!$B$19:$R$41,3,0)/'[1]4. Billing Determinants'!$D$41*$D11))))),0)</f>
        <v>0</v>
      </c>
      <c r="H11" s="13">
        <f>IFERROR(IF(H$6="",0,IF($E11="kWh",VLOOKUP(H$6,'[1]4. Billing Determinants'!$B$19:$R$41,4,0)/'[1]4. Billing Determinants'!$E$41*$D11,IF($E11="kW",VLOOKUP(H$6,'[1]4. Billing Determinants'!$B$19:$R$41,5,0)/'[1]4. Billing Determinants'!$F$41*$D11,IF($E11="Non-RPP kWh",VLOOKUP(H$6,'[1]4. Billing Determinants'!$B$19:$R$41,6,0)/'[1]4. Billing Determinants'!$G$41*$D11,IF($E11="Distribution Rev.",VLOOKUP(H$6,'[1]4. Billing Determinants'!$B$19:$R$41,8,0)/'[1]4. Billing Determinants'!$I$41*$D11, VLOOKUP(H$6,'[1]4. Billing Determinants'!$B$19:$R$41,3,0)/'[1]4. Billing Determinants'!$D$41*$D11))))),0)</f>
        <v>0</v>
      </c>
      <c r="I11" s="13">
        <f>IFERROR(IF(I$6="",0,IF($E11="kWh",VLOOKUP(I$6,'[1]4. Billing Determinants'!$B$19:$R$41,4,0)/'[1]4. Billing Determinants'!$E$41*$D11,IF($E11="kW",VLOOKUP(I$6,'[1]4. Billing Determinants'!$B$19:$R$41,5,0)/'[1]4. Billing Determinants'!$F$41*$D11,IF($E11="Non-RPP kWh",VLOOKUP(I$6,'[1]4. Billing Determinants'!$B$19:$R$41,6,0)/'[1]4. Billing Determinants'!$G$41*$D11,IF($E11="Distribution Rev.",VLOOKUP(I$6,'[1]4. Billing Determinants'!$B$19:$R$41,8,0)/'[1]4. Billing Determinants'!$I$41*$D11, VLOOKUP(I$6,'[1]4. Billing Determinants'!$B$19:$R$41,3,0)/'[1]4. Billing Determinants'!$D$41*$D11))))),0)</f>
        <v>0</v>
      </c>
      <c r="J11" s="13">
        <f>IFERROR(IF(J$6="",0,IF($E11="kWh",VLOOKUP(J$6,'[1]4. Billing Determinants'!$B$19:$R$41,4,0)/'[1]4. Billing Determinants'!$E$41*$D11,IF($E11="kW",VLOOKUP(J$6,'[1]4. Billing Determinants'!$B$19:$R$41,5,0)/'[1]4. Billing Determinants'!$F$41*$D11,IF($E11="Non-RPP kWh",VLOOKUP(J$6,'[1]4. Billing Determinants'!$B$19:$R$41,6,0)/'[1]4. Billing Determinants'!$G$41*$D11,IF($E11="Distribution Rev.",VLOOKUP(J$6,'[1]4. Billing Determinants'!$B$19:$R$41,8,0)/'[1]4. Billing Determinants'!$I$41*$D11, VLOOKUP(J$6,'[1]4. Billing Determinants'!$B$19:$R$41,3,0)/'[1]4. Billing Determinants'!$D$41*$D11))))),0)</f>
        <v>0</v>
      </c>
      <c r="K11" s="13">
        <f>IFERROR(IF(K$6="",0,IF($E11="kWh",VLOOKUP(K$6,'[1]4. Billing Determinants'!$B$19:$R$41,4,0)/'[1]4. Billing Determinants'!$E$41*$D11,IF($E11="kW",VLOOKUP(K$6,'[1]4. Billing Determinants'!$B$19:$R$41,5,0)/'[1]4. Billing Determinants'!$F$41*$D11,IF($E11="Non-RPP kWh",VLOOKUP(K$6,'[1]4. Billing Determinants'!$B$19:$R$41,6,0)/'[1]4. Billing Determinants'!$G$41*$D11,IF($E11="Distribution Rev.",VLOOKUP(K$6,'[1]4. Billing Determinants'!$B$19:$R$41,8,0)/'[1]4. Billing Determinants'!$I$41*$D11, VLOOKUP(K$6,'[1]4. Billing Determinants'!$B$19:$R$41,3,0)/'[1]4. Billing Determinants'!$D$41*$D11))))),0)</f>
        <v>0</v>
      </c>
      <c r="L11" s="13">
        <f>IFERROR(IF(L$6="",0,IF($E11="kWh",VLOOKUP(L$6,'[1]4. Billing Determinants'!$B$19:$R$41,4,0)/'[1]4. Billing Determinants'!$E$41*$D11,IF($E11="kW",VLOOKUP(L$6,'[1]4. Billing Determinants'!$B$19:$R$41,5,0)/'[1]4. Billing Determinants'!$F$41*$D11,IF($E11="Non-RPP kWh",VLOOKUP(L$6,'[1]4. Billing Determinants'!$B$19:$R$41,6,0)/'[1]4. Billing Determinants'!$G$41*$D11,IF($E11="Distribution Rev.",VLOOKUP(L$6,'[1]4. Billing Determinants'!$B$19:$R$41,8,0)/'[1]4. Billing Determinants'!$I$41*$D11, VLOOKUP(L$6,'[1]4. Billing Determinants'!$B$19:$R$41,3,0)/'[1]4. Billing Determinants'!$D$41*$D11))))),0)</f>
        <v>0</v>
      </c>
    </row>
    <row r="12" spans="1:13" hidden="1" x14ac:dyDescent="0.25">
      <c r="A12" s="7">
        <v>7</v>
      </c>
      <c r="B12" s="11" t="s">
        <v>19</v>
      </c>
      <c r="C12" s="12">
        <v>1588</v>
      </c>
      <c r="D12" s="13">
        <f>'[1]2a. Continuity Schedule'!BT31</f>
        <v>0</v>
      </c>
      <c r="E12" s="14" t="s">
        <v>6</v>
      </c>
      <c r="F12" s="13">
        <f>IFERROR(IF(F$6="",0,IF($E12="kWh",VLOOKUP(F$6,'[1]4. Billing Determinants'!$B$19:$R$41,11,0)/'[1]4. Billing Determinants'!$L$41*$D12,IF($E12="kW",VLOOKUP(F$6,'[1]4. Billing Determinants'!$B$19:$R$41,12,0)/'[1]4. Billing Determinants'!$M$41*$D12,))),0)</f>
        <v>0</v>
      </c>
      <c r="G12" s="13">
        <f>IFERROR(IF(G$6="",0,IF($E12="kWh",VLOOKUP(G$6,'[1]4. Billing Determinants'!$B$19:$R$41,11,0)/'[1]4. Billing Determinants'!$L$41*$D12,IF($E12="kW",VLOOKUP(G$6,'[1]4. Billing Determinants'!$B$19:$R$41,12,0)/'[1]4. Billing Determinants'!$M$41*$D12,))),0)</f>
        <v>0</v>
      </c>
      <c r="H12" s="13">
        <f>IFERROR(IF(H$6="",0,IF($E12="kWh",VLOOKUP(H$6,'[1]4. Billing Determinants'!$B$19:$R$41,11,0)/'[1]4. Billing Determinants'!$L$41*$D12,IF($E12="kW",VLOOKUP(H$6,'[1]4. Billing Determinants'!$B$19:$R$41,12,0)/'[1]4. Billing Determinants'!$M$41*$D12,))),0)</f>
        <v>0</v>
      </c>
      <c r="I12" s="13">
        <f>IFERROR(IF(I$6="",0,IF($E12="kWh",VLOOKUP(I$6,'[1]4. Billing Determinants'!$B$19:$R$41,11,0)/'[1]4. Billing Determinants'!$L$41*$D12,IF($E12="kW",VLOOKUP(I$6,'[1]4. Billing Determinants'!$B$19:$R$41,12,0)/'[1]4. Billing Determinants'!$M$41*$D12,))),0)</f>
        <v>0</v>
      </c>
      <c r="J12" s="13">
        <f>IFERROR(IF(J$6="",0,IF($E12="kWh",VLOOKUP(J$6,'[1]4. Billing Determinants'!$B$19:$R$41,11,0)/'[1]4. Billing Determinants'!$L$41*$D12,IF($E12="kW",VLOOKUP(J$6,'[1]4. Billing Determinants'!$B$19:$R$41,12,0)/'[1]4. Billing Determinants'!$M$41*$D12,))),0)</f>
        <v>0</v>
      </c>
      <c r="K12" s="13">
        <f>IFERROR(IF(K$6="",0,IF($E12="kWh",VLOOKUP(K$6,'[1]4. Billing Determinants'!$B$19:$R$41,11,0)/'[1]4. Billing Determinants'!$L$41*$D12,IF($E12="kW",VLOOKUP(K$6,'[1]4. Billing Determinants'!$B$19:$R$41,12,0)/'[1]4. Billing Determinants'!$M$41*$D12,))),0)</f>
        <v>0</v>
      </c>
      <c r="L12" s="13">
        <f>IFERROR(IF(L$6="",0,IF($E12="kWh",VLOOKUP(L$6,'[1]4. Billing Determinants'!$B$19:$R$41,11,0)/'[1]4. Billing Determinants'!$L$41*$D12,IF($E12="kW",VLOOKUP(L$6,'[1]4. Billing Determinants'!$B$19:$R$41,12,0)/'[1]4. Billing Determinants'!$M$41*$D12,))),0)</f>
        <v>0</v>
      </c>
    </row>
    <row r="13" spans="1:13" hidden="1" x14ac:dyDescent="0.25">
      <c r="A13" s="7">
        <v>8</v>
      </c>
      <c r="B13" s="11" t="s">
        <v>20</v>
      </c>
      <c r="C13" s="12">
        <v>1589</v>
      </c>
      <c r="D13" s="17">
        <f>'[1]6.1a GA Allocation'!C29</f>
        <v>0</v>
      </c>
      <c r="E13" s="18" t="s">
        <v>21</v>
      </c>
      <c r="F13" s="17">
        <f>IFERROR(IF(F$6="",0,IF($E13="kWh",VLOOKUP(F$6,'[1]4. Billing Determinants'!$B$19:$R$41,4,0)/'[1]4. Billing Determinants'!$E$41*$D13,IF($E13="kW",VLOOKUP(F$6,'[1]4. Billing Determinants'!$B$19:$R$41,5,0)/'[1]4. Billing Determinants'!$F$41*$D13,IF($E13="Non-RPP kWh",VLOOKUP(F$6,'[1]4. Billing Determinants'!$B$19:$T$41,18,0)/'[1]4. Billing Determinants'!$S$41*$D13,IF($E13="Distribution Rev.",VLOOKUP(F$6,'[1]4. Billing Determinants'!$B$19:$R$41,8,0)/'[1]4. Billing Determinants'!$I$41*$D13, VLOOKUP(F$6,'[1]4. Billing Determinants'!$B$19:$R$41,3,0)/'[1]4. Billing Determinants'!$D$41*$D13))))),0)</f>
        <v>0</v>
      </c>
      <c r="G13" s="17">
        <f>IFERROR(IF(G$6="",0,IF($E13="kWh",VLOOKUP(G$6,'[1]4. Billing Determinants'!$B$19:$R$41,4,0)/'[1]4. Billing Determinants'!$E$41*$D13,IF($E13="kW",VLOOKUP(G$6,'[1]4. Billing Determinants'!$B$19:$R$41,5,0)/'[1]4. Billing Determinants'!$F$41*$D13,IF($E13="Non-RPP kWh",VLOOKUP(G$6,'[1]4. Billing Determinants'!$B$19:$T$41,18,0)/'[1]4. Billing Determinants'!$S$41*$D13,IF($E13="Distribution Rev.",VLOOKUP(G$6,'[1]4. Billing Determinants'!$B$19:$R$41,8,0)/'[1]4. Billing Determinants'!$I$41*$D13, VLOOKUP(G$6,'[1]4. Billing Determinants'!$B$19:$R$41,3,0)/'[1]4. Billing Determinants'!$D$41*$D13))))),0)</f>
        <v>0</v>
      </c>
      <c r="H13" s="17">
        <f>IFERROR(IF(H$6="",0,IF($E13="kWh",VLOOKUP(H$6,'[1]4. Billing Determinants'!$B$19:$R$41,4,0)/'[1]4. Billing Determinants'!$E$41*$D13,IF($E13="kW",VLOOKUP(H$6,'[1]4. Billing Determinants'!$B$19:$R$41,5,0)/'[1]4. Billing Determinants'!$F$41*$D13,IF($E13="Non-RPP kWh",VLOOKUP(H$6,'[1]4. Billing Determinants'!$B$19:$T$41,18,0)/'[1]4. Billing Determinants'!$S$41*$D13,IF($E13="Distribution Rev.",VLOOKUP(H$6,'[1]4. Billing Determinants'!$B$19:$R$41,8,0)/'[1]4. Billing Determinants'!$I$41*$D13, VLOOKUP(H$6,'[1]4. Billing Determinants'!$B$19:$R$41,3,0)/'[1]4. Billing Determinants'!$D$41*$D13))))),0)</f>
        <v>0</v>
      </c>
      <c r="I13" s="17">
        <f>IFERROR(IF(I$6="",0,IF($E13="kWh",VLOOKUP(I$6,'[1]4. Billing Determinants'!$B$19:$R$41,4,0)/'[1]4. Billing Determinants'!$E$41*$D13,IF($E13="kW",VLOOKUP(I$6,'[1]4. Billing Determinants'!$B$19:$R$41,5,0)/'[1]4. Billing Determinants'!$F$41*$D13,IF($E13="Non-RPP kWh",VLOOKUP(I$6,'[1]4. Billing Determinants'!$B$19:$T$41,18,0)/'[1]4. Billing Determinants'!$S$41*$D13,IF($E13="Distribution Rev.",VLOOKUP(I$6,'[1]4. Billing Determinants'!$B$19:$R$41,8,0)/'[1]4. Billing Determinants'!$I$41*$D13, VLOOKUP(I$6,'[1]4. Billing Determinants'!$B$19:$R$41,3,0)/'[1]4. Billing Determinants'!$D$41*$D13))))),0)</f>
        <v>0</v>
      </c>
      <c r="J13" s="17">
        <f>IFERROR(IF(J$6="",0,IF($E13="kWh",VLOOKUP(J$6,'[1]4. Billing Determinants'!$B$19:$R$41,4,0)/'[1]4. Billing Determinants'!$E$41*$D13,IF($E13="kW",VLOOKUP(J$6,'[1]4. Billing Determinants'!$B$19:$R$41,5,0)/'[1]4. Billing Determinants'!$F$41*$D13,IF($E13="Non-RPP kWh",VLOOKUP(J$6,'[1]4. Billing Determinants'!$B$19:$T$41,18,0)/'[1]4. Billing Determinants'!$S$41*$D13,IF($E13="Distribution Rev.",VLOOKUP(J$6,'[1]4. Billing Determinants'!$B$19:$R$41,8,0)/'[1]4. Billing Determinants'!$I$41*$D13, VLOOKUP(J$6,'[1]4. Billing Determinants'!$B$19:$R$41,3,0)/'[1]4. Billing Determinants'!$D$41*$D13))))),0)</f>
        <v>0</v>
      </c>
      <c r="K13" s="17">
        <f>IFERROR(IF(K$6="",0,IF($E13="kWh",VLOOKUP(K$6,'[1]4. Billing Determinants'!$B$19:$R$41,4,0)/'[1]4. Billing Determinants'!$E$41*$D13,IF($E13="kW",VLOOKUP(K$6,'[1]4. Billing Determinants'!$B$19:$R$41,5,0)/'[1]4. Billing Determinants'!$F$41*$D13,IF($E13="Non-RPP kWh",VLOOKUP(K$6,'[1]4. Billing Determinants'!$B$19:$T$41,18,0)/'[1]4. Billing Determinants'!$S$41*$D13,IF($E13="Distribution Rev.",VLOOKUP(K$6,'[1]4. Billing Determinants'!$B$19:$R$41,8,0)/'[1]4. Billing Determinants'!$I$41*$D13, VLOOKUP(K$6,'[1]4. Billing Determinants'!$B$19:$R$41,3,0)/'[1]4. Billing Determinants'!$D$41*$D13))))),0)</f>
        <v>0</v>
      </c>
      <c r="L13" s="17">
        <f>IFERROR(IF(L$6="",0,IF($E13="kWh",VLOOKUP(L$6,'[1]4. Billing Determinants'!$B$19:$R$41,4,0)/'[1]4. Billing Determinants'!$E$41*$D13,IF($E13="kW",VLOOKUP(L$6,'[1]4. Billing Determinants'!$B$19:$R$41,5,0)/'[1]4. Billing Determinants'!$F$41*$D13,IF($E13="Non-RPP kWh",VLOOKUP(L$6,'[1]4. Billing Determinants'!$B$19:$T$41,18,0)/'[1]4. Billing Determinants'!$S$41*$D13,IF($E13="Distribution Rev.",VLOOKUP(L$6,'[1]4. Billing Determinants'!$B$19:$R$41,8,0)/'[1]4. Billing Determinants'!$I$41*$D13, VLOOKUP(L$6,'[1]4. Billing Determinants'!$B$19:$R$41,3,0)/'[1]4. Billing Determinants'!$D$41*$D13))))),0)</f>
        <v>0</v>
      </c>
    </row>
    <row r="14" spans="1:13" hidden="1" x14ac:dyDescent="0.25">
      <c r="A14" s="7">
        <v>9</v>
      </c>
      <c r="B14" s="19" t="s">
        <v>22</v>
      </c>
      <c r="C14" s="12">
        <v>1595</v>
      </c>
      <c r="D14" s="13">
        <f>'[1]2a. Continuity Schedule'!BT33</f>
        <v>0</v>
      </c>
      <c r="E14" s="18" t="s">
        <v>23</v>
      </c>
      <c r="F14" s="13">
        <f>IFERROR(IF(F$6="",0,IF($E14="kWh",VLOOKUP(F$6,'[1]4. Billing Determinants'!$B$19:$R$41,4,0)/'[1]4. Billing Determinants'!$E$41*$D14,IF($E14="kW",VLOOKUP(F$6,'[1]4. Billing Determinants'!$B$19:$R$41,5,0)/'[1]4. Billing Determinants'!$F$41*$D14,IF($E14="Non-RPP kWh",VLOOKUP(F$6,'[1]4. Billing Determinants'!$B$19:$R$41,6,0)/'[1]4. Billing Determinants'!$G$41*$D14, VLOOKUP(F$6,'[1]4. Billing Determinants'!$B$19:$AA$41,20,0)*$D14)))),0)</f>
        <v>0</v>
      </c>
      <c r="G14" s="13">
        <f>IFERROR(IF(G$6="",0,IF($E14="kWh",VLOOKUP(G$6,'[1]4. Billing Determinants'!$B$19:$R$41,4,0)/'[1]4. Billing Determinants'!$E$41*$D14,IF($E14="kW",VLOOKUP(G$6,'[1]4. Billing Determinants'!$B$19:$R$41,5,0)/'[1]4. Billing Determinants'!$F$41*$D14,IF($E14="Non-RPP kWh",VLOOKUP(G$6,'[1]4. Billing Determinants'!$B$19:$R$41,6,0)/'[1]4. Billing Determinants'!$G$41*$D14, VLOOKUP(G$6,'[1]4. Billing Determinants'!$B$19:$AA$41,20,0)*$D14)))),0)</f>
        <v>0</v>
      </c>
      <c r="H14" s="13">
        <f>IFERROR(IF(H$6="",0,IF($E14="kWh",VLOOKUP(H$6,'[1]4. Billing Determinants'!$B$19:$R$41,4,0)/'[1]4. Billing Determinants'!$E$41*$D14,IF($E14="kW",VLOOKUP(H$6,'[1]4. Billing Determinants'!$B$19:$R$41,5,0)/'[1]4. Billing Determinants'!$F$41*$D14,IF($E14="Non-RPP kWh",VLOOKUP(H$6,'[1]4. Billing Determinants'!$B$19:$R$41,6,0)/'[1]4. Billing Determinants'!$G$41*$D14, VLOOKUP(H$6,'[1]4. Billing Determinants'!$B$19:$AA$41,20,0)*$D14)))),0)</f>
        <v>0</v>
      </c>
      <c r="I14" s="13">
        <f>IFERROR(IF(I$6="",0,IF($E14="kWh",VLOOKUP(I$6,'[1]4. Billing Determinants'!$B$19:$R$41,4,0)/'[1]4. Billing Determinants'!$E$41*$D14,IF($E14="kW",VLOOKUP(I$6,'[1]4. Billing Determinants'!$B$19:$R$41,5,0)/'[1]4. Billing Determinants'!$F$41*$D14,IF($E14="Non-RPP kWh",VLOOKUP(I$6,'[1]4. Billing Determinants'!$B$19:$R$41,6,0)/'[1]4. Billing Determinants'!$G$41*$D14, VLOOKUP(I$6,'[1]4. Billing Determinants'!$B$19:$AA$41,20,0)*$D14)))),0)</f>
        <v>0</v>
      </c>
      <c r="J14" s="13">
        <f>IFERROR(IF(J$6="",0,IF($E14="kWh",VLOOKUP(J$6,'[1]4. Billing Determinants'!$B$19:$R$41,4,0)/'[1]4. Billing Determinants'!$E$41*$D14,IF($E14="kW",VLOOKUP(J$6,'[1]4. Billing Determinants'!$B$19:$R$41,5,0)/'[1]4. Billing Determinants'!$F$41*$D14,IF($E14="Non-RPP kWh",VLOOKUP(J$6,'[1]4. Billing Determinants'!$B$19:$R$41,6,0)/'[1]4. Billing Determinants'!$G$41*$D14, VLOOKUP(J$6,'[1]4. Billing Determinants'!$B$19:$AA$41,20,0)*$D14)))),0)</f>
        <v>0</v>
      </c>
      <c r="K14" s="13">
        <f>IFERROR(IF(K$6="",0,IF($E14="kWh",VLOOKUP(K$6,'[1]4. Billing Determinants'!$B$19:$R$41,4,0)/'[1]4. Billing Determinants'!$E$41*$D14,IF($E14="kW",VLOOKUP(K$6,'[1]4. Billing Determinants'!$B$19:$R$41,5,0)/'[1]4. Billing Determinants'!$F$41*$D14,IF($E14="Non-RPP kWh",VLOOKUP(K$6,'[1]4. Billing Determinants'!$B$19:$R$41,6,0)/'[1]4. Billing Determinants'!$G$41*$D14, VLOOKUP(K$6,'[1]4. Billing Determinants'!$B$19:$AA$41,20,0)*$D14)))),0)</f>
        <v>0</v>
      </c>
      <c r="L14" s="13">
        <f>IFERROR(IF(L$6="",0,IF($E14="kWh",VLOOKUP(L$6,'[1]4. Billing Determinants'!$B$19:$R$41,4,0)/'[1]4. Billing Determinants'!$E$41*$D14,IF($E14="kW",VLOOKUP(L$6,'[1]4. Billing Determinants'!$B$19:$R$41,5,0)/'[1]4. Billing Determinants'!$F$41*$D14,IF($E14="Non-RPP kWh",VLOOKUP(L$6,'[1]4. Billing Determinants'!$B$19:$R$41,6,0)/'[1]4. Billing Determinants'!$G$41*$D14, VLOOKUP(L$6,'[1]4. Billing Determinants'!$B$19:$AA$41,20,0)*$D14)))),0)</f>
        <v>0</v>
      </c>
    </row>
    <row r="15" spans="1:13" hidden="1" x14ac:dyDescent="0.25">
      <c r="A15" s="7">
        <v>10</v>
      </c>
      <c r="B15" s="19" t="s">
        <v>24</v>
      </c>
      <c r="C15" s="12">
        <v>1595</v>
      </c>
      <c r="D15" s="13">
        <f>'[1]2a. Continuity Schedule'!BT34</f>
        <v>0</v>
      </c>
      <c r="E15" s="18" t="s">
        <v>23</v>
      </c>
      <c r="F15" s="20">
        <f>IFERROR(IF(F$6="",0,IF($E15="kWh",VLOOKUP(F$6,'[1]4. Billing Determinants'!$B$19:$R$41,4,0)/'[1]4. Billing Determinants'!$E$41*$D15,IF($E15="kW",VLOOKUP(F$6,'[1]4. Billing Determinants'!$B$19:$R$41,5,0)/'[1]4. Billing Determinants'!$F$41*$D15,IF($E15="Non-RPP kWh",VLOOKUP(F$6,'[1]4. Billing Determinants'!$B$19:$R$41,6,0)/'[1]4. Billing Determinants'!$G$41*$D15,VLOOKUP(F$6,'[1]4. Billing Determinants'!$B$19:$AA$41,21,0)*$D15)))),0)</f>
        <v>0</v>
      </c>
      <c r="G15" s="20">
        <f>IFERROR(IF(G$6="",0,IF($E15="kWh",VLOOKUP(G$6,'[1]4. Billing Determinants'!$B$19:$R$41,4,0)/'[1]4. Billing Determinants'!$E$41*$D15,IF($E15="kW",VLOOKUP(G$6,'[1]4. Billing Determinants'!$B$19:$R$41,5,0)/'[1]4. Billing Determinants'!$F$41*$D15,IF($E15="Non-RPP kWh",VLOOKUP(G$6,'[1]4. Billing Determinants'!$B$19:$R$41,6,0)/'[1]4. Billing Determinants'!$G$41*$D15,VLOOKUP(G$6,'[1]4. Billing Determinants'!$B$19:$AA$41,21,0)*$D15)))),0)</f>
        <v>0</v>
      </c>
      <c r="H15" s="20">
        <f>IFERROR(IF(H$6="",0,IF($E15="kWh",VLOOKUP(H$6,'[1]4. Billing Determinants'!$B$19:$R$41,4,0)/'[1]4. Billing Determinants'!$E$41*$D15,IF($E15="kW",VLOOKUP(H$6,'[1]4. Billing Determinants'!$B$19:$R$41,5,0)/'[1]4. Billing Determinants'!$F$41*$D15,IF($E15="Non-RPP kWh",VLOOKUP(H$6,'[1]4. Billing Determinants'!$B$19:$R$41,6,0)/'[1]4. Billing Determinants'!$G$41*$D15,VLOOKUP(H$6,'[1]4. Billing Determinants'!$B$19:$AA$41,21,0)*$D15)))),0)</f>
        <v>0</v>
      </c>
      <c r="I15" s="20">
        <f>IFERROR(IF(I$6="",0,IF($E15="kWh",VLOOKUP(I$6,'[1]4. Billing Determinants'!$B$19:$R$41,4,0)/'[1]4. Billing Determinants'!$E$41*$D15,IF($E15="kW",VLOOKUP(I$6,'[1]4. Billing Determinants'!$B$19:$R$41,5,0)/'[1]4. Billing Determinants'!$F$41*$D15,IF($E15="Non-RPP kWh",VLOOKUP(I$6,'[1]4. Billing Determinants'!$B$19:$R$41,6,0)/'[1]4. Billing Determinants'!$G$41*$D15,VLOOKUP(I$6,'[1]4. Billing Determinants'!$B$19:$AA$41,21,0)*$D15)))),0)</f>
        <v>0</v>
      </c>
      <c r="J15" s="20">
        <f>IFERROR(IF(J$6="",0,IF($E15="kWh",VLOOKUP(J$6,'[1]4. Billing Determinants'!$B$19:$R$41,4,0)/'[1]4. Billing Determinants'!$E$41*$D15,IF($E15="kW",VLOOKUP(J$6,'[1]4. Billing Determinants'!$B$19:$R$41,5,0)/'[1]4. Billing Determinants'!$F$41*$D15,IF($E15="Non-RPP kWh",VLOOKUP(J$6,'[1]4. Billing Determinants'!$B$19:$R$41,6,0)/'[1]4. Billing Determinants'!$G$41*$D15,VLOOKUP(J$6,'[1]4. Billing Determinants'!$B$19:$AA$41,21,0)*$D15)))),0)</f>
        <v>0</v>
      </c>
      <c r="K15" s="20">
        <f>IFERROR(IF(K$6="",0,IF($E15="kWh",VLOOKUP(K$6,'[1]4. Billing Determinants'!$B$19:$R$41,4,0)/'[1]4. Billing Determinants'!$E$41*$D15,IF($E15="kW",VLOOKUP(K$6,'[1]4. Billing Determinants'!$B$19:$R$41,5,0)/'[1]4. Billing Determinants'!$F$41*$D15,IF($E15="Non-RPP kWh",VLOOKUP(K$6,'[1]4. Billing Determinants'!$B$19:$R$41,6,0)/'[1]4. Billing Determinants'!$G$41*$D15,VLOOKUP(K$6,'[1]4. Billing Determinants'!$B$19:$AA$41,21,0)*$D15)))),0)</f>
        <v>0</v>
      </c>
      <c r="L15" s="20">
        <f>IFERROR(IF(L$6="",0,IF($E15="kWh",VLOOKUP(L$6,'[1]4. Billing Determinants'!$B$19:$R$41,4,0)/'[1]4. Billing Determinants'!$E$41*$D15,IF($E15="kW",VLOOKUP(L$6,'[1]4. Billing Determinants'!$B$19:$R$41,5,0)/'[1]4. Billing Determinants'!$F$41*$D15,IF($E15="Non-RPP kWh",VLOOKUP(L$6,'[1]4. Billing Determinants'!$B$19:$R$41,6,0)/'[1]4. Billing Determinants'!$G$41*$D15,VLOOKUP(L$6,'[1]4. Billing Determinants'!$B$19:$AA$41,21,0)*$D15)))),0)</f>
        <v>0</v>
      </c>
    </row>
    <row r="16" spans="1:13" hidden="1" x14ac:dyDescent="0.25">
      <c r="A16" s="7">
        <v>11</v>
      </c>
      <c r="B16" s="19" t="s">
        <v>25</v>
      </c>
      <c r="C16" s="12">
        <v>1595</v>
      </c>
      <c r="D16" s="13">
        <f>'[1]2a. Continuity Schedule'!BT35</f>
        <v>0</v>
      </c>
      <c r="E16" s="18" t="s">
        <v>23</v>
      </c>
      <c r="F16" s="20">
        <f>IFERROR(IF(F$6="",0,IF($E16="kWh",VLOOKUP(F$6,'[1]4. Billing Determinants'!$B$19:$R$41,4,0)/'[1]4. Billing Determinants'!$E$41*$D16,IF($E16="kW",VLOOKUP(F$6,'[1]4. Billing Determinants'!$B$19:$R$41,5,0)/'[1]4. Billing Determinants'!$F$41*$D16,IF($E16="Non-RPP kWh",VLOOKUP(F$6,'[1]4. Billing Determinants'!$B$19:$R$41,6,0)/'[1]4. Billing Determinants'!$G$41*$D16, VLOOKUP(F$6,'[1]4. Billing Determinants'!$B$19:$AA$41,22,0)*$D16)))),0)</f>
        <v>0</v>
      </c>
      <c r="G16" s="20">
        <f>IFERROR(IF(G$6="",0,IF($E16="kWh",VLOOKUP(G$6,'[1]4. Billing Determinants'!$B$19:$R$41,4,0)/'[1]4. Billing Determinants'!$E$41*$D16,IF($E16="kW",VLOOKUP(G$6,'[1]4. Billing Determinants'!$B$19:$R$41,5,0)/'[1]4. Billing Determinants'!$F$41*$D16,IF($E16="Non-RPP kWh",VLOOKUP(G$6,'[1]4. Billing Determinants'!$B$19:$R$41,6,0)/'[1]4. Billing Determinants'!$G$41*$D16, VLOOKUP(G$6,'[1]4. Billing Determinants'!$B$19:$AA$41,22,0)*$D16)))),0)</f>
        <v>0</v>
      </c>
      <c r="H16" s="20">
        <f>IFERROR(IF(H$6="",0,IF($E16="kWh",VLOOKUP(H$6,'[1]4. Billing Determinants'!$B$19:$R$41,4,0)/'[1]4. Billing Determinants'!$E$41*$D16,IF($E16="kW",VLOOKUP(H$6,'[1]4. Billing Determinants'!$B$19:$R$41,5,0)/'[1]4. Billing Determinants'!$F$41*$D16,IF($E16="Non-RPP kWh",VLOOKUP(H$6,'[1]4. Billing Determinants'!$B$19:$R$41,6,0)/'[1]4. Billing Determinants'!$G$41*$D16, VLOOKUP(H$6,'[1]4. Billing Determinants'!$B$19:$AA$41,22,0)*$D16)))),0)</f>
        <v>0</v>
      </c>
      <c r="I16" s="20">
        <f>IFERROR(IF(I$6="",0,IF($E16="kWh",VLOOKUP(I$6,'[1]4. Billing Determinants'!$B$19:$R$41,4,0)/'[1]4. Billing Determinants'!$E$41*$D16,IF($E16="kW",VLOOKUP(I$6,'[1]4. Billing Determinants'!$B$19:$R$41,5,0)/'[1]4. Billing Determinants'!$F$41*$D16,IF($E16="Non-RPP kWh",VLOOKUP(I$6,'[1]4. Billing Determinants'!$B$19:$R$41,6,0)/'[1]4. Billing Determinants'!$G$41*$D16, VLOOKUP(I$6,'[1]4. Billing Determinants'!$B$19:$AA$41,22,0)*$D16)))),0)</f>
        <v>0</v>
      </c>
      <c r="J16" s="20">
        <f>IFERROR(IF(J$6="",0,IF($E16="kWh",VLOOKUP(J$6,'[1]4. Billing Determinants'!$B$19:$R$41,4,0)/'[1]4. Billing Determinants'!$E$41*$D16,IF($E16="kW",VLOOKUP(J$6,'[1]4. Billing Determinants'!$B$19:$R$41,5,0)/'[1]4. Billing Determinants'!$F$41*$D16,IF($E16="Non-RPP kWh",VLOOKUP(J$6,'[1]4. Billing Determinants'!$B$19:$R$41,6,0)/'[1]4. Billing Determinants'!$G$41*$D16, VLOOKUP(J$6,'[1]4. Billing Determinants'!$B$19:$AA$41,22,0)*$D16)))),0)</f>
        <v>0</v>
      </c>
      <c r="K16" s="20">
        <f>IFERROR(IF(K$6="",0,IF($E16="kWh",VLOOKUP(K$6,'[1]4. Billing Determinants'!$B$19:$R$41,4,0)/'[1]4. Billing Determinants'!$E$41*$D16,IF($E16="kW",VLOOKUP(K$6,'[1]4. Billing Determinants'!$B$19:$R$41,5,0)/'[1]4. Billing Determinants'!$F$41*$D16,IF($E16="Non-RPP kWh",VLOOKUP(K$6,'[1]4. Billing Determinants'!$B$19:$R$41,6,0)/'[1]4. Billing Determinants'!$G$41*$D16, VLOOKUP(K$6,'[1]4. Billing Determinants'!$B$19:$AA$41,22,0)*$D16)))),0)</f>
        <v>0</v>
      </c>
      <c r="L16" s="20">
        <f>IFERROR(IF(L$6="",0,IF($E16="kWh",VLOOKUP(L$6,'[1]4. Billing Determinants'!$B$19:$R$41,4,0)/'[1]4. Billing Determinants'!$E$41*$D16,IF($E16="kW",VLOOKUP(L$6,'[1]4. Billing Determinants'!$B$19:$R$41,5,0)/'[1]4. Billing Determinants'!$F$41*$D16,IF($E16="Non-RPP kWh",VLOOKUP(L$6,'[1]4. Billing Determinants'!$B$19:$R$41,6,0)/'[1]4. Billing Determinants'!$G$41*$D16, VLOOKUP(L$6,'[1]4. Billing Determinants'!$B$19:$AA$41,22,0)*$D16)))),0)</f>
        <v>0</v>
      </c>
    </row>
    <row r="17" spans="1:12" hidden="1" x14ac:dyDescent="0.25">
      <c r="A17" s="7">
        <v>12</v>
      </c>
      <c r="B17" s="19" t="s">
        <v>26</v>
      </c>
      <c r="C17" s="12">
        <v>1595</v>
      </c>
      <c r="D17" s="13">
        <f>'[1]2a. Continuity Schedule'!BT36</f>
        <v>0</v>
      </c>
      <c r="E17" s="18" t="s">
        <v>23</v>
      </c>
      <c r="F17" s="20">
        <f>IFERROR(IF(F$6="",0,IF($E17="kWh",VLOOKUP(F$6,'[1]4. Billing Determinants'!$B$19:$R$41,4,0)/'[1]4. Billing Determinants'!$E$41*$D17,IF($E17="kW",VLOOKUP(F$6,'[1]4. Billing Determinants'!$B$19:$R$41,5,0)/'[1]4. Billing Determinants'!$F$41*$D17,IF($E17="Non-RPP kWh",VLOOKUP(F$6,'[1]4. Billing Determinants'!$B$19:$R$41,6,0)/'[1]4. Billing Determinants'!$G$41*$D17, VLOOKUP(F$6,'[1]4. Billing Determinants'!$B$19:$AA$41,23,0)*$D17)))),0)</f>
        <v>0</v>
      </c>
      <c r="G17" s="20">
        <f>IFERROR(IF(G$6="",0,IF($E17="kWh",VLOOKUP(G$6,'[1]4. Billing Determinants'!$B$19:$R$41,4,0)/'[1]4. Billing Determinants'!$E$41*$D17,IF($E17="kW",VLOOKUP(G$6,'[1]4. Billing Determinants'!$B$19:$R$41,5,0)/'[1]4. Billing Determinants'!$F$41*$D17,IF($E17="Non-RPP kWh",VLOOKUP(G$6,'[1]4. Billing Determinants'!$B$19:$R$41,6,0)/'[1]4. Billing Determinants'!$G$41*$D17, VLOOKUP(G$6,'[1]4. Billing Determinants'!$B$19:$AA$41,23,0)*$D17)))),0)</f>
        <v>0</v>
      </c>
      <c r="H17" s="20">
        <f>IFERROR(IF(H$6="",0,IF($E17="kWh",VLOOKUP(H$6,'[1]4. Billing Determinants'!$B$19:$R$41,4,0)/'[1]4. Billing Determinants'!$E$41*$D17,IF($E17="kW",VLOOKUP(H$6,'[1]4. Billing Determinants'!$B$19:$R$41,5,0)/'[1]4. Billing Determinants'!$F$41*$D17,IF($E17="Non-RPP kWh",VLOOKUP(H$6,'[1]4. Billing Determinants'!$B$19:$R$41,6,0)/'[1]4. Billing Determinants'!$G$41*$D17, VLOOKUP(H$6,'[1]4. Billing Determinants'!$B$19:$AA$41,23,0)*$D17)))),0)</f>
        <v>0</v>
      </c>
      <c r="I17" s="20">
        <f>IFERROR(IF(I$6="",0,IF($E17="kWh",VLOOKUP(I$6,'[1]4. Billing Determinants'!$B$19:$R$41,4,0)/'[1]4. Billing Determinants'!$E$41*$D17,IF($E17="kW",VLOOKUP(I$6,'[1]4. Billing Determinants'!$B$19:$R$41,5,0)/'[1]4. Billing Determinants'!$F$41*$D17,IF($E17="Non-RPP kWh",VLOOKUP(I$6,'[1]4. Billing Determinants'!$B$19:$R$41,6,0)/'[1]4. Billing Determinants'!$G$41*$D17, VLOOKUP(I$6,'[1]4. Billing Determinants'!$B$19:$AA$41,23,0)*$D17)))),0)</f>
        <v>0</v>
      </c>
      <c r="J17" s="20">
        <f>IFERROR(IF(J$6="",0,IF($E17="kWh",VLOOKUP(J$6,'[1]4. Billing Determinants'!$B$19:$R$41,4,0)/'[1]4. Billing Determinants'!$E$41*$D17,IF($E17="kW",VLOOKUP(J$6,'[1]4. Billing Determinants'!$B$19:$R$41,5,0)/'[1]4. Billing Determinants'!$F$41*$D17,IF($E17="Non-RPP kWh",VLOOKUP(J$6,'[1]4. Billing Determinants'!$B$19:$R$41,6,0)/'[1]4. Billing Determinants'!$G$41*$D17, VLOOKUP(J$6,'[1]4. Billing Determinants'!$B$19:$AA$41,23,0)*$D17)))),0)</f>
        <v>0</v>
      </c>
      <c r="K17" s="20">
        <f>IFERROR(IF(K$6="",0,IF($E17="kWh",VLOOKUP(K$6,'[1]4. Billing Determinants'!$B$19:$R$41,4,0)/'[1]4. Billing Determinants'!$E$41*$D17,IF($E17="kW",VLOOKUP(K$6,'[1]4. Billing Determinants'!$B$19:$R$41,5,0)/'[1]4. Billing Determinants'!$F$41*$D17,IF($E17="Non-RPP kWh",VLOOKUP(K$6,'[1]4. Billing Determinants'!$B$19:$R$41,6,0)/'[1]4. Billing Determinants'!$G$41*$D17, VLOOKUP(K$6,'[1]4. Billing Determinants'!$B$19:$AA$41,23,0)*$D17)))),0)</f>
        <v>0</v>
      </c>
      <c r="L17" s="20">
        <f>IFERROR(IF(L$6="",0,IF($E17="kWh",VLOOKUP(L$6,'[1]4. Billing Determinants'!$B$19:$R$41,4,0)/'[1]4. Billing Determinants'!$E$41*$D17,IF($E17="kW",VLOOKUP(L$6,'[1]4. Billing Determinants'!$B$19:$R$41,5,0)/'[1]4. Billing Determinants'!$F$41*$D17,IF($E17="Non-RPP kWh",VLOOKUP(L$6,'[1]4. Billing Determinants'!$B$19:$R$41,6,0)/'[1]4. Billing Determinants'!$G$41*$D17, VLOOKUP(L$6,'[1]4. Billing Determinants'!$B$19:$AA$41,23,0)*$D17)))),0)</f>
        <v>0</v>
      </c>
    </row>
    <row r="18" spans="1:12" hidden="1" x14ac:dyDescent="0.25">
      <c r="A18" s="7">
        <v>13</v>
      </c>
      <c r="B18" s="19" t="s">
        <v>27</v>
      </c>
      <c r="C18" s="12">
        <v>1595</v>
      </c>
      <c r="D18" s="13">
        <f>'[1]2a. Continuity Schedule'!BT37</f>
        <v>0</v>
      </c>
      <c r="E18" s="18" t="s">
        <v>23</v>
      </c>
      <c r="F18" s="20">
        <f>IFERROR(IF(F$6="",0,IF($E18="kWh",VLOOKUP(F$6,'[1]4. Billing Determinants'!$B$19:$R$41,4,0)/'[1]4. Billing Determinants'!$E$41*$D18,IF($E18="kW",VLOOKUP(F$6,'[1]4. Billing Determinants'!$B$19:$R$41,5,0)/'[1]4. Billing Determinants'!$F$41*$D18,IF($E18="Non-RPP kWh",VLOOKUP(F$6,'[1]4. Billing Determinants'!$B$19:$R$41,6,0)/'[1]4. Billing Determinants'!$G$41*$D18, VLOOKUP(F$6,'[1]4. Billing Determinants'!$B$19:$AA$41,24,0)*$D18)))),0)</f>
        <v>0</v>
      </c>
      <c r="G18" s="20">
        <f>IFERROR(IF(G$6="",0,IF($E18="kWh",VLOOKUP(G$6,'[1]4. Billing Determinants'!$B$19:$R$41,4,0)/'[1]4. Billing Determinants'!$E$41*$D18,IF($E18="kW",VLOOKUP(G$6,'[1]4. Billing Determinants'!$B$19:$R$41,5,0)/'[1]4. Billing Determinants'!$F$41*$D18,IF($E18="Non-RPP kWh",VLOOKUP(G$6,'[1]4. Billing Determinants'!$B$19:$R$41,6,0)/'[1]4. Billing Determinants'!$G$41*$D18, VLOOKUP(G$6,'[1]4. Billing Determinants'!$B$19:$AA$41,24,0)*$D18)))),0)</f>
        <v>0</v>
      </c>
      <c r="H18" s="20">
        <f>IFERROR(IF(H$6="",0,IF($E18="kWh",VLOOKUP(H$6,'[1]4. Billing Determinants'!$B$19:$R$41,4,0)/'[1]4. Billing Determinants'!$E$41*$D18,IF($E18="kW",VLOOKUP(H$6,'[1]4. Billing Determinants'!$B$19:$R$41,5,0)/'[1]4. Billing Determinants'!$F$41*$D18,IF($E18="Non-RPP kWh",VLOOKUP(H$6,'[1]4. Billing Determinants'!$B$19:$R$41,6,0)/'[1]4. Billing Determinants'!$G$41*$D18, VLOOKUP(H$6,'[1]4. Billing Determinants'!$B$19:$AA$41,24,0)*$D18)))),0)</f>
        <v>0</v>
      </c>
      <c r="I18" s="20">
        <f>IFERROR(IF(I$6="",0,IF($E18="kWh",VLOOKUP(I$6,'[1]4. Billing Determinants'!$B$19:$R$41,4,0)/'[1]4. Billing Determinants'!$E$41*$D18,IF($E18="kW",VLOOKUP(I$6,'[1]4. Billing Determinants'!$B$19:$R$41,5,0)/'[1]4. Billing Determinants'!$F$41*$D18,IF($E18="Non-RPP kWh",VLOOKUP(I$6,'[1]4. Billing Determinants'!$B$19:$R$41,6,0)/'[1]4. Billing Determinants'!$G$41*$D18, VLOOKUP(I$6,'[1]4. Billing Determinants'!$B$19:$AA$41,24,0)*$D18)))),0)</f>
        <v>0</v>
      </c>
      <c r="J18" s="20">
        <f>IFERROR(IF(J$6="",0,IF($E18="kWh",VLOOKUP(J$6,'[1]4. Billing Determinants'!$B$19:$R$41,4,0)/'[1]4. Billing Determinants'!$E$41*$D18,IF($E18="kW",VLOOKUP(J$6,'[1]4. Billing Determinants'!$B$19:$R$41,5,0)/'[1]4. Billing Determinants'!$F$41*$D18,IF($E18="Non-RPP kWh",VLOOKUP(J$6,'[1]4. Billing Determinants'!$B$19:$R$41,6,0)/'[1]4. Billing Determinants'!$G$41*$D18, VLOOKUP(J$6,'[1]4. Billing Determinants'!$B$19:$AA$41,24,0)*$D18)))),0)</f>
        <v>0</v>
      </c>
      <c r="K18" s="20">
        <f>IFERROR(IF(K$6="",0,IF($E18="kWh",VLOOKUP(K$6,'[1]4. Billing Determinants'!$B$19:$R$41,4,0)/'[1]4. Billing Determinants'!$E$41*$D18,IF($E18="kW",VLOOKUP(K$6,'[1]4. Billing Determinants'!$B$19:$R$41,5,0)/'[1]4. Billing Determinants'!$F$41*$D18,IF($E18="Non-RPP kWh",VLOOKUP(K$6,'[1]4. Billing Determinants'!$B$19:$R$41,6,0)/'[1]4. Billing Determinants'!$G$41*$D18, VLOOKUP(K$6,'[1]4. Billing Determinants'!$B$19:$AA$41,24,0)*$D18)))),0)</f>
        <v>0</v>
      </c>
      <c r="L18" s="20">
        <f>IFERROR(IF(L$6="",0,IF($E18="kWh",VLOOKUP(L$6,'[1]4. Billing Determinants'!$B$19:$R$41,4,0)/'[1]4. Billing Determinants'!$E$41*$D18,IF($E18="kW",VLOOKUP(L$6,'[1]4. Billing Determinants'!$B$19:$R$41,5,0)/'[1]4. Billing Determinants'!$F$41*$D18,IF($E18="Non-RPP kWh",VLOOKUP(L$6,'[1]4. Billing Determinants'!$B$19:$R$41,6,0)/'[1]4. Billing Determinants'!$G$41*$D18, VLOOKUP(L$6,'[1]4. Billing Determinants'!$B$19:$AA$41,24,0)*$D18)))),0)</f>
        <v>0</v>
      </c>
    </row>
    <row r="19" spans="1:12" hidden="1" x14ac:dyDescent="0.25">
      <c r="A19" s="7">
        <v>14</v>
      </c>
      <c r="B19" s="19" t="s">
        <v>28</v>
      </c>
      <c r="C19" s="12">
        <v>1595</v>
      </c>
      <c r="D19" s="13">
        <f>'[1]2a. Continuity Schedule'!BT38</f>
        <v>0</v>
      </c>
      <c r="E19" s="18" t="s">
        <v>23</v>
      </c>
      <c r="F19" s="20">
        <f>IFERROR(IF(F$6="",0,IF($E19="kWh",VLOOKUP(F$6,'[1]4. Billing Determinants'!$B$19:$R$41,4,0)/'[1]4. Billing Determinants'!$E$41*$D19,IF($E19="kW",VLOOKUP(F$6,'[1]4. Billing Determinants'!$B$19:$R$41,5,0)/'[1]4. Billing Determinants'!$F$41*$D19,IF($E19="Non-RPP kWh",VLOOKUP(F$6,'[1]4. Billing Determinants'!$B$19:$R$41,6,0)/'[1]4. Billing Determinants'!$G$41*$D19, VLOOKUP(F$6,'[1]4. Billing Determinants'!$B$19:$AA$41,25,0)*$D19)))),0)</f>
        <v>0</v>
      </c>
      <c r="G19" s="20">
        <f>IFERROR(IF(G$6="",0,IF($E19="kWh",VLOOKUP(G$6,'[1]4. Billing Determinants'!$B$19:$R$41,4,0)/'[1]4. Billing Determinants'!$E$41*$D19,IF($E19="kW",VLOOKUP(G$6,'[1]4. Billing Determinants'!$B$19:$R$41,5,0)/'[1]4. Billing Determinants'!$F$41*$D19,IF($E19="Non-RPP kWh",VLOOKUP(G$6,'[1]4. Billing Determinants'!$B$19:$R$41,6,0)/'[1]4. Billing Determinants'!$G$41*$D19, VLOOKUP(G$6,'[1]4. Billing Determinants'!$B$19:$AA$41,25,0)*$D19)))),0)</f>
        <v>0</v>
      </c>
      <c r="H19" s="20">
        <f>IFERROR(IF(H$6="",0,IF($E19="kWh",VLOOKUP(H$6,'[1]4. Billing Determinants'!$B$19:$R$41,4,0)/'[1]4. Billing Determinants'!$E$41*$D19,IF($E19="kW",VLOOKUP(H$6,'[1]4. Billing Determinants'!$B$19:$R$41,5,0)/'[1]4. Billing Determinants'!$F$41*$D19,IF($E19="Non-RPP kWh",VLOOKUP(H$6,'[1]4. Billing Determinants'!$B$19:$R$41,6,0)/'[1]4. Billing Determinants'!$G$41*$D19, VLOOKUP(H$6,'[1]4. Billing Determinants'!$B$19:$AA$41,25,0)*$D19)))),0)</f>
        <v>0</v>
      </c>
      <c r="I19" s="20">
        <f>IFERROR(IF(I$6="",0,IF($E19="kWh",VLOOKUP(I$6,'[1]4. Billing Determinants'!$B$19:$R$41,4,0)/'[1]4. Billing Determinants'!$E$41*$D19,IF($E19="kW",VLOOKUP(I$6,'[1]4. Billing Determinants'!$B$19:$R$41,5,0)/'[1]4. Billing Determinants'!$F$41*$D19,IF($E19="Non-RPP kWh",VLOOKUP(I$6,'[1]4. Billing Determinants'!$B$19:$R$41,6,0)/'[1]4. Billing Determinants'!$G$41*$D19, VLOOKUP(I$6,'[1]4. Billing Determinants'!$B$19:$AA$41,25,0)*$D19)))),0)</f>
        <v>0</v>
      </c>
      <c r="J19" s="20">
        <f>IFERROR(IF(J$6="",0,IF($E19="kWh",VLOOKUP(J$6,'[1]4. Billing Determinants'!$B$19:$R$41,4,0)/'[1]4. Billing Determinants'!$E$41*$D19,IF($E19="kW",VLOOKUP(J$6,'[1]4. Billing Determinants'!$B$19:$R$41,5,0)/'[1]4. Billing Determinants'!$F$41*$D19,IF($E19="Non-RPP kWh",VLOOKUP(J$6,'[1]4. Billing Determinants'!$B$19:$R$41,6,0)/'[1]4. Billing Determinants'!$G$41*$D19, VLOOKUP(J$6,'[1]4. Billing Determinants'!$B$19:$AA$41,25,0)*$D19)))),0)</f>
        <v>0</v>
      </c>
      <c r="K19" s="20">
        <f>IFERROR(IF(K$6="",0,IF($E19="kWh",VLOOKUP(K$6,'[1]4. Billing Determinants'!$B$19:$R$41,4,0)/'[1]4. Billing Determinants'!$E$41*$D19,IF($E19="kW",VLOOKUP(K$6,'[1]4. Billing Determinants'!$B$19:$R$41,5,0)/'[1]4. Billing Determinants'!$F$41*$D19,IF($E19="Non-RPP kWh",VLOOKUP(K$6,'[1]4. Billing Determinants'!$B$19:$R$41,6,0)/'[1]4. Billing Determinants'!$G$41*$D19, VLOOKUP(K$6,'[1]4. Billing Determinants'!$B$19:$AA$41,25,0)*$D19)))),0)</f>
        <v>0</v>
      </c>
      <c r="L19" s="20">
        <f>IFERROR(IF(L$6="",0,IF($E19="kWh",VLOOKUP(L$6,'[1]4. Billing Determinants'!$B$19:$R$41,4,0)/'[1]4. Billing Determinants'!$E$41*$D19,IF($E19="kW",VLOOKUP(L$6,'[1]4. Billing Determinants'!$B$19:$R$41,5,0)/'[1]4. Billing Determinants'!$F$41*$D19,IF($E19="Non-RPP kWh",VLOOKUP(L$6,'[1]4. Billing Determinants'!$B$19:$R$41,6,0)/'[1]4. Billing Determinants'!$G$41*$D19, VLOOKUP(L$6,'[1]4. Billing Determinants'!$B$19:$AA$41,25,0)*$D19)))),0)</f>
        <v>0</v>
      </c>
    </row>
    <row r="20" spans="1:12" hidden="1" x14ac:dyDescent="0.25">
      <c r="A20" s="7">
        <v>15</v>
      </c>
      <c r="B20" s="19" t="s">
        <v>29</v>
      </c>
      <c r="C20" s="12">
        <v>1595</v>
      </c>
      <c r="D20" s="13">
        <f>'[1]2a. Continuity Schedule'!BT39</f>
        <v>0</v>
      </c>
      <c r="E20" s="18" t="s">
        <v>23</v>
      </c>
      <c r="F20" s="20">
        <f>IFERROR(IF(F$6="",0,IF($E20="kWh",VLOOKUP(F$6,'[1]4. Billing Determinants'!$B$19:$R$41,4,0)/'[1]4. Billing Determinants'!$E$41*$D20,IF($E20="kW",VLOOKUP(F$6,'[1]4. Billing Determinants'!$B$19:$R$41,5,0)/'[1]4. Billing Determinants'!$F$41*$D20,IF($E20="Non-RPP kWh",VLOOKUP(F$6,'[1]4. Billing Determinants'!$B$19:$R$41,6,0)/'[1]4. Billing Determinants'!$G$41*$D20, VLOOKUP(F$6,'[1]4. Billing Determinants'!$B$19:$AA$41,26,0)*$D20)))),0)</f>
        <v>0</v>
      </c>
      <c r="G20" s="20">
        <f>IFERROR(IF(G$6="",0,IF($E20="kWh",VLOOKUP(G$6,'[1]4. Billing Determinants'!$B$19:$R$41,4,0)/'[1]4. Billing Determinants'!$E$41*$D20,IF($E20="kW",VLOOKUP(G$6,'[1]4. Billing Determinants'!$B$19:$R$41,5,0)/'[1]4. Billing Determinants'!$F$41*$D20,IF($E20="Non-RPP kWh",VLOOKUP(G$6,'[1]4. Billing Determinants'!$B$19:$R$41,6,0)/'[1]4. Billing Determinants'!$G$41*$D20, VLOOKUP(G$6,'[1]4. Billing Determinants'!$B$19:$AA$41,26,0)*$D20)))),0)</f>
        <v>0</v>
      </c>
      <c r="H20" s="20">
        <f>IFERROR(IF(H$6="",0,IF($E20="kWh",VLOOKUP(H$6,'[1]4. Billing Determinants'!$B$19:$R$41,4,0)/'[1]4. Billing Determinants'!$E$41*$D20,IF($E20="kW",VLOOKUP(H$6,'[1]4. Billing Determinants'!$B$19:$R$41,5,0)/'[1]4. Billing Determinants'!$F$41*$D20,IF($E20="Non-RPP kWh",VLOOKUP(H$6,'[1]4. Billing Determinants'!$B$19:$R$41,6,0)/'[1]4. Billing Determinants'!$G$41*$D20, VLOOKUP(H$6,'[1]4. Billing Determinants'!$B$19:$AA$41,26,0)*$D20)))),0)</f>
        <v>0</v>
      </c>
      <c r="I20" s="20">
        <f>IFERROR(IF(I$6="",0,IF($E20="kWh",VLOOKUP(I$6,'[1]4. Billing Determinants'!$B$19:$R$41,4,0)/'[1]4. Billing Determinants'!$E$41*$D20,IF($E20="kW",VLOOKUP(I$6,'[1]4. Billing Determinants'!$B$19:$R$41,5,0)/'[1]4. Billing Determinants'!$F$41*$D20,IF($E20="Non-RPP kWh",VLOOKUP(I$6,'[1]4. Billing Determinants'!$B$19:$R$41,6,0)/'[1]4. Billing Determinants'!$G$41*$D20, VLOOKUP(I$6,'[1]4. Billing Determinants'!$B$19:$AA$41,26,0)*$D20)))),0)</f>
        <v>0</v>
      </c>
      <c r="J20" s="20">
        <f>IFERROR(IF(J$6="",0,IF($E20="kWh",VLOOKUP(J$6,'[1]4. Billing Determinants'!$B$19:$R$41,4,0)/'[1]4. Billing Determinants'!$E$41*$D20,IF($E20="kW",VLOOKUP(J$6,'[1]4. Billing Determinants'!$B$19:$R$41,5,0)/'[1]4. Billing Determinants'!$F$41*$D20,IF($E20="Non-RPP kWh",VLOOKUP(J$6,'[1]4. Billing Determinants'!$B$19:$R$41,6,0)/'[1]4. Billing Determinants'!$G$41*$D20, VLOOKUP(J$6,'[1]4. Billing Determinants'!$B$19:$AA$41,26,0)*$D20)))),0)</f>
        <v>0</v>
      </c>
      <c r="K20" s="20">
        <f>IFERROR(IF(K$6="",0,IF($E20="kWh",VLOOKUP(K$6,'[1]4. Billing Determinants'!$B$19:$R$41,4,0)/'[1]4. Billing Determinants'!$E$41*$D20,IF($E20="kW",VLOOKUP(K$6,'[1]4. Billing Determinants'!$B$19:$R$41,5,0)/'[1]4. Billing Determinants'!$F$41*$D20,IF($E20="Non-RPP kWh",VLOOKUP(K$6,'[1]4. Billing Determinants'!$B$19:$R$41,6,0)/'[1]4. Billing Determinants'!$G$41*$D20, VLOOKUP(K$6,'[1]4. Billing Determinants'!$B$19:$AA$41,26,0)*$D20)))),0)</f>
        <v>0</v>
      </c>
      <c r="L20" s="20">
        <f>IFERROR(IF(L$6="",0,IF($E20="kWh",VLOOKUP(L$6,'[1]4. Billing Determinants'!$B$19:$R$41,4,0)/'[1]4. Billing Determinants'!$E$41*$D20,IF($E20="kW",VLOOKUP(L$6,'[1]4. Billing Determinants'!$B$19:$R$41,5,0)/'[1]4. Billing Determinants'!$F$41*$D20,IF($E20="Non-RPP kWh",VLOOKUP(L$6,'[1]4. Billing Determinants'!$B$19:$R$41,6,0)/'[1]4. Billing Determinants'!$G$41*$D20, VLOOKUP(L$6,'[1]4. Billing Determinants'!$B$19:$AA$41,26,0)*$D20)))),0)</f>
        <v>0</v>
      </c>
    </row>
    <row r="21" spans="1:12" hidden="1" x14ac:dyDescent="0.25">
      <c r="B21" s="19" t="s">
        <v>30</v>
      </c>
      <c r="C21" s="12">
        <v>1595</v>
      </c>
      <c r="D21" s="13">
        <f>'[1]2a. Continuity Schedule'!BT40</f>
        <v>0</v>
      </c>
      <c r="E21" s="18" t="s">
        <v>23</v>
      </c>
      <c r="F21" s="20">
        <f>IFERROR(IF(F$6="",0,IF($E21="kWh",VLOOKUP(F$6,'[1]4. Billing Determinants'!$B$19:$R$41,4,0)/'[1]4. Billing Determinants'!$E$41*$D21,IF($E21="kW",VLOOKUP(F$6,'[1]4. Billing Determinants'!$B$19:$R$41,5,0)/'[1]4. Billing Determinants'!$F$41*$D21,IF($E21="Non-RPP kWh",VLOOKUP(F$6,'[1]4. Billing Determinants'!$B$19:$R$41,6,0)/'[1]4. Billing Determinants'!$G$41*$D21, VLOOKUP(F$6,'[1]4. Billing Determinants'!$B$19:$AB$41,27,0)*$D21)))),0)</f>
        <v>0</v>
      </c>
      <c r="G21" s="20">
        <f>IFERROR(IF(G$6="",0,IF($E21="kWh",VLOOKUP(G$6,'[1]4. Billing Determinants'!$B$19:$R$41,4,0)/'[1]4. Billing Determinants'!$E$41*$D21,IF($E21="kW",VLOOKUP(G$6,'[1]4. Billing Determinants'!$B$19:$R$41,5,0)/'[1]4. Billing Determinants'!$F$41*$D21,IF($E21="Non-RPP kWh",VLOOKUP(G$6,'[1]4. Billing Determinants'!$B$19:$R$41,6,0)/'[1]4. Billing Determinants'!$G$41*$D21, VLOOKUP(G$6,'[1]4. Billing Determinants'!$B$19:$AB$41,27,0)*$D21)))),0)</f>
        <v>0</v>
      </c>
      <c r="H21" s="20">
        <f>IFERROR(IF(H$6="",0,IF($E21="kWh",VLOOKUP(H$6,'[1]4. Billing Determinants'!$B$19:$R$41,4,0)/'[1]4. Billing Determinants'!$E$41*$D21,IF($E21="kW",VLOOKUP(H$6,'[1]4. Billing Determinants'!$B$19:$R$41,5,0)/'[1]4. Billing Determinants'!$F$41*$D21,IF($E21="Non-RPP kWh",VLOOKUP(H$6,'[1]4. Billing Determinants'!$B$19:$R$41,6,0)/'[1]4. Billing Determinants'!$G$41*$D21, VLOOKUP(H$6,'[1]4. Billing Determinants'!$B$19:$AB$41,27,0)*$D21)))),0)</f>
        <v>0</v>
      </c>
      <c r="I21" s="20">
        <f>IFERROR(IF(I$6="",0,IF($E21="kWh",VLOOKUP(I$6,'[1]4. Billing Determinants'!$B$19:$R$41,4,0)/'[1]4. Billing Determinants'!$E$41*$D21,IF($E21="kW",VLOOKUP(I$6,'[1]4. Billing Determinants'!$B$19:$R$41,5,0)/'[1]4. Billing Determinants'!$F$41*$D21,IF($E21="Non-RPP kWh",VLOOKUP(I$6,'[1]4. Billing Determinants'!$B$19:$R$41,6,0)/'[1]4. Billing Determinants'!$G$41*$D21, VLOOKUP(I$6,'[1]4. Billing Determinants'!$B$19:$AB$41,27,0)*$D21)))),0)</f>
        <v>0</v>
      </c>
      <c r="J21" s="20">
        <f>IFERROR(IF(J$6="",0,IF($E21="kWh",VLOOKUP(J$6,'[1]4. Billing Determinants'!$B$19:$R$41,4,0)/'[1]4. Billing Determinants'!$E$41*$D21,IF($E21="kW",VLOOKUP(J$6,'[1]4. Billing Determinants'!$B$19:$R$41,5,0)/'[1]4. Billing Determinants'!$F$41*$D21,IF($E21="Non-RPP kWh",VLOOKUP(J$6,'[1]4. Billing Determinants'!$B$19:$R$41,6,0)/'[1]4. Billing Determinants'!$G$41*$D21, VLOOKUP(J$6,'[1]4. Billing Determinants'!$B$19:$AB$41,27,0)*$D21)))),0)</f>
        <v>0</v>
      </c>
      <c r="K21" s="20">
        <f>IFERROR(IF(K$6="",0,IF($E21="kWh",VLOOKUP(K$6,'[1]4. Billing Determinants'!$B$19:$R$41,4,0)/'[1]4. Billing Determinants'!$E$41*$D21,IF($E21="kW",VLOOKUP(K$6,'[1]4. Billing Determinants'!$B$19:$R$41,5,0)/'[1]4. Billing Determinants'!$F$41*$D21,IF($E21="Non-RPP kWh",VLOOKUP(K$6,'[1]4. Billing Determinants'!$B$19:$R$41,6,0)/'[1]4. Billing Determinants'!$G$41*$D21, VLOOKUP(K$6,'[1]4. Billing Determinants'!$B$19:$AB$41,27,0)*$D21)))),0)</f>
        <v>0</v>
      </c>
      <c r="L21" s="20">
        <f>IFERROR(IF(L$6="",0,IF($E21="kWh",VLOOKUP(L$6,'[1]4. Billing Determinants'!$B$19:$R$41,4,0)/'[1]4. Billing Determinants'!$E$41*$D21,IF($E21="kW",VLOOKUP(L$6,'[1]4. Billing Determinants'!$B$19:$R$41,5,0)/'[1]4. Billing Determinants'!$F$41*$D21,IF($E21="Non-RPP kWh",VLOOKUP(L$6,'[1]4. Billing Determinants'!$B$19:$R$41,6,0)/'[1]4. Billing Determinants'!$G$41*$D21, VLOOKUP(L$6,'[1]4. Billing Determinants'!$B$19:$AB$41,27,0)*$D21)))),0)</f>
        <v>0</v>
      </c>
    </row>
    <row r="22" spans="1:12" s="24" customFormat="1" ht="13" hidden="1" x14ac:dyDescent="0.3">
      <c r="A22" s="7">
        <v>16</v>
      </c>
      <c r="B22" s="21" t="s">
        <v>31</v>
      </c>
      <c r="C22" s="21"/>
      <c r="D22" s="22">
        <f>SUM(D7:D21)-D13</f>
        <v>0</v>
      </c>
      <c r="E22" s="23"/>
      <c r="F22" s="22">
        <f>SUM(F7:F21)-F13</f>
        <v>0</v>
      </c>
      <c r="G22" s="22">
        <f>SUM(G7:G21)-G13</f>
        <v>0</v>
      </c>
      <c r="H22" s="22">
        <f>SUM(H7:H21)-H13</f>
        <v>0</v>
      </c>
      <c r="I22" s="22">
        <f t="shared" ref="I22:L22" si="0">SUM(I7:I21)-I13</f>
        <v>0</v>
      </c>
      <c r="J22" s="22">
        <f t="shared" si="0"/>
        <v>0</v>
      </c>
      <c r="K22" s="22">
        <f t="shared" si="0"/>
        <v>0</v>
      </c>
      <c r="L22" s="22">
        <f t="shared" si="0"/>
        <v>0</v>
      </c>
    </row>
    <row r="23" spans="1:12" ht="8.25" customHeight="1" x14ac:dyDescent="0.3">
      <c r="A23" s="7">
        <v>17</v>
      </c>
      <c r="B23" s="24"/>
      <c r="C23" s="24"/>
      <c r="D23" s="25"/>
      <c r="E23" s="26"/>
    </row>
    <row r="24" spans="1:12" hidden="1" x14ac:dyDescent="0.25">
      <c r="A24" s="7">
        <v>18</v>
      </c>
      <c r="B24" s="11" t="s">
        <v>32</v>
      </c>
      <c r="C24" s="12">
        <v>1508</v>
      </c>
      <c r="D24" s="13"/>
      <c r="E24" s="14" t="s">
        <v>6</v>
      </c>
      <c r="F24" s="13">
        <f>IF($E24="kWh",VLOOKUP(F$6,'Billing Determinants'!$A$7:$H$14,4,FALSE)/'Billing Determinants'!$D$14*$D24,IF($E24="# of Customers",$D24*VLOOKUP(F$6,'Billing Determinants'!$A$7:$H$14,3,FALSE)/'Billing Determinants'!$C$14,IF($E24="Distribution Rev.",VLOOKUP(F$6,'Billing Determinants'!$A$7:$H$14,8,FALSE)/'Billing Determinants'!$H$14*$D24,"err")))</f>
        <v>0</v>
      </c>
      <c r="G24" s="13">
        <f>IF($E24="kWh",VLOOKUP(G$6,'Billing Determinants'!$A$7:$H$14,4,FALSE)/'Billing Determinants'!$D$14*$D24,IF($E24="# of Customers",$D24*VLOOKUP(G$6,'Billing Determinants'!$A$7:$H$14,3,FALSE)/'Billing Determinants'!$C$14,IF($E24="Distribution Rev.",VLOOKUP(G$6,'Billing Determinants'!$A$7:$H$14,8,FALSE)/'Billing Determinants'!$H$14*$D24,"err")))</f>
        <v>0</v>
      </c>
      <c r="H24" s="13">
        <f>IF($E24="kWh",VLOOKUP(H$6,'Billing Determinants'!$A$7:$H$14,4,FALSE)/'Billing Determinants'!$D$14*$D24,IF($E24="# of Customers",$D24*VLOOKUP(H$6,'Billing Determinants'!$A$7:$H$14,3,FALSE)/'Billing Determinants'!$C$14,IF($E24="Distribution Rev.",VLOOKUP(H$6,'Billing Determinants'!$A$7:$H$14,8,FALSE)/'Billing Determinants'!$H$14*$D24,"err")))</f>
        <v>0</v>
      </c>
      <c r="I24" s="13">
        <f>IF($E24="kWh",VLOOKUP(I$6,'Billing Determinants'!$A$7:$H$14,4,FALSE)/'Billing Determinants'!$D$14*$D24,IF($E24="# of Customers",$D24*VLOOKUP(I$6,'Billing Determinants'!$A$7:$H$14,3,FALSE)/'Billing Determinants'!$C$14,IF($E24="Distribution Rev.",VLOOKUP(I$6,'Billing Determinants'!$A$7:$H$14,8,FALSE)/'Billing Determinants'!$H$14*$D24,"err")))</f>
        <v>0</v>
      </c>
      <c r="J24" s="13">
        <f>IF($E24="kWh",VLOOKUP(J$6,'Billing Determinants'!$A$7:$H$14,4,FALSE)/'Billing Determinants'!$D$14*$D24,IF($E24="# of Customers",$D24*VLOOKUP(J$6,'Billing Determinants'!$A$7:$H$14,3,FALSE)/'Billing Determinants'!$C$14,IF($E24="Distribution Rev.",VLOOKUP(J$6,'Billing Determinants'!$A$7:$H$14,8,FALSE)/'Billing Determinants'!$H$14*$D24,"err")))</f>
        <v>0</v>
      </c>
      <c r="K24" s="13">
        <f>IF($E24="kWh",VLOOKUP(K$6,'Billing Determinants'!$A$7:$H$14,4,FALSE)/'Billing Determinants'!$D$14*$D24,IF($E24="# of Customers",$D24*VLOOKUP(K$6,'Billing Determinants'!$A$7:$H$14,3,FALSE)/'Billing Determinants'!$C$14,IF($E24="Distribution Rev.",VLOOKUP(K$6,'Billing Determinants'!$A$7:$H$14,8,FALSE)/'Billing Determinants'!$H$14*$D24,"err")))</f>
        <v>0</v>
      </c>
      <c r="L24" s="13">
        <f>IF($E24="kWh",VLOOKUP(L$6,'Billing Determinants'!$A$7:$H$14,4,FALSE)/'Billing Determinants'!$D$14*$D24,IF($E24="# of Customers",$D24*VLOOKUP(L$6,'Billing Determinants'!$A$7:$H$14,3,FALSE)/'Billing Determinants'!$C$14,IF($E24="Distribution Rev.",VLOOKUP(L$6,'Billing Determinants'!$A$7:$H$14,8,FALSE)/'Billing Determinants'!$H$14*$D24,"err")))</f>
        <v>0</v>
      </c>
    </row>
    <row r="25" spans="1:12" x14ac:dyDescent="0.25">
      <c r="A25" s="7">
        <v>19</v>
      </c>
      <c r="B25" s="11" t="s">
        <v>33</v>
      </c>
      <c r="C25" s="12">
        <v>2405</v>
      </c>
      <c r="D25" s="13">
        <f>'[2]2b. Continuity Schedule - Grp 2'!$BW$16</f>
        <v>-161721.63435000001</v>
      </c>
      <c r="E25" s="14" t="s">
        <v>34</v>
      </c>
      <c r="F25" s="13">
        <f>IF($E25="kWh",VLOOKUP(F$6,'Billing Determinants'!$A$7:$H$14,4,FALSE)/'Billing Determinants'!$D$14*$D25,IF($E25="# of Customers",$D25*VLOOKUP(F$6,'Billing Determinants'!$A$7:$H$14,3,FALSE)/'Billing Determinants'!$C$14,IF($E25="Distribution Rev.",VLOOKUP(F$6,'Billing Determinants'!$A$7:$H$14,8,FALSE)/'Billing Determinants'!$H$14*$D25,"err")))</f>
        <v>-89857.574797171153</v>
      </c>
      <c r="G25" s="13">
        <f>IF($E25="kWh",VLOOKUP(G$6,'Billing Determinants'!$A$7:$H$14,4,FALSE)/'Billing Determinants'!$D$14*$D25,IF($E25="# of Customers",$D25*VLOOKUP(G$6,'Billing Determinants'!$A$7:$H$14,3,FALSE)/'Billing Determinants'!$C$14,IF($E25="Distribution Rev.",VLOOKUP(G$6,'Billing Determinants'!$A$7:$H$14,8,FALSE)/'Billing Determinants'!$H$14*$D25,"err")))</f>
        <v>-29676.383179827688</v>
      </c>
      <c r="H25" s="13">
        <f>IF($E25="kWh",VLOOKUP(H$6,'Billing Determinants'!$A$7:$H$14,4,FALSE)/'Billing Determinants'!$D$14*$D25,IF($E25="# of Customers",$D25*VLOOKUP(H$6,'Billing Determinants'!$A$7:$H$14,3,FALSE)/'Billing Determinants'!$C$14,IF($E25="Distribution Rev.",VLOOKUP(H$6,'Billing Determinants'!$A$7:$H$14,8,FALSE)/'Billing Determinants'!$H$14*$D25,"err")))</f>
        <v>-41009.186717168988</v>
      </c>
      <c r="I25" s="13">
        <f>IF($E25="kWh",VLOOKUP(I$6,'Billing Determinants'!$A$7:$H$14,4,FALSE)/'Billing Determinants'!$D$14*$D25,IF($E25="# of Customers",$D25*VLOOKUP(I$6,'Billing Determinants'!$A$7:$H$14,3,FALSE)/'Billing Determinants'!$C$14,IF($E25="Distribution Rev.",VLOOKUP(I$6,'Billing Determinants'!$A$7:$H$14,8,FALSE)/'Billing Determinants'!$H$14*$D25,"err")))</f>
        <v>-52.896436819311269</v>
      </c>
      <c r="J25" s="13">
        <f>IF($E25="kWh",VLOOKUP(J$6,'Billing Determinants'!$A$7:$H$14,4,FALSE)/'Billing Determinants'!$D$14*$D25,IF($E25="# of Customers",$D25*VLOOKUP(J$6,'Billing Determinants'!$A$7:$H$14,3,FALSE)/'Billing Determinants'!$C$14,IF($E25="Distribution Rev.",VLOOKUP(J$6,'Billing Determinants'!$A$7:$H$14,8,FALSE)/'Billing Determinants'!$H$14*$D25,"err")))</f>
        <v>-4.8450938351965931</v>
      </c>
      <c r="K25" s="13">
        <f>IF($E25="kWh",VLOOKUP(K$6,'Billing Determinants'!$A$7:$H$14,4,FALSE)/'Billing Determinants'!$D$14*$D25,IF($E25="# of Customers",$D25*VLOOKUP(K$6,'Billing Determinants'!$A$7:$H$14,3,FALSE)/'Billing Determinants'!$C$14,IF($E25="Distribution Rev.",VLOOKUP(K$6,'Billing Determinants'!$A$7:$H$14,8,FALSE)/'Billing Determinants'!$H$14*$D25,"err")))</f>
        <v>-1120.7481251777031</v>
      </c>
      <c r="L25" s="13">
        <f>IF($E25="kWh",VLOOKUP(L$6,'Billing Determinants'!$A$7:$H$14,4,FALSE)/'Billing Determinants'!$D$14*$D25,IF($E25="# of Customers",$D25*VLOOKUP(L$6,'Billing Determinants'!$A$7:$H$14,3,FALSE)/'Billing Determinants'!$C$14,IF($E25="Distribution Rev.",VLOOKUP(L$6,'Billing Determinants'!$A$7:$H$14,8,FALSE)/'Billing Determinants'!$H$14*$D25,"err")))</f>
        <v>0</v>
      </c>
    </row>
    <row r="26" spans="1:12" hidden="1" x14ac:dyDescent="0.25">
      <c r="A26" s="7">
        <v>20</v>
      </c>
      <c r="B26" s="27" t="s">
        <v>35</v>
      </c>
      <c r="C26" s="12">
        <v>1508</v>
      </c>
      <c r="D26" s="13"/>
      <c r="E26" s="14" t="s">
        <v>2</v>
      </c>
      <c r="F26" s="13">
        <f>IF($E26="kWh",VLOOKUP(F$6,'Billing Determinants'!$A$7:$H$14,4,FALSE)/'Billing Determinants'!$D$14*$D26,IF($E26="# of Customers",$D26*VLOOKUP(F$6,'Billing Determinants'!$A$7:$H$14,3,FALSE)/'Billing Determinants'!$C$14,IF($E26="Distribution Rev.",VLOOKUP(F$6,'Billing Determinants'!$A$7:$H$14,8,FALSE)/'Billing Determinants'!$H$14*$D26,"err")))</f>
        <v>0</v>
      </c>
      <c r="G26" s="13">
        <f>IF($E26="kWh",VLOOKUP(G$6,'Billing Determinants'!$A$7:$H$14,4,FALSE)/'Billing Determinants'!$D$14*$D26,IF($E26="# of Customers",$D26*VLOOKUP(G$6,'Billing Determinants'!$A$7:$H$14,3,FALSE)/'Billing Determinants'!$C$14,IF($E26="Distribution Rev.",VLOOKUP(G$6,'Billing Determinants'!$A$7:$H$14,8,FALSE)/'Billing Determinants'!$H$14*$D26,"err")))</f>
        <v>0</v>
      </c>
      <c r="H26" s="13">
        <f>IF($E26="kWh",VLOOKUP(H$6,'Billing Determinants'!$A$7:$H$14,4,FALSE)/'Billing Determinants'!$D$14*$D26,IF($E26="# of Customers",$D26*VLOOKUP(H$6,'Billing Determinants'!$A$7:$H$14,3,FALSE)/'Billing Determinants'!$C$14,IF($E26="Distribution Rev.",VLOOKUP(H$6,'Billing Determinants'!$A$7:$H$14,8,FALSE)/'Billing Determinants'!$H$14*$D26,"err")))</f>
        <v>0</v>
      </c>
      <c r="I26" s="13">
        <f>IF($E26="kWh",VLOOKUP(I$6,'Billing Determinants'!$A$7:$H$14,4,FALSE)/'Billing Determinants'!$D$14*$D26,IF($E26="# of Customers",$D26*VLOOKUP(I$6,'Billing Determinants'!$A$7:$H$14,3,FALSE)/'Billing Determinants'!$C$14,IF($E26="Distribution Rev.",VLOOKUP(I$6,'Billing Determinants'!$A$7:$H$14,8,FALSE)/'Billing Determinants'!$H$14*$D26,"err")))</f>
        <v>0</v>
      </c>
      <c r="J26" s="13">
        <f>IF($E26="kWh",VLOOKUP(J$6,'Billing Determinants'!$A$7:$H$14,4,FALSE)/'Billing Determinants'!$D$14*$D26,IF($E26="# of Customers",$D26*VLOOKUP(J$6,'Billing Determinants'!$A$7:$H$14,3,FALSE)/'Billing Determinants'!$C$14,IF($E26="Distribution Rev.",VLOOKUP(J$6,'Billing Determinants'!$A$7:$H$14,8,FALSE)/'Billing Determinants'!$H$14*$D26,"err")))</f>
        <v>0</v>
      </c>
      <c r="K26" s="13">
        <f>IF($E26="kWh",VLOOKUP(K$6,'Billing Determinants'!$A$7:$H$14,4,FALSE)/'Billing Determinants'!$D$14*$D26,IF($E26="# of Customers",$D26*VLOOKUP(K$6,'Billing Determinants'!$A$7:$H$14,3,FALSE)/'Billing Determinants'!$C$14,IF($E26="Distribution Rev.",VLOOKUP(K$6,'Billing Determinants'!$A$7:$H$14,8,FALSE)/'Billing Determinants'!$H$14*$D26,"err")))</f>
        <v>0</v>
      </c>
      <c r="L26" s="13">
        <f>IF($E26="kWh",VLOOKUP(L$6,'Billing Determinants'!$A$7:$H$14,4,FALSE)/'Billing Determinants'!$D$14*$D26,IF($E26="# of Customers",$D26*VLOOKUP(L$6,'Billing Determinants'!$A$7:$H$14,3,FALSE)/'Billing Determinants'!$C$14,IF($E26="Distribution Rev.",VLOOKUP(L$6,'Billing Determinants'!$A$7:$H$14,8,FALSE)/'Billing Determinants'!$H$14*$D26,"err")))</f>
        <v>0</v>
      </c>
    </row>
    <row r="27" spans="1:12" hidden="1" x14ac:dyDescent="0.25">
      <c r="A27" s="7">
        <v>21</v>
      </c>
      <c r="B27" s="28" t="str">
        <f>IF('[1]2b. Continuity Schedule'!C51="","",LEFT('[1]2b. Continuity Schedule'!C51,LEN('[1]2b. Continuity Schedule'!C51)-1))</f>
        <v>Customer Choice Initiative Costs</v>
      </c>
      <c r="C27" s="12">
        <v>1508</v>
      </c>
      <c r="D27" s="13"/>
      <c r="E27" s="14" t="s">
        <v>6</v>
      </c>
      <c r="F27" s="13">
        <f>IF($E27="kWh",VLOOKUP(F$6,'Billing Determinants'!$A$7:$H$14,4,FALSE)/'Billing Determinants'!$D$14*$D27,IF($E27="# of Customers",$D27*VLOOKUP(F$6,'Billing Determinants'!$A$7:$H$14,3,FALSE)/'Billing Determinants'!$C$14,IF($E27="Distribution Rev.",VLOOKUP(F$6,'Billing Determinants'!$A$7:$H$14,8,FALSE)/'Billing Determinants'!$H$14*$D27,"err")))</f>
        <v>0</v>
      </c>
      <c r="G27" s="13">
        <f>IF($E27="kWh",VLOOKUP(G$6,'Billing Determinants'!$A$7:$H$14,4,FALSE)/'Billing Determinants'!$D$14*$D27,IF($E27="# of Customers",$D27*VLOOKUP(G$6,'Billing Determinants'!$A$7:$H$14,3,FALSE)/'Billing Determinants'!$C$14,IF($E27="Distribution Rev.",VLOOKUP(G$6,'Billing Determinants'!$A$7:$H$14,8,FALSE)/'Billing Determinants'!$H$14*$D27,"err")))</f>
        <v>0</v>
      </c>
      <c r="H27" s="13">
        <f>IF($E27="kWh",VLOOKUP(H$6,'Billing Determinants'!$A$7:$H$14,4,FALSE)/'Billing Determinants'!$D$14*$D27,IF($E27="# of Customers",$D27*VLOOKUP(H$6,'Billing Determinants'!$A$7:$H$14,3,FALSE)/'Billing Determinants'!$C$14,IF($E27="Distribution Rev.",VLOOKUP(H$6,'Billing Determinants'!$A$7:$H$14,8,FALSE)/'Billing Determinants'!$H$14*$D27,"err")))</f>
        <v>0</v>
      </c>
      <c r="I27" s="13">
        <f>IF($E27="kWh",VLOOKUP(I$6,'Billing Determinants'!$A$7:$H$14,4,FALSE)/'Billing Determinants'!$D$14*$D27,IF($E27="# of Customers",$D27*VLOOKUP(I$6,'Billing Determinants'!$A$7:$H$14,3,FALSE)/'Billing Determinants'!$C$14,IF($E27="Distribution Rev.",VLOOKUP(I$6,'Billing Determinants'!$A$7:$H$14,8,FALSE)/'Billing Determinants'!$H$14*$D27,"err")))</f>
        <v>0</v>
      </c>
      <c r="J27" s="13">
        <f>IF($E27="kWh",VLOOKUP(J$6,'Billing Determinants'!$A$7:$H$14,4,FALSE)/'Billing Determinants'!$D$14*$D27,IF($E27="# of Customers",$D27*VLOOKUP(J$6,'Billing Determinants'!$A$7:$H$14,3,FALSE)/'Billing Determinants'!$C$14,IF($E27="Distribution Rev.",VLOOKUP(J$6,'Billing Determinants'!$A$7:$H$14,8,FALSE)/'Billing Determinants'!$H$14*$D27,"err")))</f>
        <v>0</v>
      </c>
      <c r="K27" s="13">
        <f>IF($E27="kWh",VLOOKUP(K$6,'Billing Determinants'!$A$7:$H$14,4,FALSE)/'Billing Determinants'!$D$14*$D27,IF($E27="# of Customers",$D27*VLOOKUP(K$6,'Billing Determinants'!$A$7:$H$14,3,FALSE)/'Billing Determinants'!$C$14,IF($E27="Distribution Rev.",VLOOKUP(K$6,'Billing Determinants'!$A$7:$H$14,8,FALSE)/'Billing Determinants'!$H$14*$D27,"err")))</f>
        <v>0</v>
      </c>
      <c r="L27" s="13">
        <f>IF($E27="kWh",VLOOKUP(L$6,'Billing Determinants'!$A$7:$H$14,4,FALSE)/'Billing Determinants'!$D$14*$D27,IF($E27="# of Customers",$D27*VLOOKUP(L$6,'Billing Determinants'!$A$7:$H$14,3,FALSE)/'Billing Determinants'!$C$14,IF($E27="Distribution Rev.",VLOOKUP(L$6,'Billing Determinants'!$A$7:$H$14,8,FALSE)/'Billing Determinants'!$H$14*$D27,"err")))</f>
        <v>0</v>
      </c>
    </row>
    <row r="28" spans="1:12" hidden="1" x14ac:dyDescent="0.25">
      <c r="B28" s="28" t="str">
        <f>IF('[1]2b. Continuity Schedule'!C52="","",LEFT('[1]2b. Continuity Schedule'!C52,LEN('[1]2b. Continuity Schedule'!C52)-1))</f>
        <v>Local Initiatives Program Costs</v>
      </c>
      <c r="C28" s="12">
        <v>1508</v>
      </c>
      <c r="D28" s="13"/>
      <c r="E28" s="14" t="s">
        <v>6</v>
      </c>
      <c r="F28" s="13">
        <f>IF($E28="kWh",VLOOKUP(F$6,'Billing Determinants'!$A$7:$H$14,4,FALSE)/'Billing Determinants'!$D$14*$D28,IF($E28="# of Customers",$D28*VLOOKUP(F$6,'Billing Determinants'!$A$7:$H$14,3,FALSE)/'Billing Determinants'!$C$14,IF($E28="Distribution Rev.",VLOOKUP(F$6,'Billing Determinants'!$A$7:$H$14,8,FALSE)/'Billing Determinants'!$H$14*$D28,"err")))</f>
        <v>0</v>
      </c>
      <c r="G28" s="13">
        <f>IF($E28="kWh",VLOOKUP(G$6,'Billing Determinants'!$A$7:$H$14,4,FALSE)/'Billing Determinants'!$D$14*$D28,IF($E28="# of Customers",$D28*VLOOKUP(G$6,'Billing Determinants'!$A$7:$H$14,3,FALSE)/'Billing Determinants'!$C$14,IF($E28="Distribution Rev.",VLOOKUP(G$6,'Billing Determinants'!$A$7:$H$14,8,FALSE)/'Billing Determinants'!$H$14*$D28,"err")))</f>
        <v>0</v>
      </c>
      <c r="H28" s="13">
        <f>IF($E28="kWh",VLOOKUP(H$6,'Billing Determinants'!$A$7:$H$14,4,FALSE)/'Billing Determinants'!$D$14*$D28,IF($E28="# of Customers",$D28*VLOOKUP(H$6,'Billing Determinants'!$A$7:$H$14,3,FALSE)/'Billing Determinants'!$C$14,IF($E28="Distribution Rev.",VLOOKUP(H$6,'Billing Determinants'!$A$7:$H$14,8,FALSE)/'Billing Determinants'!$H$14*$D28,"err")))</f>
        <v>0</v>
      </c>
      <c r="I28" s="13">
        <f>IF($E28="kWh",VLOOKUP(I$6,'Billing Determinants'!$A$7:$H$14,4,FALSE)/'Billing Determinants'!$D$14*$D28,IF($E28="# of Customers",$D28*VLOOKUP(I$6,'Billing Determinants'!$A$7:$H$14,3,FALSE)/'Billing Determinants'!$C$14,IF($E28="Distribution Rev.",VLOOKUP(I$6,'Billing Determinants'!$A$7:$H$14,8,FALSE)/'Billing Determinants'!$H$14*$D28,"err")))</f>
        <v>0</v>
      </c>
      <c r="J28" s="13">
        <f>IF($E28="kWh",VLOOKUP(J$6,'Billing Determinants'!$A$7:$H$14,4,FALSE)/'Billing Determinants'!$D$14*$D28,IF($E28="# of Customers",$D28*VLOOKUP(J$6,'Billing Determinants'!$A$7:$H$14,3,FALSE)/'Billing Determinants'!$C$14,IF($E28="Distribution Rev.",VLOOKUP(J$6,'Billing Determinants'!$A$7:$H$14,8,FALSE)/'Billing Determinants'!$H$14*$D28,"err")))</f>
        <v>0</v>
      </c>
      <c r="K28" s="13">
        <f>IF($E28="kWh",VLOOKUP(K$6,'Billing Determinants'!$A$7:$H$14,4,FALSE)/'Billing Determinants'!$D$14*$D28,IF($E28="# of Customers",$D28*VLOOKUP(K$6,'Billing Determinants'!$A$7:$H$14,3,FALSE)/'Billing Determinants'!$C$14,IF($E28="Distribution Rev.",VLOOKUP(K$6,'Billing Determinants'!$A$7:$H$14,8,FALSE)/'Billing Determinants'!$H$14*$D28,"err")))</f>
        <v>0</v>
      </c>
      <c r="L28" s="13">
        <f>IF($E28="kWh",VLOOKUP(L$6,'Billing Determinants'!$A$7:$H$14,4,FALSE)/'Billing Determinants'!$D$14*$D28,IF($E28="# of Customers",$D28*VLOOKUP(L$6,'Billing Determinants'!$A$7:$H$14,3,FALSE)/'Billing Determinants'!$C$14,IF($E28="Distribution Rev.",VLOOKUP(L$6,'Billing Determinants'!$A$7:$H$14,8,FALSE)/'Billing Determinants'!$H$14*$D28,"err")))</f>
        <v>0</v>
      </c>
    </row>
    <row r="29" spans="1:12" hidden="1" x14ac:dyDescent="0.25">
      <c r="B29" s="28" t="str">
        <f>IF('[1]2b. Continuity Schedule'!C53="","",LEFT('[1]2b. Continuity Schedule'!C53,LEN('[1]2b. Continuity Schedule'!C53)-2))</f>
        <v>Green Button Initiative Costs</v>
      </c>
      <c r="C29" s="12">
        <v>1508</v>
      </c>
      <c r="D29" s="13"/>
      <c r="E29" s="14" t="s">
        <v>6</v>
      </c>
      <c r="F29" s="13">
        <f>IF($E29="kWh",VLOOKUP(F$6,'Billing Determinants'!$A$7:$H$14,4,FALSE)/'Billing Determinants'!$D$14*$D29,IF($E29="# of Customers",$D29*VLOOKUP(F$6,'Billing Determinants'!$A$7:$H$14,3,FALSE)/'Billing Determinants'!$C$14,IF($E29="Distribution Rev.",VLOOKUP(F$6,'Billing Determinants'!$A$7:$H$14,8,FALSE)/'Billing Determinants'!$H$14*$D29,"err")))</f>
        <v>0</v>
      </c>
      <c r="G29" s="13">
        <f>IF($E29="kWh",VLOOKUP(G$6,'Billing Determinants'!$A$7:$H$14,4,FALSE)/'Billing Determinants'!$D$14*$D29,IF($E29="# of Customers",$D29*VLOOKUP(G$6,'Billing Determinants'!$A$7:$H$14,3,FALSE)/'Billing Determinants'!$C$14,IF($E29="Distribution Rev.",VLOOKUP(G$6,'Billing Determinants'!$A$7:$H$14,8,FALSE)/'Billing Determinants'!$H$14*$D29,"err")))</f>
        <v>0</v>
      </c>
      <c r="H29" s="13">
        <f>IF($E29="kWh",VLOOKUP(H$6,'Billing Determinants'!$A$7:$H$14,4,FALSE)/'Billing Determinants'!$D$14*$D29,IF($E29="# of Customers",$D29*VLOOKUP(H$6,'Billing Determinants'!$A$7:$H$14,3,FALSE)/'Billing Determinants'!$C$14,IF($E29="Distribution Rev.",VLOOKUP(H$6,'Billing Determinants'!$A$7:$H$14,8,FALSE)/'Billing Determinants'!$H$14*$D29,"err")))</f>
        <v>0</v>
      </c>
      <c r="I29" s="13">
        <f>IF($E29="kWh",VLOOKUP(I$6,'Billing Determinants'!$A$7:$H$14,4,FALSE)/'Billing Determinants'!$D$14*$D29,IF($E29="# of Customers",$D29*VLOOKUP(I$6,'Billing Determinants'!$A$7:$H$14,3,FALSE)/'Billing Determinants'!$C$14,IF($E29="Distribution Rev.",VLOOKUP(I$6,'Billing Determinants'!$A$7:$H$14,8,FALSE)/'Billing Determinants'!$H$14*$D29,"err")))</f>
        <v>0</v>
      </c>
      <c r="J29" s="13">
        <f>IF($E29="kWh",VLOOKUP(J$6,'Billing Determinants'!$A$7:$H$14,4,FALSE)/'Billing Determinants'!$D$14*$D29,IF($E29="# of Customers",$D29*VLOOKUP(J$6,'Billing Determinants'!$A$7:$H$14,3,FALSE)/'Billing Determinants'!$C$14,IF($E29="Distribution Rev.",VLOOKUP(J$6,'Billing Determinants'!$A$7:$H$14,8,FALSE)/'Billing Determinants'!$H$14*$D29,"err")))</f>
        <v>0</v>
      </c>
      <c r="K29" s="13">
        <f>IF($E29="kWh",VLOOKUP(K$6,'Billing Determinants'!$A$7:$H$14,4,FALSE)/'Billing Determinants'!$D$14*$D29,IF($E29="# of Customers",$D29*VLOOKUP(K$6,'Billing Determinants'!$A$7:$H$14,3,FALSE)/'Billing Determinants'!$C$14,IF($E29="Distribution Rev.",VLOOKUP(K$6,'Billing Determinants'!$A$7:$H$14,8,FALSE)/'Billing Determinants'!$H$14*$D29,"err")))</f>
        <v>0</v>
      </c>
      <c r="L29" s="13">
        <f>IF($E29="kWh",VLOOKUP(L$6,'Billing Determinants'!$A$7:$H$14,4,FALSE)/'Billing Determinants'!$D$14*$D29,IF($E29="# of Customers",$D29*VLOOKUP(L$6,'Billing Determinants'!$A$7:$H$14,3,FALSE)/'Billing Determinants'!$C$14,IF($E29="Distribution Rev.",VLOOKUP(L$6,'Billing Determinants'!$A$7:$H$14,8,FALSE)/'Billing Determinants'!$H$14*$D29,"err")))</f>
        <v>0</v>
      </c>
    </row>
    <row r="30" spans="1:12" hidden="1" x14ac:dyDescent="0.25">
      <c r="B30" s="28" t="str">
        <f>IF('[1]2b. Continuity Schedule'!C54="","",'[1]2b. Continuity Schedule'!C54)</f>
        <v>Other Regulatory Assets - Sub-Account - Other</v>
      </c>
      <c r="C30" s="12">
        <v>1508</v>
      </c>
      <c r="D30" s="13"/>
      <c r="E30" s="14" t="s">
        <v>6</v>
      </c>
      <c r="F30" s="13">
        <f>IF($E30="kWh",VLOOKUP(F$6,'Billing Determinants'!$A$7:$H$14,4,FALSE)/'Billing Determinants'!$D$14*$D30,IF($E30="# of Customers",$D30*VLOOKUP(F$6,'Billing Determinants'!$A$7:$H$14,3,FALSE)/'Billing Determinants'!$C$14,IF($E30="Distribution Rev.",VLOOKUP(F$6,'Billing Determinants'!$A$7:$H$14,8,FALSE)/'Billing Determinants'!$H$14*$D30,"err")))</f>
        <v>0</v>
      </c>
      <c r="G30" s="13">
        <f>IF($E30="kWh",VLOOKUP(G$6,'Billing Determinants'!$A$7:$H$14,4,FALSE)/'Billing Determinants'!$D$14*$D30,IF($E30="# of Customers",$D30*VLOOKUP(G$6,'Billing Determinants'!$A$7:$H$14,3,FALSE)/'Billing Determinants'!$C$14,IF($E30="Distribution Rev.",VLOOKUP(G$6,'Billing Determinants'!$A$7:$H$14,8,FALSE)/'Billing Determinants'!$H$14*$D30,"err")))</f>
        <v>0</v>
      </c>
      <c r="H30" s="13">
        <f>IF($E30="kWh",VLOOKUP(H$6,'Billing Determinants'!$A$7:$H$14,4,FALSE)/'Billing Determinants'!$D$14*$D30,IF($E30="# of Customers",$D30*VLOOKUP(H$6,'Billing Determinants'!$A$7:$H$14,3,FALSE)/'Billing Determinants'!$C$14,IF($E30="Distribution Rev.",VLOOKUP(H$6,'Billing Determinants'!$A$7:$H$14,8,FALSE)/'Billing Determinants'!$H$14*$D30,"err")))</f>
        <v>0</v>
      </c>
      <c r="I30" s="13">
        <f>IF($E30="kWh",VLOOKUP(I$6,'Billing Determinants'!$A$7:$H$14,4,FALSE)/'Billing Determinants'!$D$14*$D30,IF($E30="# of Customers",$D30*VLOOKUP(I$6,'Billing Determinants'!$A$7:$H$14,3,FALSE)/'Billing Determinants'!$C$14,IF($E30="Distribution Rev.",VLOOKUP(I$6,'Billing Determinants'!$A$7:$H$14,8,FALSE)/'Billing Determinants'!$H$14*$D30,"err")))</f>
        <v>0</v>
      </c>
      <c r="J30" s="13">
        <f>IF($E30="kWh",VLOOKUP(J$6,'Billing Determinants'!$A$7:$H$14,4,FALSE)/'Billing Determinants'!$D$14*$D30,IF($E30="# of Customers",$D30*VLOOKUP(J$6,'Billing Determinants'!$A$7:$H$14,3,FALSE)/'Billing Determinants'!$C$14,IF($E30="Distribution Rev.",VLOOKUP(J$6,'Billing Determinants'!$A$7:$H$14,8,FALSE)/'Billing Determinants'!$H$14*$D30,"err")))</f>
        <v>0</v>
      </c>
      <c r="K30" s="13">
        <f>IF($E30="kWh",VLOOKUP(K$6,'Billing Determinants'!$A$7:$H$14,4,FALSE)/'Billing Determinants'!$D$14*$D30,IF($E30="# of Customers",$D30*VLOOKUP(K$6,'Billing Determinants'!$A$7:$H$14,3,FALSE)/'Billing Determinants'!$C$14,IF($E30="Distribution Rev.",VLOOKUP(K$6,'Billing Determinants'!$A$7:$H$14,8,FALSE)/'Billing Determinants'!$H$14*$D30,"err")))</f>
        <v>0</v>
      </c>
      <c r="L30" s="13">
        <f>IF($E30="kWh",VLOOKUP(L$6,'Billing Determinants'!$A$7:$H$14,4,FALSE)/'Billing Determinants'!$D$14*$D30,IF($E30="# of Customers",$D30*VLOOKUP(L$6,'Billing Determinants'!$A$7:$H$14,3,FALSE)/'Billing Determinants'!$C$14,IF($E30="Distribution Rev.",VLOOKUP(L$6,'Billing Determinants'!$A$7:$H$14,8,FALSE)/'Billing Determinants'!$H$14*$D30,"err")))</f>
        <v>0</v>
      </c>
    </row>
    <row r="31" spans="1:12" x14ac:dyDescent="0.25">
      <c r="B31" s="28" t="str">
        <f>IF('[1]2b. Continuity Schedule'!C55="","",'[1]2b. Continuity Schedule'!C55)</f>
        <v xml:space="preserve">OEB Cost Differential Variance Account </v>
      </c>
      <c r="C31" s="12">
        <v>1508</v>
      </c>
      <c r="D31" s="13">
        <f>'[2]2b. Continuity Schedule - Grp 2'!$BW$11</f>
        <v>86938.938754250004</v>
      </c>
      <c r="E31" s="14" t="s">
        <v>6</v>
      </c>
      <c r="F31" s="13">
        <f>IF($E31="kWh",VLOOKUP(F$6,'Billing Determinants'!$A$7:$H$14,4,FALSE)/'Billing Determinants'!$D$14*$D31,IF($E31="# of Customers",$D31*VLOOKUP(F$6,'Billing Determinants'!$A$7:$H$14,3,FALSE)/'Billing Determinants'!$C$14,IF($E31="Distribution Rev.",VLOOKUP(F$6,'Billing Determinants'!$A$7:$H$14,8,FALSE)/'Billing Determinants'!$H$14*$D31,"err")))</f>
        <v>32160.381620146454</v>
      </c>
      <c r="G31" s="13">
        <f>IF($E31="kWh",VLOOKUP(G$6,'Billing Determinants'!$A$7:$H$14,4,FALSE)/'Billing Determinants'!$D$14*$D31,IF($E31="# of Customers",$D31*VLOOKUP(G$6,'Billing Determinants'!$A$7:$H$14,3,FALSE)/'Billing Determinants'!$C$14,IF($E31="Distribution Rev.",VLOOKUP(G$6,'Billing Determinants'!$A$7:$H$14,8,FALSE)/'Billing Determinants'!$H$14*$D31,"err")))</f>
        <v>12524.617331118154</v>
      </c>
      <c r="H31" s="13">
        <f>IF($E31="kWh",VLOOKUP(H$6,'Billing Determinants'!$A$7:$H$14,4,FALSE)/'Billing Determinants'!$D$14*$D31,IF($E31="# of Customers",$D31*VLOOKUP(H$6,'Billing Determinants'!$A$7:$H$14,3,FALSE)/'Billing Determinants'!$C$14,IF($E31="Distribution Rev.",VLOOKUP(H$6,'Billing Determinants'!$A$7:$H$14,8,FALSE)/'Billing Determinants'!$H$14*$D31,"err")))</f>
        <v>41818.429094791638</v>
      </c>
      <c r="I31" s="13">
        <f>IF($E31="kWh",VLOOKUP(I$6,'Billing Determinants'!$A$7:$H$14,4,FALSE)/'Billing Determinants'!$D$14*$D31,IF($E31="# of Customers",$D31*VLOOKUP(I$6,'Billing Determinants'!$A$7:$H$14,3,FALSE)/'Billing Determinants'!$C$14,IF($E31="Distribution Rev.",VLOOKUP(I$6,'Billing Determinants'!$A$7:$H$14,8,FALSE)/'Billing Determinants'!$H$14*$D31,"err")))</f>
        <v>186.99331593971215</v>
      </c>
      <c r="J31" s="13">
        <f>IF($E31="kWh",VLOOKUP(J$6,'Billing Determinants'!$A$7:$H$14,4,FALSE)/'Billing Determinants'!$D$14*$D31,IF($E31="# of Customers",$D31*VLOOKUP(J$6,'Billing Determinants'!$A$7:$H$14,3,FALSE)/'Billing Determinants'!$C$14,IF($E31="Distribution Rev.",VLOOKUP(J$6,'Billing Determinants'!$A$7:$H$14,8,FALSE)/'Billing Determinants'!$H$14*$D31,"err")))</f>
        <v>0</v>
      </c>
      <c r="K31" s="13">
        <f>IF($E31="kWh",VLOOKUP(K$6,'Billing Determinants'!$A$7:$H$14,4,FALSE)/'Billing Determinants'!$D$14*$D31,IF($E31="# of Customers",$D31*VLOOKUP(K$6,'Billing Determinants'!$A$7:$H$14,3,FALSE)/'Billing Determinants'!$C$14,IF($E31="Distribution Rev.",VLOOKUP(K$6,'Billing Determinants'!$A$7:$H$14,8,FALSE)/'Billing Determinants'!$H$14*$D31,"err")))</f>
        <v>248.51739225404518</v>
      </c>
      <c r="L31" s="13">
        <f>IF($E31="kWh",VLOOKUP(L$6,'Billing Determinants'!$A$7:$H$14,4,FALSE)/'Billing Determinants'!$D$14*$D31,IF($E31="# of Customers",$D31*VLOOKUP(L$6,'Billing Determinants'!$A$7:$H$14,3,FALSE)/'Billing Determinants'!$C$14,IF($E31="Distribution Rev.",VLOOKUP(L$6,'Billing Determinants'!$A$7:$H$14,8,FALSE)/'Billing Determinants'!$H$14*$D31,"err")))</f>
        <v>0</v>
      </c>
    </row>
    <row r="32" spans="1:12" x14ac:dyDescent="0.25">
      <c r="B32" s="28" t="str">
        <f>IF('[1]2b. Continuity Schedule'!C56="","",'[1]2b. Continuity Schedule'!C56)</f>
        <v xml:space="preserve">Incremental Capital Module (ICM) </v>
      </c>
      <c r="C32" s="12">
        <v>1508</v>
      </c>
      <c r="D32" s="13">
        <f>'[2]2b. Continuity Schedule - Grp 2'!$BW$12</f>
        <v>0</v>
      </c>
      <c r="E32" s="14" t="s">
        <v>6</v>
      </c>
      <c r="F32" s="13">
        <f>IF($E32="kWh",VLOOKUP(F$6,'Billing Determinants'!$A$7:$H$14,4,FALSE)/'Billing Determinants'!$D$14*$D32,IF($E32="# of Customers",$D32*VLOOKUP(F$6,'Billing Determinants'!$A$7:$H$14,3,FALSE)/'Billing Determinants'!$C$14,IF($E32="Distribution Rev.",VLOOKUP(F$6,'Billing Determinants'!$A$7:$H$14,8,FALSE)/'Billing Determinants'!$H$14*$D32,"err")))</f>
        <v>0</v>
      </c>
      <c r="G32" s="13">
        <f>IF($E32="kWh",VLOOKUP(G$6,'Billing Determinants'!$A$7:$H$14,4,FALSE)/'Billing Determinants'!$D$14*$D32,IF($E32="# of Customers",$D32*VLOOKUP(G$6,'Billing Determinants'!$A$7:$H$14,3,FALSE)/'Billing Determinants'!$C$14,IF($E32="Distribution Rev.",VLOOKUP(G$6,'Billing Determinants'!$A$7:$H$14,8,FALSE)/'Billing Determinants'!$H$14*$D32,"err")))</f>
        <v>0</v>
      </c>
      <c r="H32" s="13">
        <f>IF($E32="kWh",VLOOKUP(H$6,'Billing Determinants'!$A$7:$H$14,4,FALSE)/'Billing Determinants'!$D$14*$D32,IF($E32="# of Customers",$D32*VLOOKUP(H$6,'Billing Determinants'!$A$7:$H$14,3,FALSE)/'Billing Determinants'!$C$14,IF($E32="Distribution Rev.",VLOOKUP(H$6,'Billing Determinants'!$A$7:$H$14,8,FALSE)/'Billing Determinants'!$H$14*$D32,"err")))</f>
        <v>0</v>
      </c>
      <c r="I32" s="13">
        <f>IF($E32="kWh",VLOOKUP(I$6,'Billing Determinants'!$A$7:$H$14,4,FALSE)/'Billing Determinants'!$D$14*$D32,IF($E32="# of Customers",$D32*VLOOKUP(I$6,'Billing Determinants'!$A$7:$H$14,3,FALSE)/'Billing Determinants'!$C$14,IF($E32="Distribution Rev.",VLOOKUP(I$6,'Billing Determinants'!$A$7:$H$14,8,FALSE)/'Billing Determinants'!$H$14*$D32,"err")))</f>
        <v>0</v>
      </c>
      <c r="J32" s="13">
        <f>IF($E32="kWh",VLOOKUP(J$6,'Billing Determinants'!$A$7:$H$14,4,FALSE)/'Billing Determinants'!$D$14*$D32,IF($E32="# of Customers",$D32*VLOOKUP(J$6,'Billing Determinants'!$A$7:$H$14,3,FALSE)/'Billing Determinants'!$C$14,IF($E32="Distribution Rev.",VLOOKUP(J$6,'Billing Determinants'!$A$7:$H$14,8,FALSE)/'Billing Determinants'!$H$14*$D32,"err")))</f>
        <v>0</v>
      </c>
      <c r="K32" s="13">
        <f>IF($E32="kWh",VLOOKUP(K$6,'Billing Determinants'!$A$7:$H$14,4,FALSE)/'Billing Determinants'!$D$14*$D32,IF($E32="# of Customers",$D32*VLOOKUP(K$6,'Billing Determinants'!$A$7:$H$14,3,FALSE)/'Billing Determinants'!$C$14,IF($E32="Distribution Rev.",VLOOKUP(K$6,'Billing Determinants'!$A$7:$H$14,8,FALSE)/'Billing Determinants'!$H$14*$D32,"err")))</f>
        <v>0</v>
      </c>
      <c r="L32" s="13">
        <f>IF($E32="kWh",VLOOKUP(L$6,'Billing Determinants'!$A$7:$H$14,4,FALSE)/'Billing Determinants'!$D$14*$D32,IF($E32="# of Customers",$D32*VLOOKUP(L$6,'Billing Determinants'!$A$7:$H$14,3,FALSE)/'Billing Determinants'!$C$14,IF($E32="Distribution Rev.",VLOOKUP(L$6,'Billing Determinants'!$A$7:$H$14,8,FALSE)/'Billing Determinants'!$H$14*$D32,"err")))</f>
        <v>0</v>
      </c>
    </row>
    <row r="33" spans="1:12" hidden="1" x14ac:dyDescent="0.25">
      <c r="B33" s="28" t="str">
        <f>IF('[1]2b. Continuity Schedule'!C57="","",'[1]2b. Continuity Schedule'!C57)</f>
        <v/>
      </c>
      <c r="C33" s="12">
        <v>1508</v>
      </c>
      <c r="D33" s="13"/>
      <c r="E33" s="14" t="s">
        <v>6</v>
      </c>
      <c r="F33" s="13">
        <f>IF($E33="kWh",VLOOKUP(F$6,'Billing Determinants'!$A$7:$H$14,4,FALSE)/'Billing Determinants'!$D$14*$D33,IF($E33="# of Customers",$D33*VLOOKUP(F$6,'Billing Determinants'!$A$7:$H$14,3,FALSE)/'Billing Determinants'!$C$14,IF($E33="Distribution Rev.",VLOOKUP(F$6,'Billing Determinants'!$A$7:$H$14,8,FALSE)/'Billing Determinants'!$H$14*$D33,"err")))</f>
        <v>0</v>
      </c>
      <c r="G33" s="13">
        <f>IF($E33="kWh",VLOOKUP(G$6,'Billing Determinants'!$A$7:$H$14,4,FALSE)/'Billing Determinants'!$D$14*$D33,IF($E33="# of Customers",$D33*VLOOKUP(G$6,'Billing Determinants'!$A$7:$H$14,3,FALSE)/'Billing Determinants'!$C$14,IF($E33="Distribution Rev.",VLOOKUP(G$6,'Billing Determinants'!$A$7:$H$14,8,FALSE)/'Billing Determinants'!$H$14*$D33,"err")))</f>
        <v>0</v>
      </c>
      <c r="H33" s="13">
        <f>IF($E33="kWh",VLOOKUP(H$6,'Billing Determinants'!$A$7:$H$14,4,FALSE)/'Billing Determinants'!$D$14*$D33,IF($E33="# of Customers",$D33*VLOOKUP(H$6,'Billing Determinants'!$A$7:$H$14,3,FALSE)/'Billing Determinants'!$C$14,IF($E33="Distribution Rev.",VLOOKUP(H$6,'Billing Determinants'!$A$7:$H$14,8,FALSE)/'Billing Determinants'!$H$14*$D33,"err")))</f>
        <v>0</v>
      </c>
      <c r="I33" s="13">
        <f>IF($E33="kWh",VLOOKUP(I$6,'Billing Determinants'!$A$7:$H$14,4,FALSE)/'Billing Determinants'!$D$14*$D33,IF($E33="# of Customers",$D33*VLOOKUP(I$6,'Billing Determinants'!$A$7:$H$14,3,FALSE)/'Billing Determinants'!$C$14,IF($E33="Distribution Rev.",VLOOKUP(I$6,'Billing Determinants'!$A$7:$H$14,8,FALSE)/'Billing Determinants'!$H$14*$D33,"err")))</f>
        <v>0</v>
      </c>
      <c r="J33" s="13">
        <f>IF($E33="kWh",VLOOKUP(J$6,'Billing Determinants'!$A$7:$H$14,4,FALSE)/'Billing Determinants'!$D$14*$D33,IF($E33="# of Customers",$D33*VLOOKUP(J$6,'Billing Determinants'!$A$7:$H$14,3,FALSE)/'Billing Determinants'!$C$14,IF($E33="Distribution Rev.",VLOOKUP(J$6,'Billing Determinants'!$A$7:$H$14,8,FALSE)/'Billing Determinants'!$H$14*$D33,"err")))</f>
        <v>0</v>
      </c>
      <c r="K33" s="13">
        <f>IF($E33="kWh",VLOOKUP(K$6,'Billing Determinants'!$A$7:$H$14,4,FALSE)/'Billing Determinants'!$D$14*$D33,IF($E33="# of Customers",$D33*VLOOKUP(K$6,'Billing Determinants'!$A$7:$H$14,3,FALSE)/'Billing Determinants'!$C$14,IF($E33="Distribution Rev.",VLOOKUP(K$6,'Billing Determinants'!$A$7:$H$14,8,FALSE)/'Billing Determinants'!$H$14*$D33,"err")))</f>
        <v>0</v>
      </c>
      <c r="L33" s="13">
        <f>IF($E33="kWh",VLOOKUP(L$6,'Billing Determinants'!$A$7:$H$14,4,FALSE)/'Billing Determinants'!$D$14*$D33,IF($E33="# of Customers",$D33*VLOOKUP(L$6,'Billing Determinants'!$A$7:$H$14,3,FALSE)/'Billing Determinants'!$C$14,IF($E33="Distribution Rev.",VLOOKUP(L$6,'Billing Determinants'!$A$7:$H$14,8,FALSE)/'Billing Determinants'!$H$14*$D33,"err")))</f>
        <v>0</v>
      </c>
    </row>
    <row r="34" spans="1:12" hidden="1" x14ac:dyDescent="0.25">
      <c r="B34" s="28" t="str">
        <f>IF('[1]2b. Continuity Schedule'!C58="","",'[1]2b. Continuity Schedule'!C58)</f>
        <v/>
      </c>
      <c r="C34" s="12">
        <v>1508</v>
      </c>
      <c r="D34" s="13"/>
      <c r="E34" s="14" t="s">
        <v>6</v>
      </c>
      <c r="F34" s="13">
        <f>IF($E34="kWh",VLOOKUP(F$6,'Billing Determinants'!$A$7:$H$14,4,FALSE)/'Billing Determinants'!$D$14*$D34,IF($E34="# of Customers",$D34*VLOOKUP(F$6,'Billing Determinants'!$A$7:$H$14,3,FALSE)/'Billing Determinants'!$C$14,IF($E34="Distribution Rev.",VLOOKUP(F$6,'Billing Determinants'!$A$7:$H$14,8,FALSE)/'Billing Determinants'!$H$14*$D34,"err")))</f>
        <v>0</v>
      </c>
      <c r="G34" s="13">
        <f>IF($E34="kWh",VLOOKUP(G$6,'Billing Determinants'!$A$7:$H$14,4,FALSE)/'Billing Determinants'!$D$14*$D34,IF($E34="# of Customers",$D34*VLOOKUP(G$6,'Billing Determinants'!$A$7:$H$14,3,FALSE)/'Billing Determinants'!$C$14,IF($E34="Distribution Rev.",VLOOKUP(G$6,'Billing Determinants'!$A$7:$H$14,8,FALSE)/'Billing Determinants'!$H$14*$D34,"err")))</f>
        <v>0</v>
      </c>
      <c r="H34" s="13">
        <f>IF($E34="kWh",VLOOKUP(H$6,'Billing Determinants'!$A$7:$H$14,4,FALSE)/'Billing Determinants'!$D$14*$D34,IF($E34="# of Customers",$D34*VLOOKUP(H$6,'Billing Determinants'!$A$7:$H$14,3,FALSE)/'Billing Determinants'!$C$14,IF($E34="Distribution Rev.",VLOOKUP(H$6,'Billing Determinants'!$A$7:$H$14,8,FALSE)/'Billing Determinants'!$H$14*$D34,"err")))</f>
        <v>0</v>
      </c>
      <c r="I34" s="13">
        <f>IF($E34="kWh",VLOOKUP(I$6,'Billing Determinants'!$A$7:$H$14,4,FALSE)/'Billing Determinants'!$D$14*$D34,IF($E34="# of Customers",$D34*VLOOKUP(I$6,'Billing Determinants'!$A$7:$H$14,3,FALSE)/'Billing Determinants'!$C$14,IF($E34="Distribution Rev.",VLOOKUP(I$6,'Billing Determinants'!$A$7:$H$14,8,FALSE)/'Billing Determinants'!$H$14*$D34,"err")))</f>
        <v>0</v>
      </c>
      <c r="J34" s="13">
        <f>IF($E34="kWh",VLOOKUP(J$6,'Billing Determinants'!$A$7:$H$14,4,FALSE)/'Billing Determinants'!$D$14*$D34,IF($E34="# of Customers",$D34*VLOOKUP(J$6,'Billing Determinants'!$A$7:$H$14,3,FALSE)/'Billing Determinants'!$C$14,IF($E34="Distribution Rev.",VLOOKUP(J$6,'Billing Determinants'!$A$7:$H$14,8,FALSE)/'Billing Determinants'!$H$14*$D34,"err")))</f>
        <v>0</v>
      </c>
      <c r="K34" s="13">
        <f>IF($E34="kWh",VLOOKUP(K$6,'Billing Determinants'!$A$7:$H$14,4,FALSE)/'Billing Determinants'!$D$14*$D34,IF($E34="# of Customers",$D34*VLOOKUP(K$6,'Billing Determinants'!$A$7:$H$14,3,FALSE)/'Billing Determinants'!$C$14,IF($E34="Distribution Rev.",VLOOKUP(K$6,'Billing Determinants'!$A$7:$H$14,8,FALSE)/'Billing Determinants'!$H$14*$D34,"err")))</f>
        <v>0</v>
      </c>
      <c r="L34" s="13">
        <f>IF($E34="kWh",VLOOKUP(L$6,'Billing Determinants'!$A$7:$H$14,4,FALSE)/'Billing Determinants'!$D$14*$D34,IF($E34="# of Customers",$D34*VLOOKUP(L$6,'Billing Determinants'!$A$7:$H$14,3,FALSE)/'Billing Determinants'!$C$14,IF($E34="Distribution Rev.",VLOOKUP(L$6,'Billing Determinants'!$A$7:$H$14,8,FALSE)/'Billing Determinants'!$H$14*$D34,"err")))</f>
        <v>0</v>
      </c>
    </row>
    <row r="35" spans="1:12" hidden="1" x14ac:dyDescent="0.25">
      <c r="B35" s="28" t="str">
        <f>IF('[1]2b. Continuity Schedule'!C59="","",'[1]2b. Continuity Schedule'!C59)</f>
        <v/>
      </c>
      <c r="C35" s="12">
        <v>1508</v>
      </c>
      <c r="D35" s="13"/>
      <c r="E35" s="14" t="s">
        <v>6</v>
      </c>
      <c r="F35" s="13">
        <f>IF($E35="kWh",VLOOKUP(F$6,'Billing Determinants'!$A$7:$H$14,4,FALSE)/'Billing Determinants'!$D$14*$D35,IF($E35="# of Customers",$D35*VLOOKUP(F$6,'Billing Determinants'!$A$7:$H$14,3,FALSE)/'Billing Determinants'!$C$14,IF($E35="Distribution Rev.",VLOOKUP(F$6,'Billing Determinants'!$A$7:$H$14,8,FALSE)/'Billing Determinants'!$H$14*$D35,"err")))</f>
        <v>0</v>
      </c>
      <c r="G35" s="13">
        <f>IF($E35="kWh",VLOOKUP(G$6,'Billing Determinants'!$A$7:$H$14,4,FALSE)/'Billing Determinants'!$D$14*$D35,IF($E35="# of Customers",$D35*VLOOKUP(G$6,'Billing Determinants'!$A$7:$H$14,3,FALSE)/'Billing Determinants'!$C$14,IF($E35="Distribution Rev.",VLOOKUP(G$6,'Billing Determinants'!$A$7:$H$14,8,FALSE)/'Billing Determinants'!$H$14*$D35,"err")))</f>
        <v>0</v>
      </c>
      <c r="H35" s="13">
        <f>IF($E35="kWh",VLOOKUP(H$6,'Billing Determinants'!$A$7:$H$14,4,FALSE)/'Billing Determinants'!$D$14*$D35,IF($E35="# of Customers",$D35*VLOOKUP(H$6,'Billing Determinants'!$A$7:$H$14,3,FALSE)/'Billing Determinants'!$C$14,IF($E35="Distribution Rev.",VLOOKUP(H$6,'Billing Determinants'!$A$7:$H$14,8,FALSE)/'Billing Determinants'!$H$14*$D35,"err")))</f>
        <v>0</v>
      </c>
      <c r="I35" s="13">
        <f>IF($E35="kWh",VLOOKUP(I$6,'Billing Determinants'!$A$7:$H$14,4,FALSE)/'Billing Determinants'!$D$14*$D35,IF($E35="# of Customers",$D35*VLOOKUP(I$6,'Billing Determinants'!$A$7:$H$14,3,FALSE)/'Billing Determinants'!$C$14,IF($E35="Distribution Rev.",VLOOKUP(I$6,'Billing Determinants'!$A$7:$H$14,8,FALSE)/'Billing Determinants'!$H$14*$D35,"err")))</f>
        <v>0</v>
      </c>
      <c r="J35" s="13">
        <f>IF($E35="kWh",VLOOKUP(J$6,'Billing Determinants'!$A$7:$H$14,4,FALSE)/'Billing Determinants'!$D$14*$D35,IF($E35="# of Customers",$D35*VLOOKUP(J$6,'Billing Determinants'!$A$7:$H$14,3,FALSE)/'Billing Determinants'!$C$14,IF($E35="Distribution Rev.",VLOOKUP(J$6,'Billing Determinants'!$A$7:$H$14,8,FALSE)/'Billing Determinants'!$H$14*$D35,"err")))</f>
        <v>0</v>
      </c>
      <c r="K35" s="13">
        <f>IF($E35="kWh",VLOOKUP(K$6,'Billing Determinants'!$A$7:$H$14,4,FALSE)/'Billing Determinants'!$D$14*$D35,IF($E35="# of Customers",$D35*VLOOKUP(K$6,'Billing Determinants'!$A$7:$H$14,3,FALSE)/'Billing Determinants'!$C$14,IF($E35="Distribution Rev.",VLOOKUP(K$6,'Billing Determinants'!$A$7:$H$14,8,FALSE)/'Billing Determinants'!$H$14*$D35,"err")))</f>
        <v>0</v>
      </c>
      <c r="L35" s="13">
        <f>IF($E35="kWh",VLOOKUP(L$6,'Billing Determinants'!$A$7:$H$14,4,FALSE)/'Billing Determinants'!$D$14*$D35,IF($E35="# of Customers",$D35*VLOOKUP(L$6,'Billing Determinants'!$A$7:$H$14,3,FALSE)/'Billing Determinants'!$C$14,IF($E35="Distribution Rev.",VLOOKUP(L$6,'Billing Determinants'!$A$7:$H$14,8,FALSE)/'Billing Determinants'!$H$14*$D35,"err")))</f>
        <v>0</v>
      </c>
    </row>
    <row r="36" spans="1:12" hidden="1" x14ac:dyDescent="0.25">
      <c r="B36" s="28" t="str">
        <f>IF('[1]2b. Continuity Schedule'!C60="","",'[1]2b. Continuity Schedule'!C60)</f>
        <v/>
      </c>
      <c r="C36" s="12">
        <v>1508</v>
      </c>
      <c r="D36" s="13"/>
      <c r="E36" s="14" t="s">
        <v>6</v>
      </c>
      <c r="F36" s="13">
        <f>IF($E36="kWh",VLOOKUP(F$6,'Billing Determinants'!$A$7:$H$14,4,FALSE)/'Billing Determinants'!$D$14*$D36,IF($E36="# of Customers",$D36*VLOOKUP(F$6,'Billing Determinants'!$A$7:$H$14,3,FALSE)/'Billing Determinants'!$C$14,IF($E36="Distribution Rev.",VLOOKUP(F$6,'Billing Determinants'!$A$7:$H$14,8,FALSE)/'Billing Determinants'!$H$14*$D36,"err")))</f>
        <v>0</v>
      </c>
      <c r="G36" s="13">
        <f>IF($E36="kWh",VLOOKUP(G$6,'Billing Determinants'!$A$7:$H$14,4,FALSE)/'Billing Determinants'!$D$14*$D36,IF($E36="# of Customers",$D36*VLOOKUP(G$6,'Billing Determinants'!$A$7:$H$14,3,FALSE)/'Billing Determinants'!$C$14,IF($E36="Distribution Rev.",VLOOKUP(G$6,'Billing Determinants'!$A$7:$H$14,8,FALSE)/'Billing Determinants'!$H$14*$D36,"err")))</f>
        <v>0</v>
      </c>
      <c r="H36" s="13">
        <f>IF($E36="kWh",VLOOKUP(H$6,'Billing Determinants'!$A$7:$H$14,4,FALSE)/'Billing Determinants'!$D$14*$D36,IF($E36="# of Customers",$D36*VLOOKUP(H$6,'Billing Determinants'!$A$7:$H$14,3,FALSE)/'Billing Determinants'!$C$14,IF($E36="Distribution Rev.",VLOOKUP(H$6,'Billing Determinants'!$A$7:$H$14,8,FALSE)/'Billing Determinants'!$H$14*$D36,"err")))</f>
        <v>0</v>
      </c>
      <c r="I36" s="13">
        <f>IF($E36="kWh",VLOOKUP(I$6,'Billing Determinants'!$A$7:$H$14,4,FALSE)/'Billing Determinants'!$D$14*$D36,IF($E36="# of Customers",$D36*VLOOKUP(I$6,'Billing Determinants'!$A$7:$H$14,3,FALSE)/'Billing Determinants'!$C$14,IF($E36="Distribution Rev.",VLOOKUP(I$6,'Billing Determinants'!$A$7:$H$14,8,FALSE)/'Billing Determinants'!$H$14*$D36,"err")))</f>
        <v>0</v>
      </c>
      <c r="J36" s="13">
        <f>IF($E36="kWh",VLOOKUP(J$6,'Billing Determinants'!$A$7:$H$14,4,FALSE)/'Billing Determinants'!$D$14*$D36,IF($E36="# of Customers",$D36*VLOOKUP(J$6,'Billing Determinants'!$A$7:$H$14,3,FALSE)/'Billing Determinants'!$C$14,IF($E36="Distribution Rev.",VLOOKUP(J$6,'Billing Determinants'!$A$7:$H$14,8,FALSE)/'Billing Determinants'!$H$14*$D36,"err")))</f>
        <v>0</v>
      </c>
      <c r="K36" s="13">
        <f>IF($E36="kWh",VLOOKUP(K$6,'Billing Determinants'!$A$7:$H$14,4,FALSE)/'Billing Determinants'!$D$14*$D36,IF($E36="# of Customers",$D36*VLOOKUP(K$6,'Billing Determinants'!$A$7:$H$14,3,FALSE)/'Billing Determinants'!$C$14,IF($E36="Distribution Rev.",VLOOKUP(K$6,'Billing Determinants'!$A$7:$H$14,8,FALSE)/'Billing Determinants'!$H$14*$D36,"err")))</f>
        <v>0</v>
      </c>
      <c r="L36" s="13">
        <f>IF($E36="kWh",VLOOKUP(L$6,'Billing Determinants'!$A$7:$H$14,4,FALSE)/'Billing Determinants'!$D$14*$D36,IF($E36="# of Customers",$D36*VLOOKUP(L$6,'Billing Determinants'!$A$7:$H$14,3,FALSE)/'Billing Determinants'!$C$14,IF($E36="Distribution Rev.",VLOOKUP(L$6,'Billing Determinants'!$A$7:$H$14,8,FALSE)/'Billing Determinants'!$H$14*$D36,"err")))</f>
        <v>0</v>
      </c>
    </row>
    <row r="37" spans="1:12" hidden="1" x14ac:dyDescent="0.25">
      <c r="B37" s="28" t="str">
        <f>IF('[1]2b. Continuity Schedule'!C61="","",'[1]2b. Continuity Schedule'!C61)</f>
        <v/>
      </c>
      <c r="C37" s="12">
        <v>1508</v>
      </c>
      <c r="D37" s="13"/>
      <c r="E37" s="14" t="s">
        <v>6</v>
      </c>
      <c r="F37" s="13">
        <f>IF($E37="kWh",VLOOKUP(F$6,'Billing Determinants'!$A$7:$H$14,4,FALSE)/'Billing Determinants'!$D$14*$D37,IF($E37="# of Customers",$D37*VLOOKUP(F$6,'Billing Determinants'!$A$7:$H$14,3,FALSE)/'Billing Determinants'!$C$14,IF($E37="Distribution Rev.",VLOOKUP(F$6,'Billing Determinants'!$A$7:$H$14,8,FALSE)/'Billing Determinants'!$H$14*$D37,"err")))</f>
        <v>0</v>
      </c>
      <c r="G37" s="13">
        <f>IF($E37="kWh",VLOOKUP(G$6,'Billing Determinants'!$A$7:$H$14,4,FALSE)/'Billing Determinants'!$D$14*$D37,IF($E37="# of Customers",$D37*VLOOKUP(G$6,'Billing Determinants'!$A$7:$H$14,3,FALSE)/'Billing Determinants'!$C$14,IF($E37="Distribution Rev.",VLOOKUP(G$6,'Billing Determinants'!$A$7:$H$14,8,FALSE)/'Billing Determinants'!$H$14*$D37,"err")))</f>
        <v>0</v>
      </c>
      <c r="H37" s="13">
        <f>IF($E37="kWh",VLOOKUP(H$6,'Billing Determinants'!$A$7:$H$14,4,FALSE)/'Billing Determinants'!$D$14*$D37,IF($E37="# of Customers",$D37*VLOOKUP(H$6,'Billing Determinants'!$A$7:$H$14,3,FALSE)/'Billing Determinants'!$C$14,IF($E37="Distribution Rev.",VLOOKUP(H$6,'Billing Determinants'!$A$7:$H$14,8,FALSE)/'Billing Determinants'!$H$14*$D37,"err")))</f>
        <v>0</v>
      </c>
      <c r="I37" s="13">
        <f>IF($E37="kWh",VLOOKUP(I$6,'Billing Determinants'!$A$7:$H$14,4,FALSE)/'Billing Determinants'!$D$14*$D37,IF($E37="# of Customers",$D37*VLOOKUP(I$6,'Billing Determinants'!$A$7:$H$14,3,FALSE)/'Billing Determinants'!$C$14,IF($E37="Distribution Rev.",VLOOKUP(I$6,'Billing Determinants'!$A$7:$H$14,8,FALSE)/'Billing Determinants'!$H$14*$D37,"err")))</f>
        <v>0</v>
      </c>
      <c r="J37" s="13">
        <f>IF($E37="kWh",VLOOKUP(J$6,'Billing Determinants'!$A$7:$H$14,4,FALSE)/'Billing Determinants'!$D$14*$D37,IF($E37="# of Customers",$D37*VLOOKUP(J$6,'Billing Determinants'!$A$7:$H$14,3,FALSE)/'Billing Determinants'!$C$14,IF($E37="Distribution Rev.",VLOOKUP(J$6,'Billing Determinants'!$A$7:$H$14,8,FALSE)/'Billing Determinants'!$H$14*$D37,"err")))</f>
        <v>0</v>
      </c>
      <c r="K37" s="13">
        <f>IF($E37="kWh",VLOOKUP(K$6,'Billing Determinants'!$A$7:$H$14,4,FALSE)/'Billing Determinants'!$D$14*$D37,IF($E37="# of Customers",$D37*VLOOKUP(K$6,'Billing Determinants'!$A$7:$H$14,3,FALSE)/'Billing Determinants'!$C$14,IF($E37="Distribution Rev.",VLOOKUP(K$6,'Billing Determinants'!$A$7:$H$14,8,FALSE)/'Billing Determinants'!$H$14*$D37,"err")))</f>
        <v>0</v>
      </c>
      <c r="L37" s="13">
        <f>IF($E37="kWh",VLOOKUP(L$6,'Billing Determinants'!$A$7:$H$14,4,FALSE)/'Billing Determinants'!$D$14*$D37,IF($E37="# of Customers",$D37*VLOOKUP(L$6,'Billing Determinants'!$A$7:$H$14,3,FALSE)/'Billing Determinants'!$C$14,IF($E37="Distribution Rev.",VLOOKUP(L$6,'Billing Determinants'!$A$7:$H$14,8,FALSE)/'Billing Determinants'!$H$14*$D37,"err")))</f>
        <v>0</v>
      </c>
    </row>
    <row r="38" spans="1:12" hidden="1" x14ac:dyDescent="0.25">
      <c r="B38" s="28" t="str">
        <f>IF('[1]2b. Continuity Schedule'!C62="","",'[1]2b. Continuity Schedule'!C62)</f>
        <v/>
      </c>
      <c r="C38" s="12">
        <v>1508</v>
      </c>
      <c r="D38" s="13"/>
      <c r="E38" s="14" t="s">
        <v>6</v>
      </c>
      <c r="F38" s="13">
        <f>IF($E38="kWh",VLOOKUP(F$6,'Billing Determinants'!$A$7:$H$14,4,FALSE)/'Billing Determinants'!$D$14*$D38,IF($E38="# of Customers",$D38*VLOOKUP(F$6,'Billing Determinants'!$A$7:$H$14,3,FALSE)/'Billing Determinants'!$C$14,IF($E38="Distribution Rev.",VLOOKUP(F$6,'Billing Determinants'!$A$7:$H$14,8,FALSE)/'Billing Determinants'!$H$14*$D38,"err")))</f>
        <v>0</v>
      </c>
      <c r="G38" s="13">
        <f>IF($E38="kWh",VLOOKUP(G$6,'Billing Determinants'!$A$7:$H$14,4,FALSE)/'Billing Determinants'!$D$14*$D38,IF($E38="# of Customers",$D38*VLOOKUP(G$6,'Billing Determinants'!$A$7:$H$14,3,FALSE)/'Billing Determinants'!$C$14,IF($E38="Distribution Rev.",VLOOKUP(G$6,'Billing Determinants'!$A$7:$H$14,8,FALSE)/'Billing Determinants'!$H$14*$D38,"err")))</f>
        <v>0</v>
      </c>
      <c r="H38" s="13">
        <f>IF($E38="kWh",VLOOKUP(H$6,'Billing Determinants'!$A$7:$H$14,4,FALSE)/'Billing Determinants'!$D$14*$D38,IF($E38="# of Customers",$D38*VLOOKUP(H$6,'Billing Determinants'!$A$7:$H$14,3,FALSE)/'Billing Determinants'!$C$14,IF($E38="Distribution Rev.",VLOOKUP(H$6,'Billing Determinants'!$A$7:$H$14,8,FALSE)/'Billing Determinants'!$H$14*$D38,"err")))</f>
        <v>0</v>
      </c>
      <c r="I38" s="13">
        <f>IF($E38="kWh",VLOOKUP(I$6,'Billing Determinants'!$A$7:$H$14,4,FALSE)/'Billing Determinants'!$D$14*$D38,IF($E38="# of Customers",$D38*VLOOKUP(I$6,'Billing Determinants'!$A$7:$H$14,3,FALSE)/'Billing Determinants'!$C$14,IF($E38="Distribution Rev.",VLOOKUP(I$6,'Billing Determinants'!$A$7:$H$14,8,FALSE)/'Billing Determinants'!$H$14*$D38,"err")))</f>
        <v>0</v>
      </c>
      <c r="J38" s="13">
        <f>IF($E38="kWh",VLOOKUP(J$6,'Billing Determinants'!$A$7:$H$14,4,FALSE)/'Billing Determinants'!$D$14*$D38,IF($E38="# of Customers",$D38*VLOOKUP(J$6,'Billing Determinants'!$A$7:$H$14,3,FALSE)/'Billing Determinants'!$C$14,IF($E38="Distribution Rev.",VLOOKUP(J$6,'Billing Determinants'!$A$7:$H$14,8,FALSE)/'Billing Determinants'!$H$14*$D38,"err")))</f>
        <v>0</v>
      </c>
      <c r="K38" s="13">
        <f>IF($E38="kWh",VLOOKUP(K$6,'Billing Determinants'!$A$7:$H$14,4,FALSE)/'Billing Determinants'!$D$14*$D38,IF($E38="# of Customers",$D38*VLOOKUP(K$6,'Billing Determinants'!$A$7:$H$14,3,FALSE)/'Billing Determinants'!$C$14,IF($E38="Distribution Rev.",VLOOKUP(K$6,'Billing Determinants'!$A$7:$H$14,8,FALSE)/'Billing Determinants'!$H$14*$D38,"err")))</f>
        <v>0</v>
      </c>
      <c r="L38" s="13">
        <f>IF($E38="kWh",VLOOKUP(L$6,'Billing Determinants'!$A$7:$H$14,4,FALSE)/'Billing Determinants'!$D$14*$D38,IF($E38="# of Customers",$D38*VLOOKUP(L$6,'Billing Determinants'!$A$7:$H$14,3,FALSE)/'Billing Determinants'!$C$14,IF($E38="Distribution Rev.",VLOOKUP(L$6,'Billing Determinants'!$A$7:$H$14,8,FALSE)/'Billing Determinants'!$H$14*$D38,"err")))</f>
        <v>0</v>
      </c>
    </row>
    <row r="39" spans="1:12" hidden="1" x14ac:dyDescent="0.25">
      <c r="B39" s="28" t="str">
        <f>IF('[1]2b. Continuity Schedule'!C63="","",'[1]2b. Continuity Schedule'!C63)</f>
        <v/>
      </c>
      <c r="C39" s="12">
        <v>1508</v>
      </c>
      <c r="D39" s="13"/>
      <c r="E39" s="14" t="s">
        <v>6</v>
      </c>
      <c r="F39" s="13">
        <f>IF($E39="kWh",VLOOKUP(F$6,'Billing Determinants'!$A$7:$H$14,4,FALSE)/'Billing Determinants'!$D$14*$D39,IF($E39="# of Customers",$D39*VLOOKUP(F$6,'Billing Determinants'!$A$7:$H$14,3,FALSE)/'Billing Determinants'!$C$14,IF($E39="Distribution Rev.",VLOOKUP(F$6,'Billing Determinants'!$A$7:$H$14,8,FALSE)/'Billing Determinants'!$H$14*$D39,"err")))</f>
        <v>0</v>
      </c>
      <c r="G39" s="13">
        <f>IF($E39="kWh",VLOOKUP(G$6,'Billing Determinants'!$A$7:$H$14,4,FALSE)/'Billing Determinants'!$D$14*$D39,IF($E39="# of Customers",$D39*VLOOKUP(G$6,'Billing Determinants'!$A$7:$H$14,3,FALSE)/'Billing Determinants'!$C$14,IF($E39="Distribution Rev.",VLOOKUP(G$6,'Billing Determinants'!$A$7:$H$14,8,FALSE)/'Billing Determinants'!$H$14*$D39,"err")))</f>
        <v>0</v>
      </c>
      <c r="H39" s="13">
        <f>IF($E39="kWh",VLOOKUP(H$6,'Billing Determinants'!$A$7:$H$14,4,FALSE)/'Billing Determinants'!$D$14*$D39,IF($E39="# of Customers",$D39*VLOOKUP(H$6,'Billing Determinants'!$A$7:$H$14,3,FALSE)/'Billing Determinants'!$C$14,IF($E39="Distribution Rev.",VLOOKUP(H$6,'Billing Determinants'!$A$7:$H$14,8,FALSE)/'Billing Determinants'!$H$14*$D39,"err")))</f>
        <v>0</v>
      </c>
      <c r="I39" s="13">
        <f>IF($E39="kWh",VLOOKUP(I$6,'Billing Determinants'!$A$7:$H$14,4,FALSE)/'Billing Determinants'!$D$14*$D39,IF($E39="# of Customers",$D39*VLOOKUP(I$6,'Billing Determinants'!$A$7:$H$14,3,FALSE)/'Billing Determinants'!$C$14,IF($E39="Distribution Rev.",VLOOKUP(I$6,'Billing Determinants'!$A$7:$H$14,8,FALSE)/'Billing Determinants'!$H$14*$D39,"err")))</f>
        <v>0</v>
      </c>
      <c r="J39" s="13">
        <f>IF($E39="kWh",VLOOKUP(J$6,'Billing Determinants'!$A$7:$H$14,4,FALSE)/'Billing Determinants'!$D$14*$D39,IF($E39="# of Customers",$D39*VLOOKUP(J$6,'Billing Determinants'!$A$7:$H$14,3,FALSE)/'Billing Determinants'!$C$14,IF($E39="Distribution Rev.",VLOOKUP(J$6,'Billing Determinants'!$A$7:$H$14,8,FALSE)/'Billing Determinants'!$H$14*$D39,"err")))</f>
        <v>0</v>
      </c>
      <c r="K39" s="13">
        <f>IF($E39="kWh",VLOOKUP(K$6,'Billing Determinants'!$A$7:$H$14,4,FALSE)/'Billing Determinants'!$D$14*$D39,IF($E39="# of Customers",$D39*VLOOKUP(K$6,'Billing Determinants'!$A$7:$H$14,3,FALSE)/'Billing Determinants'!$C$14,IF($E39="Distribution Rev.",VLOOKUP(K$6,'Billing Determinants'!$A$7:$H$14,8,FALSE)/'Billing Determinants'!$H$14*$D39,"err")))</f>
        <v>0</v>
      </c>
      <c r="L39" s="13">
        <f>IF($E39="kWh",VLOOKUP(L$6,'Billing Determinants'!$A$7:$H$14,4,FALSE)/'Billing Determinants'!$D$14*$D39,IF($E39="# of Customers",$D39*VLOOKUP(L$6,'Billing Determinants'!$A$7:$H$14,3,FALSE)/'Billing Determinants'!$C$14,IF($E39="Distribution Rev.",VLOOKUP(L$6,'Billing Determinants'!$A$7:$H$14,8,FALSE)/'Billing Determinants'!$H$14*$D39,"err")))</f>
        <v>0</v>
      </c>
    </row>
    <row r="40" spans="1:12" hidden="1" x14ac:dyDescent="0.25">
      <c r="B40" s="28" t="str">
        <f>IF('[1]2b. Continuity Schedule'!C64="","",'[1]2b. Continuity Schedule'!C64)</f>
        <v/>
      </c>
      <c r="C40" s="12">
        <v>1508</v>
      </c>
      <c r="D40" s="13"/>
      <c r="E40" s="14" t="s">
        <v>6</v>
      </c>
      <c r="F40" s="13">
        <f>IF($E40="kWh",VLOOKUP(F$6,'Billing Determinants'!$A$7:$H$14,4,FALSE)/'Billing Determinants'!$D$14*$D40,IF($E40="# of Customers",$D40*VLOOKUP(F$6,'Billing Determinants'!$A$7:$H$14,3,FALSE)/'Billing Determinants'!$C$14,IF($E40="Distribution Rev.",VLOOKUP(F$6,'Billing Determinants'!$A$7:$H$14,8,FALSE)/'Billing Determinants'!$H$14*$D40,"err")))</f>
        <v>0</v>
      </c>
      <c r="G40" s="13">
        <f>IF($E40="kWh",VLOOKUP(G$6,'Billing Determinants'!$A$7:$H$14,4,FALSE)/'Billing Determinants'!$D$14*$D40,IF($E40="# of Customers",$D40*VLOOKUP(G$6,'Billing Determinants'!$A$7:$H$14,3,FALSE)/'Billing Determinants'!$C$14,IF($E40="Distribution Rev.",VLOOKUP(G$6,'Billing Determinants'!$A$7:$H$14,8,FALSE)/'Billing Determinants'!$H$14*$D40,"err")))</f>
        <v>0</v>
      </c>
      <c r="H40" s="13">
        <f>IF($E40="kWh",VLOOKUP(H$6,'Billing Determinants'!$A$7:$H$14,4,FALSE)/'Billing Determinants'!$D$14*$D40,IF($E40="# of Customers",$D40*VLOOKUP(H$6,'Billing Determinants'!$A$7:$H$14,3,FALSE)/'Billing Determinants'!$C$14,IF($E40="Distribution Rev.",VLOOKUP(H$6,'Billing Determinants'!$A$7:$H$14,8,FALSE)/'Billing Determinants'!$H$14*$D40,"err")))</f>
        <v>0</v>
      </c>
      <c r="I40" s="13">
        <f>IF($E40="kWh",VLOOKUP(I$6,'Billing Determinants'!$A$7:$H$14,4,FALSE)/'Billing Determinants'!$D$14*$D40,IF($E40="# of Customers",$D40*VLOOKUP(I$6,'Billing Determinants'!$A$7:$H$14,3,FALSE)/'Billing Determinants'!$C$14,IF($E40="Distribution Rev.",VLOOKUP(I$6,'Billing Determinants'!$A$7:$H$14,8,FALSE)/'Billing Determinants'!$H$14*$D40,"err")))</f>
        <v>0</v>
      </c>
      <c r="J40" s="13">
        <f>IF($E40="kWh",VLOOKUP(J$6,'Billing Determinants'!$A$7:$H$14,4,FALSE)/'Billing Determinants'!$D$14*$D40,IF($E40="# of Customers",$D40*VLOOKUP(J$6,'Billing Determinants'!$A$7:$H$14,3,FALSE)/'Billing Determinants'!$C$14,IF($E40="Distribution Rev.",VLOOKUP(J$6,'Billing Determinants'!$A$7:$H$14,8,FALSE)/'Billing Determinants'!$H$14*$D40,"err")))</f>
        <v>0</v>
      </c>
      <c r="K40" s="13">
        <f>IF($E40="kWh",VLOOKUP(K$6,'Billing Determinants'!$A$7:$H$14,4,FALSE)/'Billing Determinants'!$D$14*$D40,IF($E40="# of Customers",$D40*VLOOKUP(K$6,'Billing Determinants'!$A$7:$H$14,3,FALSE)/'Billing Determinants'!$C$14,IF($E40="Distribution Rev.",VLOOKUP(K$6,'Billing Determinants'!$A$7:$H$14,8,FALSE)/'Billing Determinants'!$H$14*$D40,"err")))</f>
        <v>0</v>
      </c>
      <c r="L40" s="13">
        <f>IF($E40="kWh",VLOOKUP(L$6,'Billing Determinants'!$A$7:$H$14,4,FALSE)/'Billing Determinants'!$D$14*$D40,IF($E40="# of Customers",$D40*VLOOKUP(L$6,'Billing Determinants'!$A$7:$H$14,3,FALSE)/'Billing Determinants'!$C$14,IF($E40="Distribution Rev.",VLOOKUP(L$6,'Billing Determinants'!$A$7:$H$14,8,FALSE)/'Billing Determinants'!$H$14*$D40,"err")))</f>
        <v>0</v>
      </c>
    </row>
    <row r="41" spans="1:12" hidden="1" x14ac:dyDescent="0.25">
      <c r="B41" s="28" t="str">
        <f>IF('[1]2b. Continuity Schedule'!C65="","",'[1]2b. Continuity Schedule'!C65)</f>
        <v/>
      </c>
      <c r="C41" s="12">
        <v>1508</v>
      </c>
      <c r="D41" s="13"/>
      <c r="E41" s="14" t="s">
        <v>6</v>
      </c>
      <c r="F41" s="13">
        <f>IF($E41="kWh",VLOOKUP(F$6,'Billing Determinants'!$A$7:$H$14,4,FALSE)/'Billing Determinants'!$D$14*$D41,IF($E41="# of Customers",$D41*VLOOKUP(F$6,'Billing Determinants'!$A$7:$H$14,3,FALSE)/'Billing Determinants'!$C$14,IF($E41="Distribution Rev.",VLOOKUP(F$6,'Billing Determinants'!$A$7:$H$14,8,FALSE)/'Billing Determinants'!$H$14*$D41,"err")))</f>
        <v>0</v>
      </c>
      <c r="G41" s="13">
        <f>IF($E41="kWh",VLOOKUP(G$6,'Billing Determinants'!$A$7:$H$14,4,FALSE)/'Billing Determinants'!$D$14*$D41,IF($E41="# of Customers",$D41*VLOOKUP(G$6,'Billing Determinants'!$A$7:$H$14,3,FALSE)/'Billing Determinants'!$C$14,IF($E41="Distribution Rev.",VLOOKUP(G$6,'Billing Determinants'!$A$7:$H$14,8,FALSE)/'Billing Determinants'!$H$14*$D41,"err")))</f>
        <v>0</v>
      </c>
      <c r="H41" s="13">
        <f>IF($E41="kWh",VLOOKUP(H$6,'Billing Determinants'!$A$7:$H$14,4,FALSE)/'Billing Determinants'!$D$14*$D41,IF($E41="# of Customers",$D41*VLOOKUP(H$6,'Billing Determinants'!$A$7:$H$14,3,FALSE)/'Billing Determinants'!$C$14,IF($E41="Distribution Rev.",VLOOKUP(H$6,'Billing Determinants'!$A$7:$H$14,8,FALSE)/'Billing Determinants'!$H$14*$D41,"err")))</f>
        <v>0</v>
      </c>
      <c r="I41" s="13">
        <f>IF($E41="kWh",VLOOKUP(I$6,'Billing Determinants'!$A$7:$H$14,4,FALSE)/'Billing Determinants'!$D$14*$D41,IF($E41="# of Customers",$D41*VLOOKUP(I$6,'Billing Determinants'!$A$7:$H$14,3,FALSE)/'Billing Determinants'!$C$14,IF($E41="Distribution Rev.",VLOOKUP(I$6,'Billing Determinants'!$A$7:$H$14,8,FALSE)/'Billing Determinants'!$H$14*$D41,"err")))</f>
        <v>0</v>
      </c>
      <c r="J41" s="13">
        <f>IF($E41="kWh",VLOOKUP(J$6,'Billing Determinants'!$A$7:$H$14,4,FALSE)/'Billing Determinants'!$D$14*$D41,IF($E41="# of Customers",$D41*VLOOKUP(J$6,'Billing Determinants'!$A$7:$H$14,3,FALSE)/'Billing Determinants'!$C$14,IF($E41="Distribution Rev.",VLOOKUP(J$6,'Billing Determinants'!$A$7:$H$14,8,FALSE)/'Billing Determinants'!$H$14*$D41,"err")))</f>
        <v>0</v>
      </c>
      <c r="K41" s="13">
        <f>IF($E41="kWh",VLOOKUP(K$6,'Billing Determinants'!$A$7:$H$14,4,FALSE)/'Billing Determinants'!$D$14*$D41,IF($E41="# of Customers",$D41*VLOOKUP(K$6,'Billing Determinants'!$A$7:$H$14,3,FALSE)/'Billing Determinants'!$C$14,IF($E41="Distribution Rev.",VLOOKUP(K$6,'Billing Determinants'!$A$7:$H$14,8,FALSE)/'Billing Determinants'!$H$14*$D41,"err")))</f>
        <v>0</v>
      </c>
      <c r="L41" s="13">
        <f>IF($E41="kWh",VLOOKUP(L$6,'Billing Determinants'!$A$7:$H$14,4,FALSE)/'Billing Determinants'!$D$14*$D41,IF($E41="# of Customers",$D41*VLOOKUP(L$6,'Billing Determinants'!$A$7:$H$14,3,FALSE)/'Billing Determinants'!$C$14,IF($E41="Distribution Rev.",VLOOKUP(L$6,'Billing Determinants'!$A$7:$H$14,8,FALSE)/'Billing Determinants'!$H$14*$D41,"err")))</f>
        <v>0</v>
      </c>
    </row>
    <row r="42" spans="1:12" hidden="1" x14ac:dyDescent="0.25">
      <c r="B42" s="28" t="str">
        <f>IF('[1]2b. Continuity Schedule'!C66="","",'[1]2b. Continuity Schedule'!C66)</f>
        <v/>
      </c>
      <c r="C42" s="12">
        <v>1508</v>
      </c>
      <c r="D42" s="13"/>
      <c r="E42" s="14" t="s">
        <v>6</v>
      </c>
      <c r="F42" s="13">
        <f>IF($E42="kWh",VLOOKUP(F$6,'Billing Determinants'!$A$7:$H$14,4,FALSE)/'Billing Determinants'!$D$14*$D42,IF($E42="# of Customers",$D42*VLOOKUP(F$6,'Billing Determinants'!$A$7:$H$14,3,FALSE)/'Billing Determinants'!$C$14,IF($E42="Distribution Rev.",VLOOKUP(F$6,'Billing Determinants'!$A$7:$H$14,8,FALSE)/'Billing Determinants'!$H$14*$D42,"err")))</f>
        <v>0</v>
      </c>
      <c r="G42" s="13">
        <f>IF($E42="kWh",VLOOKUP(G$6,'Billing Determinants'!$A$7:$H$14,4,FALSE)/'Billing Determinants'!$D$14*$D42,IF($E42="# of Customers",$D42*VLOOKUP(G$6,'Billing Determinants'!$A$7:$H$14,3,FALSE)/'Billing Determinants'!$C$14,IF($E42="Distribution Rev.",VLOOKUP(G$6,'Billing Determinants'!$A$7:$H$14,8,FALSE)/'Billing Determinants'!$H$14*$D42,"err")))</f>
        <v>0</v>
      </c>
      <c r="H42" s="13">
        <f>IF($E42="kWh",VLOOKUP(H$6,'Billing Determinants'!$A$7:$H$14,4,FALSE)/'Billing Determinants'!$D$14*$D42,IF($E42="# of Customers",$D42*VLOOKUP(H$6,'Billing Determinants'!$A$7:$H$14,3,FALSE)/'Billing Determinants'!$C$14,IF($E42="Distribution Rev.",VLOOKUP(H$6,'Billing Determinants'!$A$7:$H$14,8,FALSE)/'Billing Determinants'!$H$14*$D42,"err")))</f>
        <v>0</v>
      </c>
      <c r="I42" s="13">
        <f>IF($E42="kWh",VLOOKUP(I$6,'Billing Determinants'!$A$7:$H$14,4,FALSE)/'Billing Determinants'!$D$14*$D42,IF($E42="# of Customers",$D42*VLOOKUP(I$6,'Billing Determinants'!$A$7:$H$14,3,FALSE)/'Billing Determinants'!$C$14,IF($E42="Distribution Rev.",VLOOKUP(I$6,'Billing Determinants'!$A$7:$H$14,8,FALSE)/'Billing Determinants'!$H$14*$D42,"err")))</f>
        <v>0</v>
      </c>
      <c r="J42" s="13">
        <f>IF($E42="kWh",VLOOKUP(J$6,'Billing Determinants'!$A$7:$H$14,4,FALSE)/'Billing Determinants'!$D$14*$D42,IF($E42="# of Customers",$D42*VLOOKUP(J$6,'Billing Determinants'!$A$7:$H$14,3,FALSE)/'Billing Determinants'!$C$14,IF($E42="Distribution Rev.",VLOOKUP(J$6,'Billing Determinants'!$A$7:$H$14,8,FALSE)/'Billing Determinants'!$H$14*$D42,"err")))</f>
        <v>0</v>
      </c>
      <c r="K42" s="13">
        <f>IF($E42="kWh",VLOOKUP(K$6,'Billing Determinants'!$A$7:$H$14,4,FALSE)/'Billing Determinants'!$D$14*$D42,IF($E42="# of Customers",$D42*VLOOKUP(K$6,'Billing Determinants'!$A$7:$H$14,3,FALSE)/'Billing Determinants'!$C$14,IF($E42="Distribution Rev.",VLOOKUP(K$6,'Billing Determinants'!$A$7:$H$14,8,FALSE)/'Billing Determinants'!$H$14*$D42,"err")))</f>
        <v>0</v>
      </c>
      <c r="L42" s="13">
        <f>IF($E42="kWh",VLOOKUP(L$6,'Billing Determinants'!$A$7:$H$14,4,FALSE)/'Billing Determinants'!$D$14*$D42,IF($E42="# of Customers",$D42*VLOOKUP(L$6,'Billing Determinants'!$A$7:$H$14,3,FALSE)/'Billing Determinants'!$C$14,IF($E42="Distribution Rev.",VLOOKUP(L$6,'Billing Determinants'!$A$7:$H$14,8,FALSE)/'Billing Determinants'!$H$14*$D42,"err")))</f>
        <v>0</v>
      </c>
    </row>
    <row r="43" spans="1:12" hidden="1" x14ac:dyDescent="0.25">
      <c r="B43" s="28" t="str">
        <f>IF('[1]2b. Continuity Schedule'!C67="","",'[1]2b. Continuity Schedule'!C67)</f>
        <v/>
      </c>
      <c r="C43" s="12">
        <v>1508</v>
      </c>
      <c r="D43" s="13"/>
      <c r="E43" s="14" t="s">
        <v>6</v>
      </c>
      <c r="F43" s="13">
        <f>IF($E43="kWh",VLOOKUP(F$6,'Billing Determinants'!$A$7:$H$14,4,FALSE)/'Billing Determinants'!$D$14*$D43,IF($E43="# of Customers",$D43*VLOOKUP(F$6,'Billing Determinants'!$A$7:$H$14,3,FALSE)/'Billing Determinants'!$C$14,IF($E43="Distribution Rev.",VLOOKUP(F$6,'Billing Determinants'!$A$7:$H$14,8,FALSE)/'Billing Determinants'!$H$14*$D43,"err")))</f>
        <v>0</v>
      </c>
      <c r="G43" s="13">
        <f>IF($E43="kWh",VLOOKUP(G$6,'Billing Determinants'!$A$7:$H$14,4,FALSE)/'Billing Determinants'!$D$14*$D43,IF($E43="# of Customers",$D43*VLOOKUP(G$6,'Billing Determinants'!$A$7:$H$14,3,FALSE)/'Billing Determinants'!$C$14,IF($E43="Distribution Rev.",VLOOKUP(G$6,'Billing Determinants'!$A$7:$H$14,8,FALSE)/'Billing Determinants'!$H$14*$D43,"err")))</f>
        <v>0</v>
      </c>
      <c r="H43" s="13">
        <f>IF($E43="kWh",VLOOKUP(H$6,'Billing Determinants'!$A$7:$H$14,4,FALSE)/'Billing Determinants'!$D$14*$D43,IF($E43="# of Customers",$D43*VLOOKUP(H$6,'Billing Determinants'!$A$7:$H$14,3,FALSE)/'Billing Determinants'!$C$14,IF($E43="Distribution Rev.",VLOOKUP(H$6,'Billing Determinants'!$A$7:$H$14,8,FALSE)/'Billing Determinants'!$H$14*$D43,"err")))</f>
        <v>0</v>
      </c>
      <c r="I43" s="13">
        <f>IF($E43="kWh",VLOOKUP(I$6,'Billing Determinants'!$A$7:$H$14,4,FALSE)/'Billing Determinants'!$D$14*$D43,IF($E43="# of Customers",$D43*VLOOKUP(I$6,'Billing Determinants'!$A$7:$H$14,3,FALSE)/'Billing Determinants'!$C$14,IF($E43="Distribution Rev.",VLOOKUP(I$6,'Billing Determinants'!$A$7:$H$14,8,FALSE)/'Billing Determinants'!$H$14*$D43,"err")))</f>
        <v>0</v>
      </c>
      <c r="J43" s="13">
        <f>IF($E43="kWh",VLOOKUP(J$6,'Billing Determinants'!$A$7:$H$14,4,FALSE)/'Billing Determinants'!$D$14*$D43,IF($E43="# of Customers",$D43*VLOOKUP(J$6,'Billing Determinants'!$A$7:$H$14,3,FALSE)/'Billing Determinants'!$C$14,IF($E43="Distribution Rev.",VLOOKUP(J$6,'Billing Determinants'!$A$7:$H$14,8,FALSE)/'Billing Determinants'!$H$14*$D43,"err")))</f>
        <v>0</v>
      </c>
      <c r="K43" s="13">
        <f>IF($E43="kWh",VLOOKUP(K$6,'Billing Determinants'!$A$7:$H$14,4,FALSE)/'Billing Determinants'!$D$14*$D43,IF($E43="# of Customers",$D43*VLOOKUP(K$6,'Billing Determinants'!$A$7:$H$14,3,FALSE)/'Billing Determinants'!$C$14,IF($E43="Distribution Rev.",VLOOKUP(K$6,'Billing Determinants'!$A$7:$H$14,8,FALSE)/'Billing Determinants'!$H$14*$D43,"err")))</f>
        <v>0</v>
      </c>
      <c r="L43" s="13">
        <f>IF($E43="kWh",VLOOKUP(L$6,'Billing Determinants'!$A$7:$H$14,4,FALSE)/'Billing Determinants'!$D$14*$D43,IF($E43="# of Customers",$D43*VLOOKUP(L$6,'Billing Determinants'!$A$7:$H$14,3,FALSE)/'Billing Determinants'!$C$14,IF($E43="Distribution Rev.",VLOOKUP(L$6,'Billing Determinants'!$A$7:$H$14,8,FALSE)/'Billing Determinants'!$H$14*$D43,"err")))</f>
        <v>0</v>
      </c>
    </row>
    <row r="44" spans="1:12" hidden="1" x14ac:dyDescent="0.25">
      <c r="B44" s="28" t="str">
        <f>IF('[1]2b. Continuity Schedule'!C68="","",'[1]2b. Continuity Schedule'!C68)</f>
        <v/>
      </c>
      <c r="C44" s="12">
        <v>1508</v>
      </c>
      <c r="D44" s="13"/>
      <c r="E44" s="14" t="s">
        <v>6</v>
      </c>
      <c r="F44" s="13">
        <f>IF($E44="kWh",VLOOKUP(F$6,'Billing Determinants'!$A$7:$H$14,4,FALSE)/'Billing Determinants'!$D$14*$D44,IF($E44="# of Customers",$D44*VLOOKUP(F$6,'Billing Determinants'!$A$7:$H$14,3,FALSE)/'Billing Determinants'!$C$14,IF($E44="Distribution Rev.",VLOOKUP(F$6,'Billing Determinants'!$A$7:$H$14,8,FALSE)/'Billing Determinants'!$H$14*$D44,"err")))</f>
        <v>0</v>
      </c>
      <c r="G44" s="13">
        <f>IF($E44="kWh",VLOOKUP(G$6,'Billing Determinants'!$A$7:$H$14,4,FALSE)/'Billing Determinants'!$D$14*$D44,IF($E44="# of Customers",$D44*VLOOKUP(G$6,'Billing Determinants'!$A$7:$H$14,3,FALSE)/'Billing Determinants'!$C$14,IF($E44="Distribution Rev.",VLOOKUP(G$6,'Billing Determinants'!$A$7:$H$14,8,FALSE)/'Billing Determinants'!$H$14*$D44,"err")))</f>
        <v>0</v>
      </c>
      <c r="H44" s="13">
        <f>IF($E44="kWh",VLOOKUP(H$6,'Billing Determinants'!$A$7:$H$14,4,FALSE)/'Billing Determinants'!$D$14*$D44,IF($E44="# of Customers",$D44*VLOOKUP(H$6,'Billing Determinants'!$A$7:$H$14,3,FALSE)/'Billing Determinants'!$C$14,IF($E44="Distribution Rev.",VLOOKUP(H$6,'Billing Determinants'!$A$7:$H$14,8,FALSE)/'Billing Determinants'!$H$14*$D44,"err")))</f>
        <v>0</v>
      </c>
      <c r="I44" s="13">
        <f>IF($E44="kWh",VLOOKUP(I$6,'Billing Determinants'!$A$7:$H$14,4,FALSE)/'Billing Determinants'!$D$14*$D44,IF($E44="# of Customers",$D44*VLOOKUP(I$6,'Billing Determinants'!$A$7:$H$14,3,FALSE)/'Billing Determinants'!$C$14,IF($E44="Distribution Rev.",VLOOKUP(I$6,'Billing Determinants'!$A$7:$H$14,8,FALSE)/'Billing Determinants'!$H$14*$D44,"err")))</f>
        <v>0</v>
      </c>
      <c r="J44" s="13">
        <f>IF($E44="kWh",VLOOKUP(J$6,'Billing Determinants'!$A$7:$H$14,4,FALSE)/'Billing Determinants'!$D$14*$D44,IF($E44="# of Customers",$D44*VLOOKUP(J$6,'Billing Determinants'!$A$7:$H$14,3,FALSE)/'Billing Determinants'!$C$14,IF($E44="Distribution Rev.",VLOOKUP(J$6,'Billing Determinants'!$A$7:$H$14,8,FALSE)/'Billing Determinants'!$H$14*$D44,"err")))</f>
        <v>0</v>
      </c>
      <c r="K44" s="13">
        <f>IF($E44="kWh",VLOOKUP(K$6,'Billing Determinants'!$A$7:$H$14,4,FALSE)/'Billing Determinants'!$D$14*$D44,IF($E44="# of Customers",$D44*VLOOKUP(K$6,'Billing Determinants'!$A$7:$H$14,3,FALSE)/'Billing Determinants'!$C$14,IF($E44="Distribution Rev.",VLOOKUP(K$6,'Billing Determinants'!$A$7:$H$14,8,FALSE)/'Billing Determinants'!$H$14*$D44,"err")))</f>
        <v>0</v>
      </c>
      <c r="L44" s="13">
        <f>IF($E44="kWh",VLOOKUP(L$6,'Billing Determinants'!$A$7:$H$14,4,FALSE)/'Billing Determinants'!$D$14*$D44,IF($E44="# of Customers",$D44*VLOOKUP(L$6,'Billing Determinants'!$A$7:$H$14,3,FALSE)/'Billing Determinants'!$C$14,IF($E44="Distribution Rev.",VLOOKUP(L$6,'Billing Determinants'!$A$7:$H$14,8,FALSE)/'Billing Determinants'!$H$14*$D44,"err")))</f>
        <v>0</v>
      </c>
    </row>
    <row r="45" spans="1:12" hidden="1" x14ac:dyDescent="0.25">
      <c r="B45" s="28" t="str">
        <f>IF('[1]2b. Continuity Schedule'!C69="","",'[1]2b. Continuity Schedule'!C69)</f>
        <v/>
      </c>
      <c r="C45" s="12">
        <v>1508</v>
      </c>
      <c r="D45" s="13"/>
      <c r="E45" s="14" t="s">
        <v>6</v>
      </c>
      <c r="F45" s="13">
        <f>IF($E45="kWh",VLOOKUP(F$6,'Billing Determinants'!$A$7:$H$14,4,FALSE)/'Billing Determinants'!$D$14*$D45,IF($E45="# of Customers",$D45*VLOOKUP(F$6,'Billing Determinants'!$A$7:$H$14,3,FALSE)/'Billing Determinants'!$C$14,IF($E45="Distribution Rev.",VLOOKUP(F$6,'Billing Determinants'!$A$7:$H$14,8,FALSE)/'Billing Determinants'!$H$14*$D45,"err")))</f>
        <v>0</v>
      </c>
      <c r="G45" s="13">
        <f>IF($E45="kWh",VLOOKUP(G$6,'Billing Determinants'!$A$7:$H$14,4,FALSE)/'Billing Determinants'!$D$14*$D45,IF($E45="# of Customers",$D45*VLOOKUP(G$6,'Billing Determinants'!$A$7:$H$14,3,FALSE)/'Billing Determinants'!$C$14,IF($E45="Distribution Rev.",VLOOKUP(G$6,'Billing Determinants'!$A$7:$H$14,8,FALSE)/'Billing Determinants'!$H$14*$D45,"err")))</f>
        <v>0</v>
      </c>
      <c r="H45" s="13">
        <f>IF($E45="kWh",VLOOKUP(H$6,'Billing Determinants'!$A$7:$H$14,4,FALSE)/'Billing Determinants'!$D$14*$D45,IF($E45="# of Customers",$D45*VLOOKUP(H$6,'Billing Determinants'!$A$7:$H$14,3,FALSE)/'Billing Determinants'!$C$14,IF($E45="Distribution Rev.",VLOOKUP(H$6,'Billing Determinants'!$A$7:$H$14,8,FALSE)/'Billing Determinants'!$H$14*$D45,"err")))</f>
        <v>0</v>
      </c>
      <c r="I45" s="13">
        <f>IF($E45="kWh",VLOOKUP(I$6,'Billing Determinants'!$A$7:$H$14,4,FALSE)/'Billing Determinants'!$D$14*$D45,IF($E45="# of Customers",$D45*VLOOKUP(I$6,'Billing Determinants'!$A$7:$H$14,3,FALSE)/'Billing Determinants'!$C$14,IF($E45="Distribution Rev.",VLOOKUP(I$6,'Billing Determinants'!$A$7:$H$14,8,FALSE)/'Billing Determinants'!$H$14*$D45,"err")))</f>
        <v>0</v>
      </c>
      <c r="J45" s="13">
        <f>IF($E45="kWh",VLOOKUP(J$6,'Billing Determinants'!$A$7:$H$14,4,FALSE)/'Billing Determinants'!$D$14*$D45,IF($E45="# of Customers",$D45*VLOOKUP(J$6,'Billing Determinants'!$A$7:$H$14,3,FALSE)/'Billing Determinants'!$C$14,IF($E45="Distribution Rev.",VLOOKUP(J$6,'Billing Determinants'!$A$7:$H$14,8,FALSE)/'Billing Determinants'!$H$14*$D45,"err")))</f>
        <v>0</v>
      </c>
      <c r="K45" s="13">
        <f>IF($E45="kWh",VLOOKUP(K$6,'Billing Determinants'!$A$7:$H$14,4,FALSE)/'Billing Determinants'!$D$14*$D45,IF($E45="# of Customers",$D45*VLOOKUP(K$6,'Billing Determinants'!$A$7:$H$14,3,FALSE)/'Billing Determinants'!$C$14,IF($E45="Distribution Rev.",VLOOKUP(K$6,'Billing Determinants'!$A$7:$H$14,8,FALSE)/'Billing Determinants'!$H$14*$D45,"err")))</f>
        <v>0</v>
      </c>
      <c r="L45" s="13">
        <f>IF($E45="kWh",VLOOKUP(L$6,'Billing Determinants'!$A$7:$H$14,4,FALSE)/'Billing Determinants'!$D$14*$D45,IF($E45="# of Customers",$D45*VLOOKUP(L$6,'Billing Determinants'!$A$7:$H$14,3,FALSE)/'Billing Determinants'!$C$14,IF($E45="Distribution Rev.",VLOOKUP(L$6,'Billing Determinants'!$A$7:$H$14,8,FALSE)/'Billing Determinants'!$H$14*$D45,"err")))</f>
        <v>0</v>
      </c>
    </row>
    <row r="46" spans="1:12" hidden="1" x14ac:dyDescent="0.25">
      <c r="B46" s="28" t="str">
        <f>IF('[1]2b. Continuity Schedule'!C70="","",'[1]2b. Continuity Schedule'!C70)</f>
        <v/>
      </c>
      <c r="C46" s="12">
        <v>1508</v>
      </c>
      <c r="D46" s="13"/>
      <c r="E46" s="14" t="s">
        <v>6</v>
      </c>
      <c r="F46" s="13">
        <f>IF($E46="kWh",VLOOKUP(F$6,'Billing Determinants'!$A$7:$H$14,4,FALSE)/'Billing Determinants'!$D$14*$D46,IF($E46="# of Customers",$D46*VLOOKUP(F$6,'Billing Determinants'!$A$7:$H$14,3,FALSE)/'Billing Determinants'!$C$14,IF($E46="Distribution Rev.",VLOOKUP(F$6,'Billing Determinants'!$A$7:$H$14,8,FALSE)/'Billing Determinants'!$H$14*$D46,"err")))</f>
        <v>0</v>
      </c>
      <c r="G46" s="13">
        <f>IF($E46="kWh",VLOOKUP(G$6,'Billing Determinants'!$A$7:$H$14,4,FALSE)/'Billing Determinants'!$D$14*$D46,IF($E46="# of Customers",$D46*VLOOKUP(G$6,'Billing Determinants'!$A$7:$H$14,3,FALSE)/'Billing Determinants'!$C$14,IF($E46="Distribution Rev.",VLOOKUP(G$6,'Billing Determinants'!$A$7:$H$14,8,FALSE)/'Billing Determinants'!$H$14*$D46,"err")))</f>
        <v>0</v>
      </c>
      <c r="H46" s="13">
        <f>IF($E46="kWh",VLOOKUP(H$6,'Billing Determinants'!$A$7:$H$14,4,FALSE)/'Billing Determinants'!$D$14*$D46,IF($E46="# of Customers",$D46*VLOOKUP(H$6,'Billing Determinants'!$A$7:$H$14,3,FALSE)/'Billing Determinants'!$C$14,IF($E46="Distribution Rev.",VLOOKUP(H$6,'Billing Determinants'!$A$7:$H$14,8,FALSE)/'Billing Determinants'!$H$14*$D46,"err")))</f>
        <v>0</v>
      </c>
      <c r="I46" s="13">
        <f>IF($E46="kWh",VLOOKUP(I$6,'Billing Determinants'!$A$7:$H$14,4,FALSE)/'Billing Determinants'!$D$14*$D46,IF($E46="# of Customers",$D46*VLOOKUP(I$6,'Billing Determinants'!$A$7:$H$14,3,FALSE)/'Billing Determinants'!$C$14,IF($E46="Distribution Rev.",VLOOKUP(I$6,'Billing Determinants'!$A$7:$H$14,8,FALSE)/'Billing Determinants'!$H$14*$D46,"err")))</f>
        <v>0</v>
      </c>
      <c r="J46" s="13">
        <f>IF($E46="kWh",VLOOKUP(J$6,'Billing Determinants'!$A$7:$H$14,4,FALSE)/'Billing Determinants'!$D$14*$D46,IF($E46="# of Customers",$D46*VLOOKUP(J$6,'Billing Determinants'!$A$7:$H$14,3,FALSE)/'Billing Determinants'!$C$14,IF($E46="Distribution Rev.",VLOOKUP(J$6,'Billing Determinants'!$A$7:$H$14,8,FALSE)/'Billing Determinants'!$H$14*$D46,"err")))</f>
        <v>0</v>
      </c>
      <c r="K46" s="13">
        <f>IF($E46="kWh",VLOOKUP(K$6,'Billing Determinants'!$A$7:$H$14,4,FALSE)/'Billing Determinants'!$D$14*$D46,IF($E46="# of Customers",$D46*VLOOKUP(K$6,'Billing Determinants'!$A$7:$H$14,3,FALSE)/'Billing Determinants'!$C$14,IF($E46="Distribution Rev.",VLOOKUP(K$6,'Billing Determinants'!$A$7:$H$14,8,FALSE)/'Billing Determinants'!$H$14*$D46,"err")))</f>
        <v>0</v>
      </c>
      <c r="L46" s="13">
        <f>IF($E46="kWh",VLOOKUP(L$6,'Billing Determinants'!$A$7:$H$14,4,FALSE)/'Billing Determinants'!$D$14*$D46,IF($E46="# of Customers",$D46*VLOOKUP(L$6,'Billing Determinants'!$A$7:$H$14,3,FALSE)/'Billing Determinants'!$C$14,IF($E46="Distribution Rev.",VLOOKUP(L$6,'Billing Determinants'!$A$7:$H$14,8,FALSE)/'Billing Determinants'!$H$14*$D46,"err")))</f>
        <v>0</v>
      </c>
    </row>
    <row r="47" spans="1:12" x14ac:dyDescent="0.25">
      <c r="A47" s="7">
        <v>22</v>
      </c>
      <c r="B47" s="29" t="s">
        <v>77</v>
      </c>
      <c r="C47" s="86" t="s">
        <v>78</v>
      </c>
      <c r="D47" s="13">
        <f>'[2]2b. Continuity Schedule - Grp 2'!$BW$13</f>
        <v>-90887.379738541727</v>
      </c>
      <c r="E47" s="14" t="s">
        <v>2</v>
      </c>
      <c r="F47" s="13">
        <f>IF($E47="kWh",VLOOKUP(F$6,'Billing Determinants'!$A$7:$H$14,4,FALSE)/'Billing Determinants'!$D$14*$D47,IF($E47="# of Customers",$D47*VLOOKUP(F$6,'Billing Determinants'!$A$7:$H$14,3,FALSE)/'Billing Determinants'!$C$14,IF($E47="Distribution Rev.",VLOOKUP(F$6,'Billing Determinants'!$A$7:$H$14,8,FALSE)/'Billing Determinants'!$H$14*$D47,"err")))</f>
        <v>-80055.468430214998</v>
      </c>
      <c r="G47" s="13">
        <f>IF($E47="kWh",VLOOKUP(G$6,'Billing Determinants'!$A$7:$H$14,4,FALSE)/'Billing Determinants'!$D$14*$D47,IF($E47="# of Customers",$D47*VLOOKUP(G$6,'Billing Determinants'!$A$7:$H$14,3,FALSE)/'Billing Determinants'!$C$14,IF($E47="Distribution Rev.",VLOOKUP(G$6,'Billing Determinants'!$A$7:$H$14,8,FALSE)/'Billing Determinants'!$H$14*$D47,"err")))</f>
        <v>-9707.082882160832</v>
      </c>
      <c r="H47" s="13">
        <f>IF($E47="kWh",VLOOKUP(H$6,'Billing Determinants'!$A$7:$H$14,4,FALSE)/'Billing Determinants'!$D$14*$D47,IF($E47="# of Customers",$D47*VLOOKUP(H$6,'Billing Determinants'!$A$7:$H$14,3,FALSE)/'Billing Determinants'!$C$14,IF($E47="Distribution Rev.",VLOOKUP(H$6,'Billing Determinants'!$A$7:$H$14,8,FALSE)/'Billing Determinants'!$H$14*$D47,"err")))</f>
        <v>-950.8218188032057</v>
      </c>
      <c r="I47" s="13">
        <f>IF($E47="kWh",VLOOKUP(I$6,'Billing Determinants'!$A$7:$H$14,4,FALSE)/'Billing Determinants'!$D$14*$D47,IF($E47="# of Customers",$D47*VLOOKUP(I$6,'Billing Determinants'!$A$7:$H$14,3,FALSE)/'Billing Determinants'!$C$14,IF($E47="Distribution Rev.",VLOOKUP(I$6,'Billing Determinants'!$A$7:$H$14,8,FALSE)/'Billing Determinants'!$H$14*$D47,"err")))</f>
        <v>-124.29043383048442</v>
      </c>
      <c r="J47" s="13">
        <f>IF($E47="kWh",VLOOKUP(J$6,'Billing Determinants'!$A$7:$H$14,4,FALSE)/'Billing Determinants'!$D$14*$D47,IF($E47="# of Customers",$D47*VLOOKUP(J$6,'Billing Determinants'!$A$7:$H$14,3,FALSE)/'Billing Determinants'!$C$14,IF($E47="Distribution Rev.",VLOOKUP(J$6,'Billing Determinants'!$A$7:$H$14,8,FALSE)/'Billing Determinants'!$H$14*$D47,"err")))</f>
        <v>-31.072608457621104</v>
      </c>
      <c r="K47" s="13">
        <f>IF($E47="kWh",VLOOKUP(K$6,'Billing Determinants'!$A$7:$H$14,4,FALSE)/'Billing Determinants'!$D$14*$D47,IF($E47="# of Customers",$D47*VLOOKUP(K$6,'Billing Determinants'!$A$7:$H$14,3,FALSE)/'Billing Determinants'!$C$14,IF($E47="Distribution Rev.",VLOOKUP(K$6,'Billing Determinants'!$A$7:$H$14,8,FALSE)/'Billing Determinants'!$H$14*$D47,"err")))</f>
        <v>-18.643565074572663</v>
      </c>
      <c r="L47" s="13">
        <f>IF($E47="kWh",VLOOKUP(L$6,'Billing Determinants'!$A$7:$H$14,4,FALSE)/'Billing Determinants'!$D$14*$D47,IF($E47="# of Customers",$D47*VLOOKUP(L$6,'Billing Determinants'!$A$7:$H$14,3,FALSE)/'Billing Determinants'!$C$14,IF($E47="Distribution Rev.",VLOOKUP(L$6,'Billing Determinants'!$A$7:$H$14,8,FALSE)/'Billing Determinants'!$H$14*$D47,"err")))</f>
        <v>0</v>
      </c>
    </row>
    <row r="48" spans="1:12" ht="14.25" hidden="1" customHeight="1" x14ac:dyDescent="0.25">
      <c r="A48" s="7">
        <v>23</v>
      </c>
      <c r="B48" s="29" t="s">
        <v>36</v>
      </c>
      <c r="C48" s="12">
        <v>1522</v>
      </c>
      <c r="D48" s="13"/>
      <c r="E48" s="14" t="s">
        <v>6</v>
      </c>
      <c r="F48" s="13">
        <f>IF($E48="kWh",VLOOKUP(F$6,'Billing Determinants'!$A$7:$H$14,4,FALSE)/'Billing Determinants'!$D$14*$D48,IF($E48="# of Customers",$D48*VLOOKUP(F$6,'Billing Determinants'!$A$7:$H$14,3,FALSE)/'Billing Determinants'!$C$14,IF($E48="Distribution Rev.",VLOOKUP(F$6,'Billing Determinants'!$A$7:$H$14,8,FALSE)/'Billing Determinants'!$H$14*$D48,"err")))</f>
        <v>0</v>
      </c>
      <c r="G48" s="13">
        <f>IF($E48="kWh",VLOOKUP(G$6,'Billing Determinants'!$A$7:$H$14,4,FALSE)/'Billing Determinants'!$D$14*$D48,IF($E48="# of Customers",$D48*VLOOKUP(G$6,'Billing Determinants'!$A$7:$H$14,3,FALSE)/'Billing Determinants'!$C$14,IF($E48="Distribution Rev.",VLOOKUP(G$6,'Billing Determinants'!$A$7:$H$14,8,FALSE)/'Billing Determinants'!$H$14*$D48,"err")))</f>
        <v>0</v>
      </c>
      <c r="H48" s="13">
        <f>IF($E48="kWh",VLOOKUP(H$6,'Billing Determinants'!$A$7:$H$14,4,FALSE)/'Billing Determinants'!$D$14*$D48,IF($E48="# of Customers",$D48*VLOOKUP(H$6,'Billing Determinants'!$A$7:$H$14,3,FALSE)/'Billing Determinants'!$C$14,IF($E48="Distribution Rev.",VLOOKUP(H$6,'Billing Determinants'!$A$7:$H$14,8,FALSE)/'Billing Determinants'!$H$14*$D48,"err")))</f>
        <v>0</v>
      </c>
      <c r="I48" s="13">
        <f>IF($E48="kWh",VLOOKUP(I$6,'Billing Determinants'!$A$7:$H$14,4,FALSE)/'Billing Determinants'!$D$14*$D48,IF($E48="# of Customers",$D48*VLOOKUP(I$6,'Billing Determinants'!$A$7:$H$14,3,FALSE)/'Billing Determinants'!$C$14,IF($E48="Distribution Rev.",VLOOKUP(I$6,'Billing Determinants'!$A$7:$H$14,8,FALSE)/'Billing Determinants'!$H$14*$D48,"err")))</f>
        <v>0</v>
      </c>
      <c r="J48" s="13">
        <f>IF($E48="kWh",VLOOKUP(J$6,'Billing Determinants'!$A$7:$H$14,4,FALSE)/'Billing Determinants'!$D$14*$D48,IF($E48="# of Customers",$D48*VLOOKUP(J$6,'Billing Determinants'!$A$7:$H$14,3,FALSE)/'Billing Determinants'!$C$14,IF($E48="Distribution Rev.",VLOOKUP(J$6,'Billing Determinants'!$A$7:$H$14,8,FALSE)/'Billing Determinants'!$H$14*$D48,"err")))</f>
        <v>0</v>
      </c>
      <c r="K48" s="13">
        <f>IF($E48="kWh",VLOOKUP(K$6,'Billing Determinants'!$A$7:$H$14,4,FALSE)/'Billing Determinants'!$D$14*$D48,IF($E48="# of Customers",$D48*VLOOKUP(K$6,'Billing Determinants'!$A$7:$H$14,3,FALSE)/'Billing Determinants'!$C$14,IF($E48="Distribution Rev.",VLOOKUP(K$6,'Billing Determinants'!$A$7:$H$14,8,FALSE)/'Billing Determinants'!$H$14*$D48,"err")))</f>
        <v>0</v>
      </c>
      <c r="L48" s="13">
        <f>IF($E48="kWh",VLOOKUP(L$6,'Billing Determinants'!$A$7:$H$14,4,FALSE)/'Billing Determinants'!$D$14*$D48,IF($E48="# of Customers",$D48*VLOOKUP(L$6,'Billing Determinants'!$A$7:$H$14,3,FALSE)/'Billing Determinants'!$C$14,IF($E48="Distribution Rev.",VLOOKUP(L$6,'Billing Determinants'!$A$7:$H$14,8,FALSE)/'Billing Determinants'!$H$14*$D48,"err")))</f>
        <v>0</v>
      </c>
    </row>
    <row r="49" spans="1:12" hidden="1" x14ac:dyDescent="0.25">
      <c r="A49" s="7">
        <v>24</v>
      </c>
      <c r="B49" s="29" t="s">
        <v>37</v>
      </c>
      <c r="C49" s="12">
        <v>1525</v>
      </c>
      <c r="D49" s="13"/>
      <c r="E49" s="14" t="s">
        <v>6</v>
      </c>
      <c r="F49" s="13">
        <f>IF($E49="kWh",VLOOKUP(F$6,'Billing Determinants'!$A$7:$H$14,4,FALSE)/'Billing Determinants'!$D$14*$D49,IF($E49="# of Customers",$D49*VLOOKUP(F$6,'Billing Determinants'!$A$7:$H$14,3,FALSE)/'Billing Determinants'!$C$14,IF($E49="Distribution Rev.",VLOOKUP(F$6,'Billing Determinants'!$A$7:$H$14,8,FALSE)/'Billing Determinants'!$H$14*$D49,"err")))</f>
        <v>0</v>
      </c>
      <c r="G49" s="13">
        <f>IF($E49="kWh",VLOOKUP(G$6,'Billing Determinants'!$A$7:$H$14,4,FALSE)/'Billing Determinants'!$D$14*$D49,IF($E49="# of Customers",$D49*VLOOKUP(G$6,'Billing Determinants'!$A$7:$H$14,3,FALSE)/'Billing Determinants'!$C$14,IF($E49="Distribution Rev.",VLOOKUP(G$6,'Billing Determinants'!$A$7:$H$14,8,FALSE)/'Billing Determinants'!$H$14*$D49,"err")))</f>
        <v>0</v>
      </c>
      <c r="H49" s="13">
        <f>IF($E49="kWh",VLOOKUP(H$6,'Billing Determinants'!$A$7:$H$14,4,FALSE)/'Billing Determinants'!$D$14*$D49,IF($E49="# of Customers",$D49*VLOOKUP(H$6,'Billing Determinants'!$A$7:$H$14,3,FALSE)/'Billing Determinants'!$C$14,IF($E49="Distribution Rev.",VLOOKUP(H$6,'Billing Determinants'!$A$7:$H$14,8,FALSE)/'Billing Determinants'!$H$14*$D49,"err")))</f>
        <v>0</v>
      </c>
      <c r="I49" s="13">
        <f>IF($E49="kWh",VLOOKUP(I$6,'Billing Determinants'!$A$7:$H$14,4,FALSE)/'Billing Determinants'!$D$14*$D49,IF($E49="# of Customers",$D49*VLOOKUP(I$6,'Billing Determinants'!$A$7:$H$14,3,FALSE)/'Billing Determinants'!$C$14,IF($E49="Distribution Rev.",VLOOKUP(I$6,'Billing Determinants'!$A$7:$H$14,8,FALSE)/'Billing Determinants'!$H$14*$D49,"err")))</f>
        <v>0</v>
      </c>
      <c r="J49" s="13">
        <f>IF($E49="kWh",VLOOKUP(J$6,'Billing Determinants'!$A$7:$H$14,4,FALSE)/'Billing Determinants'!$D$14*$D49,IF($E49="# of Customers",$D49*VLOOKUP(J$6,'Billing Determinants'!$A$7:$H$14,3,FALSE)/'Billing Determinants'!$C$14,IF($E49="Distribution Rev.",VLOOKUP(J$6,'Billing Determinants'!$A$7:$H$14,8,FALSE)/'Billing Determinants'!$H$14*$D49,"err")))</f>
        <v>0</v>
      </c>
      <c r="K49" s="13">
        <f>IF($E49="kWh",VLOOKUP(K$6,'Billing Determinants'!$A$7:$H$14,4,FALSE)/'Billing Determinants'!$D$14*$D49,IF($E49="# of Customers",$D49*VLOOKUP(K$6,'Billing Determinants'!$A$7:$H$14,3,FALSE)/'Billing Determinants'!$C$14,IF($E49="Distribution Rev.",VLOOKUP(K$6,'Billing Determinants'!$A$7:$H$14,8,FALSE)/'Billing Determinants'!$H$14*$D49,"err")))</f>
        <v>0</v>
      </c>
      <c r="L49" s="13">
        <f>IF($E49="kWh",VLOOKUP(L$6,'Billing Determinants'!$A$7:$H$14,4,FALSE)/'Billing Determinants'!$D$14*$D49,IF($E49="# of Customers",$D49*VLOOKUP(L$6,'Billing Determinants'!$A$7:$H$14,3,FALSE)/'Billing Determinants'!$C$14,IF($E49="Distribution Rev.",VLOOKUP(L$6,'Billing Determinants'!$A$7:$H$14,8,FALSE)/'Billing Determinants'!$H$14*$D49,"err")))</f>
        <v>0</v>
      </c>
    </row>
    <row r="50" spans="1:12" hidden="1" x14ac:dyDescent="0.25">
      <c r="A50" s="7">
        <v>25</v>
      </c>
      <c r="B50" s="29" t="s">
        <v>38</v>
      </c>
      <c r="C50" s="12">
        <v>1548</v>
      </c>
      <c r="D50" s="13"/>
      <c r="E50" s="14" t="s">
        <v>2</v>
      </c>
      <c r="F50" s="13">
        <f>IF($E50="kWh",VLOOKUP(F$6,'Billing Determinants'!$A$7:$H$14,4,FALSE)/'Billing Determinants'!$D$14*$D50,IF($E50="# of Customers",$D50*VLOOKUP(F$6,'Billing Determinants'!$A$7:$H$14,3,FALSE)/'Billing Determinants'!$C$14,IF($E50="Distribution Rev.",VLOOKUP(F$6,'Billing Determinants'!$A$7:$H$14,8,FALSE)/'Billing Determinants'!$H$14*$D50,"err")))</f>
        <v>0</v>
      </c>
      <c r="G50" s="13">
        <f>IF($E50="kWh",VLOOKUP(G$6,'Billing Determinants'!$A$7:$H$14,4,FALSE)/'Billing Determinants'!$D$14*$D50,IF($E50="# of Customers",$D50*VLOOKUP(G$6,'Billing Determinants'!$A$7:$H$14,3,FALSE)/'Billing Determinants'!$C$14,IF($E50="Distribution Rev.",VLOOKUP(G$6,'Billing Determinants'!$A$7:$H$14,8,FALSE)/'Billing Determinants'!$H$14*$D50,"err")))</f>
        <v>0</v>
      </c>
      <c r="H50" s="13">
        <f>IF($E50="kWh",VLOOKUP(H$6,'Billing Determinants'!$A$7:$H$14,4,FALSE)/'Billing Determinants'!$D$14*$D50,IF($E50="# of Customers",$D50*VLOOKUP(H$6,'Billing Determinants'!$A$7:$H$14,3,FALSE)/'Billing Determinants'!$C$14,IF($E50="Distribution Rev.",VLOOKUP(H$6,'Billing Determinants'!$A$7:$H$14,8,FALSE)/'Billing Determinants'!$H$14*$D50,"err")))</f>
        <v>0</v>
      </c>
      <c r="I50" s="13">
        <f>IF($E50="kWh",VLOOKUP(I$6,'Billing Determinants'!$A$7:$H$14,4,FALSE)/'Billing Determinants'!$D$14*$D50,IF($E50="# of Customers",$D50*VLOOKUP(I$6,'Billing Determinants'!$A$7:$H$14,3,FALSE)/'Billing Determinants'!$C$14,IF($E50="Distribution Rev.",VLOOKUP(I$6,'Billing Determinants'!$A$7:$H$14,8,FALSE)/'Billing Determinants'!$H$14*$D50,"err")))</f>
        <v>0</v>
      </c>
      <c r="J50" s="13">
        <f>IF($E50="kWh",VLOOKUP(J$6,'Billing Determinants'!$A$7:$H$14,4,FALSE)/'Billing Determinants'!$D$14*$D50,IF($E50="# of Customers",$D50*VLOOKUP(J$6,'Billing Determinants'!$A$7:$H$14,3,FALSE)/'Billing Determinants'!$C$14,IF($E50="Distribution Rev.",VLOOKUP(J$6,'Billing Determinants'!$A$7:$H$14,8,FALSE)/'Billing Determinants'!$H$14*$D50,"err")))</f>
        <v>0</v>
      </c>
      <c r="K50" s="13">
        <f>IF($E50="kWh",VLOOKUP(K$6,'Billing Determinants'!$A$7:$H$14,4,FALSE)/'Billing Determinants'!$D$14*$D50,IF($E50="# of Customers",$D50*VLOOKUP(K$6,'Billing Determinants'!$A$7:$H$14,3,FALSE)/'Billing Determinants'!$C$14,IF($E50="Distribution Rev.",VLOOKUP(K$6,'Billing Determinants'!$A$7:$H$14,8,FALSE)/'Billing Determinants'!$H$14*$D50,"err")))</f>
        <v>0</v>
      </c>
      <c r="L50" s="13">
        <f>IF($E50="kWh",VLOOKUP(L$6,'Billing Determinants'!$A$7:$H$14,4,FALSE)/'Billing Determinants'!$D$14*$D50,IF($E50="# of Customers",$D50*VLOOKUP(L$6,'Billing Determinants'!$A$7:$H$14,3,FALSE)/'Billing Determinants'!$C$14,IF($E50="Distribution Rev.",VLOOKUP(L$6,'Billing Determinants'!$A$7:$H$14,8,FALSE)/'Billing Determinants'!$H$14*$D50,"err")))</f>
        <v>0</v>
      </c>
    </row>
    <row r="51" spans="1:12" hidden="1" x14ac:dyDescent="0.25">
      <c r="A51" s="7">
        <v>26</v>
      </c>
      <c r="B51" s="29" t="s">
        <v>39</v>
      </c>
      <c r="C51" s="12">
        <v>1572</v>
      </c>
      <c r="D51" s="13"/>
      <c r="E51" s="14" t="s">
        <v>6</v>
      </c>
      <c r="F51" s="13">
        <f>IF($E51="kWh",VLOOKUP(F$6,'Billing Determinants'!$A$7:$H$14,4,FALSE)/'Billing Determinants'!$D$14*$D51,IF($E51="# of Customers",$D51*VLOOKUP(F$6,'Billing Determinants'!$A$7:$H$14,3,FALSE)/'Billing Determinants'!$C$14,IF($E51="Distribution Rev.",VLOOKUP(F$6,'Billing Determinants'!$A$7:$H$14,8,FALSE)/'Billing Determinants'!$H$14*$D51,"err")))</f>
        <v>0</v>
      </c>
      <c r="G51" s="13">
        <f>IF($E51="kWh",VLOOKUP(G$6,'Billing Determinants'!$A$7:$H$14,4,FALSE)/'Billing Determinants'!$D$14*$D51,IF($E51="# of Customers",$D51*VLOOKUP(G$6,'Billing Determinants'!$A$7:$H$14,3,FALSE)/'Billing Determinants'!$C$14,IF($E51="Distribution Rev.",VLOOKUP(G$6,'Billing Determinants'!$A$7:$H$14,8,FALSE)/'Billing Determinants'!$H$14*$D51,"err")))</f>
        <v>0</v>
      </c>
      <c r="H51" s="13">
        <f>IF($E51="kWh",VLOOKUP(H$6,'Billing Determinants'!$A$7:$H$14,4,FALSE)/'Billing Determinants'!$D$14*$D51,IF($E51="# of Customers",$D51*VLOOKUP(H$6,'Billing Determinants'!$A$7:$H$14,3,FALSE)/'Billing Determinants'!$C$14,IF($E51="Distribution Rev.",VLOOKUP(H$6,'Billing Determinants'!$A$7:$H$14,8,FALSE)/'Billing Determinants'!$H$14*$D51,"err")))</f>
        <v>0</v>
      </c>
      <c r="I51" s="13">
        <f>IF($E51="kWh",VLOOKUP(I$6,'Billing Determinants'!$A$7:$H$14,4,FALSE)/'Billing Determinants'!$D$14*$D51,IF($E51="# of Customers",$D51*VLOOKUP(I$6,'Billing Determinants'!$A$7:$H$14,3,FALSE)/'Billing Determinants'!$C$14,IF($E51="Distribution Rev.",VLOOKUP(I$6,'Billing Determinants'!$A$7:$H$14,8,FALSE)/'Billing Determinants'!$H$14*$D51,"err")))</f>
        <v>0</v>
      </c>
      <c r="J51" s="13">
        <f>IF($E51="kWh",VLOOKUP(J$6,'Billing Determinants'!$A$7:$H$14,4,FALSE)/'Billing Determinants'!$D$14*$D51,IF($E51="# of Customers",$D51*VLOOKUP(J$6,'Billing Determinants'!$A$7:$H$14,3,FALSE)/'Billing Determinants'!$C$14,IF($E51="Distribution Rev.",VLOOKUP(J$6,'Billing Determinants'!$A$7:$H$14,8,FALSE)/'Billing Determinants'!$H$14*$D51,"err")))</f>
        <v>0</v>
      </c>
      <c r="K51" s="13">
        <f>IF($E51="kWh",VLOOKUP(K$6,'Billing Determinants'!$A$7:$H$14,4,FALSE)/'Billing Determinants'!$D$14*$D51,IF($E51="# of Customers",$D51*VLOOKUP(K$6,'Billing Determinants'!$A$7:$H$14,3,FALSE)/'Billing Determinants'!$C$14,IF($E51="Distribution Rev.",VLOOKUP(K$6,'Billing Determinants'!$A$7:$H$14,8,FALSE)/'Billing Determinants'!$H$14*$D51,"err")))</f>
        <v>0</v>
      </c>
      <c r="L51" s="13">
        <f>IF($E51="kWh",VLOOKUP(L$6,'Billing Determinants'!$A$7:$H$14,4,FALSE)/'Billing Determinants'!$D$14*$D51,IF($E51="# of Customers",$D51*VLOOKUP(L$6,'Billing Determinants'!$A$7:$H$14,3,FALSE)/'Billing Determinants'!$C$14,IF($E51="Distribution Rev.",VLOOKUP(L$6,'Billing Determinants'!$A$7:$H$14,8,FALSE)/'Billing Determinants'!$H$14*$D51,"err")))</f>
        <v>0</v>
      </c>
    </row>
    <row r="52" spans="1:12" hidden="1" x14ac:dyDescent="0.25">
      <c r="A52" s="7">
        <v>27</v>
      </c>
      <c r="B52" s="29" t="s">
        <v>40</v>
      </c>
      <c r="C52" s="12">
        <v>1574</v>
      </c>
      <c r="D52" s="13"/>
      <c r="E52" s="14" t="s">
        <v>6</v>
      </c>
      <c r="F52" s="13">
        <f>IF($E52="kWh",VLOOKUP(F$6,'Billing Determinants'!$A$7:$H$14,4,FALSE)/'Billing Determinants'!$D$14*$D52,IF($E52="# of Customers",$D52*VLOOKUP(F$6,'Billing Determinants'!$A$7:$H$14,3,FALSE)/'Billing Determinants'!$C$14,IF($E52="Distribution Rev.",VLOOKUP(F$6,'Billing Determinants'!$A$7:$H$14,8,FALSE)/'Billing Determinants'!$H$14*$D52,"err")))</f>
        <v>0</v>
      </c>
      <c r="G52" s="13">
        <f>IF($E52="kWh",VLOOKUP(G$6,'Billing Determinants'!$A$7:$H$14,4,FALSE)/'Billing Determinants'!$D$14*$D52,IF($E52="# of Customers",$D52*VLOOKUP(G$6,'Billing Determinants'!$A$7:$H$14,3,FALSE)/'Billing Determinants'!$C$14,IF($E52="Distribution Rev.",VLOOKUP(G$6,'Billing Determinants'!$A$7:$H$14,8,FALSE)/'Billing Determinants'!$H$14*$D52,"err")))</f>
        <v>0</v>
      </c>
      <c r="H52" s="13">
        <f>IF($E52="kWh",VLOOKUP(H$6,'Billing Determinants'!$A$7:$H$14,4,FALSE)/'Billing Determinants'!$D$14*$D52,IF($E52="# of Customers",$D52*VLOOKUP(H$6,'Billing Determinants'!$A$7:$H$14,3,FALSE)/'Billing Determinants'!$C$14,IF($E52="Distribution Rev.",VLOOKUP(H$6,'Billing Determinants'!$A$7:$H$14,8,FALSE)/'Billing Determinants'!$H$14*$D52,"err")))</f>
        <v>0</v>
      </c>
      <c r="I52" s="13">
        <f>IF($E52="kWh",VLOOKUP(I$6,'Billing Determinants'!$A$7:$H$14,4,FALSE)/'Billing Determinants'!$D$14*$D52,IF($E52="# of Customers",$D52*VLOOKUP(I$6,'Billing Determinants'!$A$7:$H$14,3,FALSE)/'Billing Determinants'!$C$14,IF($E52="Distribution Rev.",VLOOKUP(I$6,'Billing Determinants'!$A$7:$H$14,8,FALSE)/'Billing Determinants'!$H$14*$D52,"err")))</f>
        <v>0</v>
      </c>
      <c r="J52" s="13">
        <f>IF($E52="kWh",VLOOKUP(J$6,'Billing Determinants'!$A$7:$H$14,4,FALSE)/'Billing Determinants'!$D$14*$D52,IF($E52="# of Customers",$D52*VLOOKUP(J$6,'Billing Determinants'!$A$7:$H$14,3,FALSE)/'Billing Determinants'!$C$14,IF($E52="Distribution Rev.",VLOOKUP(J$6,'Billing Determinants'!$A$7:$H$14,8,FALSE)/'Billing Determinants'!$H$14*$D52,"err")))</f>
        <v>0</v>
      </c>
      <c r="K52" s="13">
        <f>IF($E52="kWh",VLOOKUP(K$6,'Billing Determinants'!$A$7:$H$14,4,FALSE)/'Billing Determinants'!$D$14*$D52,IF($E52="# of Customers",$D52*VLOOKUP(K$6,'Billing Determinants'!$A$7:$H$14,3,FALSE)/'Billing Determinants'!$C$14,IF($E52="Distribution Rev.",VLOOKUP(K$6,'Billing Determinants'!$A$7:$H$14,8,FALSE)/'Billing Determinants'!$H$14*$D52,"err")))</f>
        <v>0</v>
      </c>
      <c r="L52" s="13">
        <f>IF($E52="kWh",VLOOKUP(L$6,'Billing Determinants'!$A$7:$H$14,4,FALSE)/'Billing Determinants'!$D$14*$D52,IF($E52="# of Customers",$D52*VLOOKUP(L$6,'Billing Determinants'!$A$7:$H$14,3,FALSE)/'Billing Determinants'!$C$14,IF($E52="Distribution Rev.",VLOOKUP(L$6,'Billing Determinants'!$A$7:$H$14,8,FALSE)/'Billing Determinants'!$H$14*$D52,"err")))</f>
        <v>0</v>
      </c>
    </row>
    <row r="53" spans="1:12" hidden="1" x14ac:dyDescent="0.25">
      <c r="A53" s="7">
        <v>28</v>
      </c>
      <c r="B53" s="11" t="s">
        <v>41</v>
      </c>
      <c r="C53" s="12">
        <v>1582</v>
      </c>
      <c r="D53" s="13"/>
      <c r="E53" s="14" t="s">
        <v>6</v>
      </c>
      <c r="F53" s="13">
        <f>IF($E53="kWh",VLOOKUP(F$6,'Billing Determinants'!$A$7:$H$14,4,FALSE)/'Billing Determinants'!$D$14*$D53,IF($E53="# of Customers",$D53*VLOOKUP(F$6,'Billing Determinants'!$A$7:$H$14,3,FALSE)/'Billing Determinants'!$C$14,IF($E53="Distribution Rev.",VLOOKUP(F$6,'Billing Determinants'!$A$7:$H$14,8,FALSE)/'Billing Determinants'!$H$14*$D53,"err")))</f>
        <v>0</v>
      </c>
      <c r="G53" s="13">
        <f>IF($E53="kWh",VLOOKUP(G$6,'Billing Determinants'!$A$7:$H$14,4,FALSE)/'Billing Determinants'!$D$14*$D53,IF($E53="# of Customers",$D53*VLOOKUP(G$6,'Billing Determinants'!$A$7:$H$14,3,FALSE)/'Billing Determinants'!$C$14,IF($E53="Distribution Rev.",VLOOKUP(G$6,'Billing Determinants'!$A$7:$H$14,8,FALSE)/'Billing Determinants'!$H$14*$D53,"err")))</f>
        <v>0</v>
      </c>
      <c r="H53" s="13">
        <f>IF($E53="kWh",VLOOKUP(H$6,'Billing Determinants'!$A$7:$H$14,4,FALSE)/'Billing Determinants'!$D$14*$D53,IF($E53="# of Customers",$D53*VLOOKUP(H$6,'Billing Determinants'!$A$7:$H$14,3,FALSE)/'Billing Determinants'!$C$14,IF($E53="Distribution Rev.",VLOOKUP(H$6,'Billing Determinants'!$A$7:$H$14,8,FALSE)/'Billing Determinants'!$H$14*$D53,"err")))</f>
        <v>0</v>
      </c>
      <c r="I53" s="13">
        <f>IF($E53="kWh",VLOOKUP(I$6,'Billing Determinants'!$A$7:$H$14,4,FALSE)/'Billing Determinants'!$D$14*$D53,IF($E53="# of Customers",$D53*VLOOKUP(I$6,'Billing Determinants'!$A$7:$H$14,3,FALSE)/'Billing Determinants'!$C$14,IF($E53="Distribution Rev.",VLOOKUP(I$6,'Billing Determinants'!$A$7:$H$14,8,FALSE)/'Billing Determinants'!$H$14*$D53,"err")))</f>
        <v>0</v>
      </c>
      <c r="J53" s="13">
        <f>IF($E53="kWh",VLOOKUP(J$6,'Billing Determinants'!$A$7:$H$14,4,FALSE)/'Billing Determinants'!$D$14*$D53,IF($E53="# of Customers",$D53*VLOOKUP(J$6,'Billing Determinants'!$A$7:$H$14,3,FALSE)/'Billing Determinants'!$C$14,IF($E53="Distribution Rev.",VLOOKUP(J$6,'Billing Determinants'!$A$7:$H$14,8,FALSE)/'Billing Determinants'!$H$14*$D53,"err")))</f>
        <v>0</v>
      </c>
      <c r="K53" s="13">
        <f>IF($E53="kWh",VLOOKUP(K$6,'Billing Determinants'!$A$7:$H$14,4,FALSE)/'Billing Determinants'!$D$14*$D53,IF($E53="# of Customers",$D53*VLOOKUP(K$6,'Billing Determinants'!$A$7:$H$14,3,FALSE)/'Billing Determinants'!$C$14,IF($E53="Distribution Rev.",VLOOKUP(K$6,'Billing Determinants'!$A$7:$H$14,8,FALSE)/'Billing Determinants'!$H$14*$D53,"err")))</f>
        <v>0</v>
      </c>
      <c r="L53" s="13">
        <f>IF($E53="kWh",VLOOKUP(L$6,'Billing Determinants'!$A$7:$H$14,4,FALSE)/'Billing Determinants'!$D$14*$D53,IF($E53="# of Customers",$D53*VLOOKUP(L$6,'Billing Determinants'!$A$7:$H$14,3,FALSE)/'Billing Determinants'!$C$14,IF($E53="Distribution Rev.",VLOOKUP(L$6,'Billing Determinants'!$A$7:$H$14,8,FALSE)/'Billing Determinants'!$H$14*$D53,"err")))</f>
        <v>0</v>
      </c>
    </row>
    <row r="54" spans="1:12" hidden="1" x14ac:dyDescent="0.25">
      <c r="A54" s="7">
        <v>29</v>
      </c>
      <c r="B54" s="11" t="s">
        <v>42</v>
      </c>
      <c r="C54" s="12">
        <v>2425</v>
      </c>
      <c r="D54" s="13"/>
      <c r="E54" s="14" t="s">
        <v>6</v>
      </c>
      <c r="F54" s="13">
        <f>IF($E54="kWh",VLOOKUP(F$6,'Billing Determinants'!$A$7:$H$14,4,FALSE)/'Billing Determinants'!$D$14*$D54,IF($E54="# of Customers",$D54*VLOOKUP(F$6,'Billing Determinants'!$A$7:$H$14,3,FALSE)/'Billing Determinants'!$C$14,IF($E54="Distribution Rev.",VLOOKUP(F$6,'Billing Determinants'!$A$7:$H$14,8,FALSE)/'Billing Determinants'!$H$14*$D54,"err")))</f>
        <v>0</v>
      </c>
      <c r="G54" s="13">
        <f>IF($E54="kWh",VLOOKUP(G$6,'Billing Determinants'!$A$7:$H$14,4,FALSE)/'Billing Determinants'!$D$14*$D54,IF($E54="# of Customers",$D54*VLOOKUP(G$6,'Billing Determinants'!$A$7:$H$14,3,FALSE)/'Billing Determinants'!$C$14,IF($E54="Distribution Rev.",VLOOKUP(G$6,'Billing Determinants'!$A$7:$H$14,8,FALSE)/'Billing Determinants'!$H$14*$D54,"err")))</f>
        <v>0</v>
      </c>
      <c r="H54" s="13">
        <f>IF($E54="kWh",VLOOKUP(H$6,'Billing Determinants'!$A$7:$H$14,4,FALSE)/'Billing Determinants'!$D$14*$D54,IF($E54="# of Customers",$D54*VLOOKUP(H$6,'Billing Determinants'!$A$7:$H$14,3,FALSE)/'Billing Determinants'!$C$14,IF($E54="Distribution Rev.",VLOOKUP(H$6,'Billing Determinants'!$A$7:$H$14,8,FALSE)/'Billing Determinants'!$H$14*$D54,"err")))</f>
        <v>0</v>
      </c>
      <c r="I54" s="13">
        <f>IF($E54="kWh",VLOOKUP(I$6,'Billing Determinants'!$A$7:$H$14,4,FALSE)/'Billing Determinants'!$D$14*$D54,IF($E54="# of Customers",$D54*VLOOKUP(I$6,'Billing Determinants'!$A$7:$H$14,3,FALSE)/'Billing Determinants'!$C$14,IF($E54="Distribution Rev.",VLOOKUP(I$6,'Billing Determinants'!$A$7:$H$14,8,FALSE)/'Billing Determinants'!$H$14*$D54,"err")))</f>
        <v>0</v>
      </c>
      <c r="J54" s="13">
        <f>IF($E54="kWh",VLOOKUP(J$6,'Billing Determinants'!$A$7:$H$14,4,FALSE)/'Billing Determinants'!$D$14*$D54,IF($E54="# of Customers",$D54*VLOOKUP(J$6,'Billing Determinants'!$A$7:$H$14,3,FALSE)/'Billing Determinants'!$C$14,IF($E54="Distribution Rev.",VLOOKUP(J$6,'Billing Determinants'!$A$7:$H$14,8,FALSE)/'Billing Determinants'!$H$14*$D54,"err")))</f>
        <v>0</v>
      </c>
      <c r="K54" s="13">
        <f>IF($E54="kWh",VLOOKUP(K$6,'Billing Determinants'!$A$7:$H$14,4,FALSE)/'Billing Determinants'!$D$14*$D54,IF($E54="# of Customers",$D54*VLOOKUP(K$6,'Billing Determinants'!$A$7:$H$14,3,FALSE)/'Billing Determinants'!$C$14,IF($E54="Distribution Rev.",VLOOKUP(K$6,'Billing Determinants'!$A$7:$H$14,8,FALSE)/'Billing Determinants'!$H$14*$D54,"err")))</f>
        <v>0</v>
      </c>
      <c r="L54" s="13">
        <f>IF($E54="kWh",VLOOKUP(L$6,'Billing Determinants'!$A$7:$H$14,4,FALSE)/'Billing Determinants'!$D$14*$D54,IF($E54="# of Customers",$D54*VLOOKUP(L$6,'Billing Determinants'!$A$7:$H$14,3,FALSE)/'Billing Determinants'!$C$14,IF($E54="Distribution Rev.",VLOOKUP(L$6,'Billing Determinants'!$A$7:$H$14,8,FALSE)/'Billing Determinants'!$H$14*$D54,"err")))</f>
        <v>0</v>
      </c>
    </row>
    <row r="55" spans="1:12" s="24" customFormat="1" ht="13" hidden="1" x14ac:dyDescent="0.3">
      <c r="A55" s="7">
        <v>30</v>
      </c>
      <c r="B55" s="21" t="s">
        <v>43</v>
      </c>
      <c r="C55" s="30"/>
      <c r="D55" s="22"/>
      <c r="E55" s="30"/>
      <c r="F55" s="13" t="str">
        <f>IF($E55="kWh",VLOOKUP(F$6,'Billing Determinants'!$A$7:$H$14,4,FALSE)/'Billing Determinants'!$D$14*$D55,IF($E55="# of Customers",$D55*VLOOKUP(F$6,'Billing Determinants'!$A$7:$H$14,3,FALSE)/'Billing Determinants'!$C$14,IF($E55="Distribution Rev.",VLOOKUP(F$6,'Billing Determinants'!$A$7:$H$14,8,FALSE)/'Billing Determinants'!$H$14*$D55,"err")))</f>
        <v>err</v>
      </c>
      <c r="G55" s="13" t="str">
        <f>IF($E55="kWh",VLOOKUP(G$6,'Billing Determinants'!$A$7:$H$14,4,FALSE)/'Billing Determinants'!$D$14*$D55,IF($E55="# of Customers",$D55*VLOOKUP(G$6,'Billing Determinants'!$A$7:$H$14,3,FALSE)/'Billing Determinants'!$C$14,IF($E55="Distribution Rev.",VLOOKUP(G$6,'Billing Determinants'!$A$7:$H$14,8,FALSE)/'Billing Determinants'!$H$14*$D55,"err")))</f>
        <v>err</v>
      </c>
      <c r="H55" s="13" t="str">
        <f>IF($E55="kWh",VLOOKUP(H$6,'Billing Determinants'!$A$7:$H$14,4,FALSE)/'Billing Determinants'!$D$14*$D55,IF($E55="# of Customers",$D55*VLOOKUP(H$6,'Billing Determinants'!$A$7:$H$14,3,FALSE)/'Billing Determinants'!$C$14,IF($E55="Distribution Rev.",VLOOKUP(H$6,'Billing Determinants'!$A$7:$H$14,8,FALSE)/'Billing Determinants'!$H$14*$D55,"err")))</f>
        <v>err</v>
      </c>
      <c r="I55" s="13" t="str">
        <f>IF($E55="kWh",VLOOKUP(I$6,'Billing Determinants'!$A$7:$H$14,4,FALSE)/'Billing Determinants'!$D$14*$D55,IF($E55="# of Customers",$D55*VLOOKUP(I$6,'Billing Determinants'!$A$7:$H$14,3,FALSE)/'Billing Determinants'!$C$14,IF($E55="Distribution Rev.",VLOOKUP(I$6,'Billing Determinants'!$A$7:$H$14,8,FALSE)/'Billing Determinants'!$H$14*$D55,"err")))</f>
        <v>err</v>
      </c>
      <c r="J55" s="13" t="str">
        <f>IF($E55="kWh",VLOOKUP(J$6,'Billing Determinants'!$A$7:$H$14,4,FALSE)/'Billing Determinants'!$D$14*$D55,IF($E55="# of Customers",$D55*VLOOKUP(J$6,'Billing Determinants'!$A$7:$H$14,3,FALSE)/'Billing Determinants'!$C$14,IF($E55="Distribution Rev.",VLOOKUP(J$6,'Billing Determinants'!$A$7:$H$14,8,FALSE)/'Billing Determinants'!$H$14*$D55,"err")))</f>
        <v>err</v>
      </c>
      <c r="K55" s="13" t="str">
        <f>IF($E55="kWh",VLOOKUP(K$6,'Billing Determinants'!$A$7:$H$14,4,FALSE)/'Billing Determinants'!$D$14*$D55,IF($E55="# of Customers",$D55*VLOOKUP(K$6,'Billing Determinants'!$A$7:$H$14,3,FALSE)/'Billing Determinants'!$C$14,IF($E55="Distribution Rev.",VLOOKUP(K$6,'Billing Determinants'!$A$7:$H$14,8,FALSE)/'Billing Determinants'!$H$14*$D55,"err")))</f>
        <v>err</v>
      </c>
      <c r="L55" s="13" t="str">
        <f>IF($E55="kWh",VLOOKUP(L$6,'Billing Determinants'!$A$7:$H$14,4,FALSE)/'Billing Determinants'!$D$14*$D55,IF($E55="# of Customers",$D55*VLOOKUP(L$6,'Billing Determinants'!$A$7:$H$14,3,FALSE)/'Billing Determinants'!$C$14,IF($E55="Distribution Rev.",VLOOKUP(L$6,'Billing Determinants'!$A$7:$H$14,8,FALSE)/'Billing Determinants'!$H$14*$D55,"err")))</f>
        <v>err</v>
      </c>
    </row>
    <row r="56" spans="1:12" ht="13" hidden="1" x14ac:dyDescent="0.3">
      <c r="A56" s="7">
        <v>31</v>
      </c>
      <c r="B56" s="24"/>
      <c r="C56" s="8"/>
      <c r="D56" s="31"/>
      <c r="E56" s="32"/>
      <c r="F56" s="13" t="str">
        <f>IF($E56="kWh",VLOOKUP(F$6,'Billing Determinants'!$A$7:$H$14,4,FALSE)/'Billing Determinants'!$D$14*$D56,IF($E56="# of Customers",$D56*VLOOKUP(F$6,'Billing Determinants'!$A$7:$H$14,3,FALSE)/'Billing Determinants'!$C$14,IF($E56="Distribution Rev.",VLOOKUP(F$6,'Billing Determinants'!$A$7:$H$14,8,FALSE)/'Billing Determinants'!$H$14*$D56,"err")))</f>
        <v>err</v>
      </c>
      <c r="G56" s="13" t="str">
        <f>IF($E56="kWh",VLOOKUP(G$6,'Billing Determinants'!$A$7:$H$14,4,FALSE)/'Billing Determinants'!$D$14*$D56,IF($E56="# of Customers",$D56*VLOOKUP(G$6,'Billing Determinants'!$A$7:$H$14,3,FALSE)/'Billing Determinants'!$C$14,IF($E56="Distribution Rev.",VLOOKUP(G$6,'Billing Determinants'!$A$7:$H$14,8,FALSE)/'Billing Determinants'!$H$14*$D56,"err")))</f>
        <v>err</v>
      </c>
      <c r="H56" s="13" t="str">
        <f>IF($E56="kWh",VLOOKUP(H$6,'Billing Determinants'!$A$7:$H$14,4,FALSE)/'Billing Determinants'!$D$14*$D56,IF($E56="# of Customers",$D56*VLOOKUP(H$6,'Billing Determinants'!$A$7:$H$14,3,FALSE)/'Billing Determinants'!$C$14,IF($E56="Distribution Rev.",VLOOKUP(H$6,'Billing Determinants'!$A$7:$H$14,8,FALSE)/'Billing Determinants'!$H$14*$D56,"err")))</f>
        <v>err</v>
      </c>
      <c r="I56" s="13" t="str">
        <f>IF($E56="kWh",VLOOKUP(I$6,'Billing Determinants'!$A$7:$H$14,4,FALSE)/'Billing Determinants'!$D$14*$D56,IF($E56="# of Customers",$D56*VLOOKUP(I$6,'Billing Determinants'!$A$7:$H$14,3,FALSE)/'Billing Determinants'!$C$14,IF($E56="Distribution Rev.",VLOOKUP(I$6,'Billing Determinants'!$A$7:$H$14,8,FALSE)/'Billing Determinants'!$H$14*$D56,"err")))</f>
        <v>err</v>
      </c>
      <c r="J56" s="13" t="str">
        <f>IF($E56="kWh",VLOOKUP(J$6,'Billing Determinants'!$A$7:$H$14,4,FALSE)/'Billing Determinants'!$D$14*$D56,IF($E56="# of Customers",$D56*VLOOKUP(J$6,'Billing Determinants'!$A$7:$H$14,3,FALSE)/'Billing Determinants'!$C$14,IF($E56="Distribution Rev.",VLOOKUP(J$6,'Billing Determinants'!$A$7:$H$14,8,FALSE)/'Billing Determinants'!$H$14*$D56,"err")))</f>
        <v>err</v>
      </c>
      <c r="K56" s="13" t="str">
        <f>IF($E56="kWh",VLOOKUP(K$6,'Billing Determinants'!$A$7:$H$14,4,FALSE)/'Billing Determinants'!$D$14*$D56,IF($E56="# of Customers",$D56*VLOOKUP(K$6,'Billing Determinants'!$A$7:$H$14,3,FALSE)/'Billing Determinants'!$C$14,IF($E56="Distribution Rev.",VLOOKUP(K$6,'Billing Determinants'!$A$7:$H$14,8,FALSE)/'Billing Determinants'!$H$14*$D56,"err")))</f>
        <v>err</v>
      </c>
      <c r="L56" s="13" t="str">
        <f>IF($E56="kWh",VLOOKUP(L$6,'Billing Determinants'!$A$7:$H$14,4,FALSE)/'Billing Determinants'!$D$14*$D56,IF($E56="# of Customers",$D56*VLOOKUP(L$6,'Billing Determinants'!$A$7:$H$14,3,FALSE)/'Billing Determinants'!$C$14,IF($E56="Distribution Rev.",VLOOKUP(L$6,'Billing Determinants'!$A$7:$H$14,8,FALSE)/'Billing Determinants'!$H$14*$D56,"err")))</f>
        <v>err</v>
      </c>
    </row>
    <row r="57" spans="1:12" ht="25" x14ac:dyDescent="0.25">
      <c r="A57" s="7">
        <v>32</v>
      </c>
      <c r="B57" s="33" t="s">
        <v>44</v>
      </c>
      <c r="C57" s="18">
        <v>1592</v>
      </c>
      <c r="D57" s="13">
        <f>'[2]2b. Continuity Schedule - Grp 2'!$BW$15</f>
        <v>-279670.08559999999</v>
      </c>
      <c r="E57" s="14" t="s">
        <v>6</v>
      </c>
      <c r="F57" s="13">
        <f>IF($E57="kWh",VLOOKUP(F$6,'Billing Determinants'!$A$7:$H$14,4,FALSE)/'Billing Determinants'!$D$14*$D57,IF($E57="# of Customers",$D57*VLOOKUP(F$6,'Billing Determinants'!$A$7:$H$14,3,FALSE)/'Billing Determinants'!$C$14,IF($E57="Distribution Rev.",VLOOKUP(F$6,'Billing Determinants'!$A$7:$H$14,8,FALSE)/'Billing Determinants'!$H$14*$D57,"err")))</f>
        <v>-103455.33094278011</v>
      </c>
      <c r="G57" s="13">
        <f>IF($E57="kWh",VLOOKUP(G$6,'Billing Determinants'!$A$7:$H$14,4,FALSE)/'Billing Determinants'!$D$14*$D57,IF($E57="# of Customers",$D57*VLOOKUP(G$6,'Billing Determinants'!$A$7:$H$14,3,FALSE)/'Billing Determinants'!$C$14,IF($E57="Distribution Rev.",VLOOKUP(G$6,'Billing Determinants'!$A$7:$H$14,8,FALSE)/'Billing Determinants'!$H$14*$D57,"err")))</f>
        <v>-40289.896003933281</v>
      </c>
      <c r="H57" s="13">
        <f>IF($E57="kWh",VLOOKUP(H$6,'Billing Determinants'!$A$7:$H$14,4,FALSE)/'Billing Determinants'!$D$14*$D57,IF($E57="# of Customers",$D57*VLOOKUP(H$6,'Billing Determinants'!$A$7:$H$14,3,FALSE)/'Billing Determinants'!$C$14,IF($E57="Distribution Rev.",VLOOKUP(H$6,'Billing Determinants'!$A$7:$H$14,8,FALSE)/'Billing Determinants'!$H$14*$D57,"err")))</f>
        <v>-134523.88322403096</v>
      </c>
      <c r="I57" s="13">
        <f>IF($E57="kWh",VLOOKUP(I$6,'Billing Determinants'!$A$7:$H$14,4,FALSE)/'Billing Determinants'!$D$14*$D57,IF($E57="# of Customers",$D57*VLOOKUP(I$6,'Billing Determinants'!$A$7:$H$14,3,FALSE)/'Billing Determinants'!$C$14,IF($E57="Distribution Rev.",VLOOKUP(I$6,'Billing Determinants'!$A$7:$H$14,8,FALSE)/'Billing Determinants'!$H$14*$D57,"err")))</f>
        <v>-601.53065386861113</v>
      </c>
      <c r="J57" s="13">
        <f>IF($E57="kWh",VLOOKUP(J$6,'Billing Determinants'!$A$7:$H$14,4,FALSE)/'Billing Determinants'!$D$14*$D57,IF($E57="# of Customers",$D57*VLOOKUP(J$6,'Billing Determinants'!$A$7:$H$14,3,FALSE)/'Billing Determinants'!$C$14,IF($E57="Distribution Rev.",VLOOKUP(J$6,'Billing Determinants'!$A$7:$H$14,8,FALSE)/'Billing Determinants'!$H$14*$D57,"err")))</f>
        <v>0</v>
      </c>
      <c r="K57" s="13">
        <f>IF($E57="kWh",VLOOKUP(K$6,'Billing Determinants'!$A$7:$H$14,4,FALSE)/'Billing Determinants'!$D$14*$D57,IF($E57="# of Customers",$D57*VLOOKUP(K$6,'Billing Determinants'!$A$7:$H$14,3,FALSE)/'Billing Determinants'!$C$14,IF($E57="Distribution Rev.",VLOOKUP(K$6,'Billing Determinants'!$A$7:$H$14,8,FALSE)/'Billing Determinants'!$H$14*$D57,"err")))</f>
        <v>-799.44477538702347</v>
      </c>
      <c r="L57" s="13">
        <f>IF($E57="kWh",VLOOKUP(L$6,'Billing Determinants'!$A$7:$H$14,4,FALSE)/'Billing Determinants'!$D$14*$D57,IF($E57="# of Customers",$D57*VLOOKUP(L$6,'Billing Determinants'!$A$7:$H$14,3,FALSE)/'Billing Determinants'!$C$14,IF($E57="Distribution Rev.",VLOOKUP(L$6,'Billing Determinants'!$A$7:$H$14,8,FALSE)/'Billing Determinants'!$H$14*$D57,"err")))</f>
        <v>0</v>
      </c>
    </row>
    <row r="58" spans="1:12" ht="25" hidden="1" x14ac:dyDescent="0.25">
      <c r="A58" s="7">
        <v>33</v>
      </c>
      <c r="B58" s="33" t="s">
        <v>45</v>
      </c>
      <c r="C58" s="18">
        <v>1592</v>
      </c>
      <c r="D58" s="13"/>
      <c r="E58" s="14" t="s">
        <v>6</v>
      </c>
      <c r="F58" s="13">
        <f>IF($E58="kWh",VLOOKUP(F$6,'Billing Determinants'!$A$7:$H$14,4,FALSE)/'Billing Determinants'!$D$14*$D58,IF($E58="# of Customers",$D58*VLOOKUP(F$6,'Billing Determinants'!$A$7:$H$14,3,FALSE)/'Billing Determinants'!$C$14,IF($E58="Distribution Rev.",VLOOKUP(F$6,'Billing Determinants'!$A$7:$H$14,8,FALSE)/'Billing Determinants'!$H$14*$D58,"err")))</f>
        <v>0</v>
      </c>
      <c r="G58" s="13">
        <f>IF($E58="kWh",VLOOKUP(G$6,'Billing Determinants'!$A$7:$H$14,4,FALSE)/'Billing Determinants'!$D$14*$D58,IF($E58="# of Customers",$D58*VLOOKUP(G$6,'Billing Determinants'!$A$7:$H$14,3,FALSE)/'Billing Determinants'!$C$14,IF($E58="Distribution Rev.",VLOOKUP(G$6,'Billing Determinants'!$A$7:$H$14,8,FALSE)/'Billing Determinants'!$H$14*$D58,"err")))</f>
        <v>0</v>
      </c>
      <c r="H58" s="13">
        <f>IF($E58="kWh",VLOOKUP(H$6,'Billing Determinants'!$A$7:$H$14,4,FALSE)/'Billing Determinants'!$D$14*$D58,IF($E58="# of Customers",$D58*VLOOKUP(H$6,'Billing Determinants'!$A$7:$H$14,3,FALSE)/'Billing Determinants'!$C$14,IF($E58="Distribution Rev.",VLOOKUP(H$6,'Billing Determinants'!$A$7:$H$14,8,FALSE)/'Billing Determinants'!$H$14*$D58,"err")))</f>
        <v>0</v>
      </c>
      <c r="I58" s="13">
        <f>IF($E58="kWh",VLOOKUP(I$6,'Billing Determinants'!$A$7:$H$14,4,FALSE)/'Billing Determinants'!$D$14*$D58,IF($E58="# of Customers",$D58*VLOOKUP(I$6,'Billing Determinants'!$A$7:$H$14,3,FALSE)/'Billing Determinants'!$C$14,IF($E58="Distribution Rev.",VLOOKUP(I$6,'Billing Determinants'!$A$7:$H$14,8,FALSE)/'Billing Determinants'!$H$14*$D58,"err")))</f>
        <v>0</v>
      </c>
      <c r="J58" s="13">
        <f>IF($E58="kWh",VLOOKUP(J$6,'Billing Determinants'!$A$7:$H$14,4,FALSE)/'Billing Determinants'!$D$14*$D58,IF($E58="# of Customers",$D58*VLOOKUP(J$6,'Billing Determinants'!$A$7:$H$14,3,FALSE)/'Billing Determinants'!$C$14,IF($E58="Distribution Rev.",VLOOKUP(J$6,'Billing Determinants'!$A$7:$H$14,8,FALSE)/'Billing Determinants'!$H$14*$D58,"err")))</f>
        <v>0</v>
      </c>
      <c r="K58" s="13">
        <f>IF($E58="kWh",VLOOKUP(K$6,'Billing Determinants'!$A$7:$H$14,4,FALSE)/'Billing Determinants'!$D$14*$D58,IF($E58="# of Customers",$D58*VLOOKUP(K$6,'Billing Determinants'!$A$7:$H$14,3,FALSE)/'Billing Determinants'!$C$14,IF($E58="Distribution Rev.",VLOOKUP(K$6,'Billing Determinants'!$A$7:$H$14,8,FALSE)/'Billing Determinants'!$H$14*$D58,"err")))</f>
        <v>0</v>
      </c>
      <c r="L58" s="13">
        <f>IF($E58="kWh",VLOOKUP(L$6,'Billing Determinants'!$A$7:$H$14,4,FALSE)/'Billing Determinants'!$D$14*$D58,IF($E58="# of Customers",$D58*VLOOKUP(L$6,'Billing Determinants'!$A$7:$H$14,3,FALSE)/'Billing Determinants'!$C$14,IF($E58="Distribution Rev.",VLOOKUP(L$6,'Billing Determinants'!$A$7:$H$14,8,FALSE)/'Billing Determinants'!$H$14*$D58,"err")))</f>
        <v>0</v>
      </c>
    </row>
    <row r="59" spans="1:12" s="24" customFormat="1" ht="13" hidden="1" x14ac:dyDescent="0.3">
      <c r="A59" s="7">
        <v>34</v>
      </c>
      <c r="B59" s="21" t="s">
        <v>46</v>
      </c>
      <c r="C59" s="30"/>
      <c r="D59" s="22">
        <f>SUM(D57:D58)</f>
        <v>-279670.08559999999</v>
      </c>
      <c r="E59" s="30"/>
      <c r="F59" s="13">
        <f>SUM(F57:F58)</f>
        <v>-103455.33094278011</v>
      </c>
      <c r="G59" s="13">
        <f t="shared" ref="G59:L59" si="1">SUM(G57:G58)</f>
        <v>-40289.896003933281</v>
      </c>
      <c r="H59" s="13">
        <f t="shared" si="1"/>
        <v>-134523.88322403096</v>
      </c>
      <c r="I59" s="13">
        <f t="shared" si="1"/>
        <v>-601.53065386861113</v>
      </c>
      <c r="J59" s="13">
        <f t="shared" si="1"/>
        <v>0</v>
      </c>
      <c r="K59" s="13">
        <f t="shared" si="1"/>
        <v>-799.44477538702347</v>
      </c>
      <c r="L59" s="13">
        <f t="shared" si="1"/>
        <v>0</v>
      </c>
    </row>
    <row r="60" spans="1:12" ht="13" hidden="1" x14ac:dyDescent="0.25">
      <c r="A60" s="7">
        <v>35</v>
      </c>
      <c r="B60" s="101"/>
      <c r="C60" s="101"/>
      <c r="D60" s="34"/>
      <c r="F60" s="13"/>
      <c r="G60" s="13"/>
      <c r="H60" s="13"/>
      <c r="I60" s="13"/>
      <c r="J60" s="13"/>
      <c r="K60" s="13"/>
      <c r="L60" s="13"/>
    </row>
    <row r="61" spans="1:12" s="35" customFormat="1" ht="13" hidden="1" x14ac:dyDescent="0.3">
      <c r="A61" s="35">
        <v>36</v>
      </c>
      <c r="B61" s="36" t="s">
        <v>47</v>
      </c>
      <c r="C61" s="37">
        <v>1568</v>
      </c>
      <c r="D61" s="38">
        <f>'[1]2b. Continuity Schedule'!BT88</f>
        <v>0</v>
      </c>
      <c r="E61" s="37"/>
      <c r="F61" s="13"/>
      <c r="G61" s="13"/>
      <c r="H61" s="13"/>
      <c r="I61" s="13"/>
      <c r="J61" s="13"/>
      <c r="K61" s="13"/>
      <c r="L61" s="13"/>
    </row>
    <row r="62" spans="1:12" hidden="1" x14ac:dyDescent="0.25">
      <c r="A62" s="7">
        <v>37</v>
      </c>
      <c r="B62" s="103" t="s">
        <v>48</v>
      </c>
      <c r="C62" s="103"/>
      <c r="D62" s="39">
        <f>SUM(F61:L61)</f>
        <v>0</v>
      </c>
      <c r="F62" s="13"/>
      <c r="G62" s="13"/>
      <c r="H62" s="13"/>
      <c r="I62" s="13"/>
      <c r="J62" s="13"/>
      <c r="K62" s="13"/>
      <c r="L62" s="13"/>
    </row>
    <row r="63" spans="1:12" ht="13" hidden="1" x14ac:dyDescent="0.25">
      <c r="A63" s="7">
        <v>38</v>
      </c>
      <c r="B63" s="104" t="s">
        <v>49</v>
      </c>
      <c r="C63" s="104"/>
      <c r="D63" s="40">
        <f>D61-D62</f>
        <v>0</v>
      </c>
      <c r="E63" s="41"/>
      <c r="F63" s="13"/>
      <c r="G63" s="13"/>
      <c r="H63" s="13"/>
      <c r="I63" s="13"/>
      <c r="J63" s="13"/>
      <c r="K63" s="13"/>
      <c r="L63" s="13"/>
    </row>
    <row r="64" spans="1:12" ht="13" hidden="1" x14ac:dyDescent="0.25">
      <c r="A64" s="7">
        <v>39</v>
      </c>
      <c r="B64" s="42"/>
      <c r="C64" s="42"/>
      <c r="D64" s="43"/>
      <c r="E64" s="41"/>
      <c r="F64" s="13"/>
      <c r="G64" s="13"/>
      <c r="H64" s="13"/>
      <c r="I64" s="13"/>
      <c r="J64" s="13"/>
      <c r="K64" s="13"/>
      <c r="L64" s="13"/>
    </row>
    <row r="65" spans="1:12" ht="25" hidden="1" x14ac:dyDescent="0.25">
      <c r="A65" s="7">
        <v>40</v>
      </c>
      <c r="B65" s="44" t="s">
        <v>50</v>
      </c>
      <c r="C65" s="45">
        <v>1532</v>
      </c>
      <c r="D65" s="13">
        <f>'[1]2b. Continuity Schedule'!BT96</f>
        <v>0</v>
      </c>
      <c r="E65" s="14" t="s">
        <v>6</v>
      </c>
      <c r="F65" s="13">
        <f>IF($E65="kWh",VLOOKUP(F$6,'Billing Determinants'!$A$7:$H$14,4,FALSE)/'Billing Determinants'!$D$14*$D65,IF($E65="# of Customers",$D65*VLOOKUP(F$6,'Billing Determinants'!$A$7:$H$14,3,FALSE)/'Billing Determinants'!$C$14,IF($E65="Distribution Rev.",VLOOKUP(F$6,'Billing Determinants'!$A$7:$H$14,8,FALSE)/'Billing Determinants'!$H$14*$D65,"err")))</f>
        <v>0</v>
      </c>
      <c r="G65" s="13">
        <f>IF($E65="kWh",VLOOKUP(G$6,'Billing Determinants'!$A$7:$H$14,4,FALSE)/'Billing Determinants'!$D$14*$D65,IF($E65="# of Customers",$D65*VLOOKUP(G$6,'Billing Determinants'!$A$7:$H$14,3,FALSE)/'Billing Determinants'!$C$14,IF($E65="Distribution Rev.",VLOOKUP(G$6,'Billing Determinants'!$A$7:$H$14,8,FALSE)/'Billing Determinants'!$H$14*$D65,"err")))</f>
        <v>0</v>
      </c>
      <c r="H65" s="13">
        <f>IF($E65="kWh",VLOOKUP(H$6,'Billing Determinants'!$A$7:$H$14,4,FALSE)/'Billing Determinants'!$D$14*$D65,IF($E65="# of Customers",$D65*VLOOKUP(H$6,'Billing Determinants'!$A$7:$H$14,3,FALSE)/'Billing Determinants'!$C$14,IF($E65="Distribution Rev.",VLOOKUP(H$6,'Billing Determinants'!$A$7:$H$14,8,FALSE)/'Billing Determinants'!$H$14*$D65,"err")))</f>
        <v>0</v>
      </c>
      <c r="I65" s="13">
        <f>IF($E65="kWh",VLOOKUP(I$6,'Billing Determinants'!$A$7:$H$14,4,FALSE)/'Billing Determinants'!$D$14*$D65,IF($E65="# of Customers",$D65*VLOOKUP(I$6,'Billing Determinants'!$A$7:$H$14,3,FALSE)/'Billing Determinants'!$C$14,IF($E65="Distribution Rev.",VLOOKUP(I$6,'Billing Determinants'!$A$7:$H$14,8,FALSE)/'Billing Determinants'!$H$14*$D65,"err")))</f>
        <v>0</v>
      </c>
      <c r="J65" s="13">
        <f>IF($E65="kWh",VLOOKUP(J$6,'Billing Determinants'!$A$7:$H$14,4,FALSE)/'Billing Determinants'!$D$14*$D65,IF($E65="# of Customers",$D65*VLOOKUP(J$6,'Billing Determinants'!$A$7:$H$14,3,FALSE)/'Billing Determinants'!$C$14,IF($E65="Distribution Rev.",VLOOKUP(J$6,'Billing Determinants'!$A$7:$H$14,8,FALSE)/'Billing Determinants'!$H$14*$D65,"err")))</f>
        <v>0</v>
      </c>
      <c r="K65" s="13">
        <f>IF($E65="kWh",VLOOKUP(K$6,'Billing Determinants'!$A$7:$H$14,4,FALSE)/'Billing Determinants'!$D$14*$D65,IF($E65="# of Customers",$D65*VLOOKUP(K$6,'Billing Determinants'!$A$7:$H$14,3,FALSE)/'Billing Determinants'!$C$14,IF($E65="Distribution Rev.",VLOOKUP(K$6,'Billing Determinants'!$A$7:$H$14,8,FALSE)/'Billing Determinants'!$H$14*$D65,"err")))</f>
        <v>0</v>
      </c>
      <c r="L65" s="13">
        <f>IF($E65="kWh",VLOOKUP(L$6,'Billing Determinants'!$A$7:$H$14,4,FALSE)/'Billing Determinants'!$D$14*$D65,IF($E65="# of Customers",$D65*VLOOKUP(L$6,'Billing Determinants'!$A$7:$H$14,3,FALSE)/'Billing Determinants'!$C$14,IF($E65="Distribution Rev.",VLOOKUP(L$6,'Billing Determinants'!$A$7:$H$14,8,FALSE)/'Billing Determinants'!$H$14*$D65,"err")))</f>
        <v>0</v>
      </c>
    </row>
    <row r="66" spans="1:12" ht="37.5" hidden="1" customHeight="1" x14ac:dyDescent="0.25">
      <c r="B66" s="46" t="s">
        <v>51</v>
      </c>
      <c r="C66" s="47">
        <v>1555</v>
      </c>
      <c r="D66" s="48">
        <v>0</v>
      </c>
      <c r="E66" s="49" t="s">
        <v>6</v>
      </c>
      <c r="F66" s="13">
        <f>IF($E66="kWh",VLOOKUP(F$6,'Billing Determinants'!$A$7:$H$14,4,FALSE)/'Billing Determinants'!$D$14*$D66,IF($E66="# of Customers",$D66*VLOOKUP(F$6,'Billing Determinants'!$A$7:$H$14,3,FALSE)/'Billing Determinants'!$C$14,IF($E66="Distribution Rev.",VLOOKUP(F$6,'Billing Determinants'!$A$7:$H$14,8,FALSE)/'Billing Determinants'!$H$14*$D66,"err")))</f>
        <v>0</v>
      </c>
      <c r="G66" s="13">
        <f>IF($E66="kWh",VLOOKUP(G$6,'Billing Determinants'!$A$7:$H$14,4,FALSE)/'Billing Determinants'!$D$14*$D66,IF($E66="# of Customers",$D66*VLOOKUP(G$6,'Billing Determinants'!$A$7:$H$14,3,FALSE)/'Billing Determinants'!$C$14,IF($E66="Distribution Rev.",VLOOKUP(G$6,'Billing Determinants'!$A$7:$H$14,8,FALSE)/'Billing Determinants'!$H$14*$D66,"err")))</f>
        <v>0</v>
      </c>
      <c r="H66" s="13">
        <f>IF($E66="kWh",VLOOKUP(H$6,'Billing Determinants'!$A$7:$H$14,4,FALSE)/'Billing Determinants'!$D$14*$D66,IF($E66="# of Customers",$D66*VLOOKUP(H$6,'Billing Determinants'!$A$7:$H$14,3,FALSE)/'Billing Determinants'!$C$14,IF($E66="Distribution Rev.",VLOOKUP(H$6,'Billing Determinants'!$A$7:$H$14,8,FALSE)/'Billing Determinants'!$H$14*$D66,"err")))</f>
        <v>0</v>
      </c>
      <c r="I66" s="13">
        <f>IF($E66="kWh",VLOOKUP(I$6,'Billing Determinants'!$A$7:$H$14,4,FALSE)/'Billing Determinants'!$D$14*$D66,IF($E66="# of Customers",$D66*VLOOKUP(I$6,'Billing Determinants'!$A$7:$H$14,3,FALSE)/'Billing Determinants'!$C$14,IF($E66="Distribution Rev.",VLOOKUP(I$6,'Billing Determinants'!$A$7:$H$14,8,FALSE)/'Billing Determinants'!$H$14*$D66,"err")))</f>
        <v>0</v>
      </c>
      <c r="J66" s="13">
        <f>IF($E66="kWh",VLOOKUP(J$6,'Billing Determinants'!$A$7:$H$14,4,FALSE)/'Billing Determinants'!$D$14*$D66,IF($E66="# of Customers",$D66*VLOOKUP(J$6,'Billing Determinants'!$A$7:$H$14,3,FALSE)/'Billing Determinants'!$C$14,IF($E66="Distribution Rev.",VLOOKUP(J$6,'Billing Determinants'!$A$7:$H$14,8,FALSE)/'Billing Determinants'!$H$14*$D66,"err")))</f>
        <v>0</v>
      </c>
      <c r="K66" s="13">
        <f>IF($E66="kWh",VLOOKUP(K$6,'Billing Determinants'!$A$7:$H$14,4,FALSE)/'Billing Determinants'!$D$14*$D66,IF($E66="# of Customers",$D66*VLOOKUP(K$6,'Billing Determinants'!$A$7:$H$14,3,FALSE)/'Billing Determinants'!$C$14,IF($E66="Distribution Rev.",VLOOKUP(K$6,'Billing Determinants'!$A$7:$H$14,8,FALSE)/'Billing Determinants'!$H$14*$D66,"err")))</f>
        <v>0</v>
      </c>
      <c r="L66" s="13">
        <f>IF($E66="kWh",VLOOKUP(L$6,'Billing Determinants'!$A$7:$H$14,4,FALSE)/'Billing Determinants'!$D$14*$D66,IF($E66="# of Customers",$D66*VLOOKUP(L$6,'Billing Determinants'!$A$7:$H$14,3,FALSE)/'Billing Determinants'!$C$14,IF($E66="Distribution Rev.",VLOOKUP(L$6,'Billing Determinants'!$A$7:$H$14,8,FALSE)/'Billing Determinants'!$H$14*$D66,"err")))</f>
        <v>0</v>
      </c>
    </row>
    <row r="67" spans="1:12" s="50" customFormat="1" ht="12" hidden="1" customHeight="1" x14ac:dyDescent="0.3">
      <c r="A67" s="50">
        <v>41</v>
      </c>
      <c r="B67" s="51" t="s">
        <v>52</v>
      </c>
      <c r="C67" s="52">
        <v>1580</v>
      </c>
      <c r="D67" s="53">
        <f>IF('[1]1. Information Sheet'!L61="Yes",'[1]6.2a CBR B_Allocation'!C29,0)</f>
        <v>0</v>
      </c>
      <c r="E67" s="54" t="s">
        <v>6</v>
      </c>
      <c r="F67" s="53">
        <f>IFERROR(VLOOKUP(F$6,'[1]6.2 CBR B'!$A$17:$K$36,11,FALSE)*'[1]6.2a CBR B_Allocation'!$C$29,0)</f>
        <v>0</v>
      </c>
      <c r="G67" s="53">
        <f>IFERROR(VLOOKUP(G$6,'[1]6.2 CBR B'!$A$17:$K$36,11,FALSE)*'[1]6.2a CBR B_Allocation'!$C$29,0)</f>
        <v>0</v>
      </c>
      <c r="H67" s="53">
        <f>IFERROR(VLOOKUP(H$6,'[1]6.2 CBR B'!$A$17:$K$36,11,FALSE)*'[1]6.2a CBR B_Allocation'!$C$29,0)</f>
        <v>0</v>
      </c>
      <c r="I67" s="53">
        <f>IFERROR(VLOOKUP(I$6,'[1]6.2 CBR B'!$A$17:$K$36,11,FALSE)*'[1]6.2a CBR B_Allocation'!$C$29,0)</f>
        <v>0</v>
      </c>
      <c r="J67" s="53">
        <f>IFERROR(VLOOKUP(J$6,'[1]6.2 CBR B'!$A$17:$K$36,11,FALSE)*'[1]6.2a CBR B_Allocation'!$C$29,0)</f>
        <v>0</v>
      </c>
      <c r="K67" s="53">
        <f>IFERROR(VLOOKUP(K$6,'[1]6.2 CBR B'!$A$17:$K$36,11,FALSE)*'[1]6.2a CBR B_Allocation'!$C$29,0)</f>
        <v>0</v>
      </c>
      <c r="L67" s="53">
        <f>IFERROR(VLOOKUP(L$6,'[1]6.2 CBR B'!$A$17:$K$36,11,FALSE)*'[1]6.2a CBR B_Allocation'!$C$29,0)</f>
        <v>0</v>
      </c>
    </row>
    <row r="68" spans="1:12" hidden="1" x14ac:dyDescent="0.25">
      <c r="A68" s="7">
        <v>42</v>
      </c>
      <c r="B68" s="55"/>
      <c r="C68" s="55"/>
      <c r="D68" s="56"/>
      <c r="E68" s="56"/>
      <c r="F68" s="56"/>
      <c r="G68" s="56"/>
      <c r="H68" s="56"/>
      <c r="I68" s="56"/>
      <c r="J68" s="56"/>
      <c r="K68" s="56"/>
      <c r="L68" s="56"/>
    </row>
    <row r="69" spans="1:12" s="57" customFormat="1" ht="13" hidden="1" x14ac:dyDescent="0.25">
      <c r="A69" s="57">
        <v>43</v>
      </c>
      <c r="B69" s="101" t="s">
        <v>53</v>
      </c>
      <c r="C69" s="101"/>
      <c r="D69" s="38">
        <f>SUM(F69:L69)</f>
        <v>0</v>
      </c>
      <c r="E69" s="37"/>
      <c r="F69" s="38">
        <f>SUM(F7,F8,F10,F11,F14:F21)</f>
        <v>0</v>
      </c>
      <c r="G69" s="38">
        <f>SUM(G7,G8,G10,G11,G14:G21)</f>
        <v>0</v>
      </c>
      <c r="H69" s="38">
        <f t="shared" ref="H69:L69" si="2">SUM(H7,H8,H10,H11,H14:H21)</f>
        <v>0</v>
      </c>
      <c r="I69" s="38">
        <f t="shared" si="2"/>
        <v>0</v>
      </c>
      <c r="J69" s="38">
        <f t="shared" si="2"/>
        <v>0</v>
      </c>
      <c r="K69" s="38">
        <f t="shared" si="2"/>
        <v>0</v>
      </c>
      <c r="L69" s="38">
        <f t="shared" si="2"/>
        <v>0</v>
      </c>
    </row>
    <row r="70" spans="1:12" s="57" customFormat="1" ht="13" hidden="1" x14ac:dyDescent="0.25">
      <c r="A70" s="57">
        <v>44</v>
      </c>
      <c r="B70" s="101" t="s">
        <v>54</v>
      </c>
      <c r="C70" s="101"/>
      <c r="D70" s="38">
        <f>SUM(F70:L70)</f>
        <v>0</v>
      </c>
      <c r="E70" s="38"/>
      <c r="F70" s="38">
        <f t="shared" ref="F70:L70" si="3">SUM(F9,F12)</f>
        <v>0</v>
      </c>
      <c r="G70" s="38">
        <f t="shared" si="3"/>
        <v>0</v>
      </c>
      <c r="H70" s="38">
        <f t="shared" si="3"/>
        <v>0</v>
      </c>
      <c r="I70" s="38">
        <f t="shared" si="3"/>
        <v>0</v>
      </c>
      <c r="J70" s="38">
        <f t="shared" si="3"/>
        <v>0</v>
      </c>
      <c r="K70" s="38">
        <f t="shared" si="3"/>
        <v>0</v>
      </c>
      <c r="L70" s="38">
        <f t="shared" si="3"/>
        <v>0</v>
      </c>
    </row>
    <row r="71" spans="1:12" s="57" customFormat="1" ht="13" hidden="1" x14ac:dyDescent="0.25">
      <c r="A71" s="57">
        <v>45</v>
      </c>
      <c r="B71" s="101" t="s">
        <v>55</v>
      </c>
      <c r="C71" s="101"/>
      <c r="D71" s="38">
        <f>SUM(F71:L71)</f>
        <v>0</v>
      </c>
      <c r="E71" s="38"/>
      <c r="F71" s="38">
        <f t="shared" ref="F71:L71" si="4">F13</f>
        <v>0</v>
      </c>
      <c r="G71" s="38">
        <f t="shared" si="4"/>
        <v>0</v>
      </c>
      <c r="H71" s="38">
        <f t="shared" si="4"/>
        <v>0</v>
      </c>
      <c r="I71" s="38">
        <f t="shared" si="4"/>
        <v>0</v>
      </c>
      <c r="J71" s="38">
        <f t="shared" si="4"/>
        <v>0</v>
      </c>
      <c r="K71" s="38">
        <f t="shared" si="4"/>
        <v>0</v>
      </c>
      <c r="L71" s="38">
        <f t="shared" si="4"/>
        <v>0</v>
      </c>
    </row>
    <row r="72" spans="1:12" hidden="1" x14ac:dyDescent="0.25">
      <c r="A72" s="7">
        <v>46</v>
      </c>
    </row>
    <row r="73" spans="1:12" s="59" customFormat="1" ht="13" hidden="1" x14ac:dyDescent="0.25">
      <c r="A73" s="7">
        <v>47</v>
      </c>
      <c r="B73" s="105" t="s">
        <v>56</v>
      </c>
      <c r="C73" s="105"/>
      <c r="D73" s="58">
        <f>SUM(F73:L73)</f>
        <v>0</v>
      </c>
      <c r="E73" s="58"/>
      <c r="F73" s="58">
        <f>'[1]4. Billing Determinants'!$N21*'[1]2b. Continuity Schedule'!$BT$45</f>
        <v>0</v>
      </c>
      <c r="G73" s="58">
        <f>'[1]4. Billing Determinants'!$N22*'[1]2b. Continuity Schedule'!$BT$45</f>
        <v>0</v>
      </c>
      <c r="H73" s="58">
        <f>'[1]4. Billing Determinants'!$N23*'[1]2b. Continuity Schedule'!$BT$45</f>
        <v>0</v>
      </c>
      <c r="I73" s="58">
        <f>'[1]4. Billing Determinants'!$N24*'[1]2b. Continuity Schedule'!$BT$45</f>
        <v>0</v>
      </c>
      <c r="J73" s="58">
        <f>'[1]4. Billing Determinants'!$N25*'[1]2b. Continuity Schedule'!$BT$45</f>
        <v>0</v>
      </c>
      <c r="K73" s="58">
        <f>'[1]4. Billing Determinants'!$N26*'[1]2b. Continuity Schedule'!$BT$45</f>
        <v>0</v>
      </c>
      <c r="L73" s="58">
        <f>'[1]4. Billing Determinants'!$N27*'[1]2b. Continuity Schedule'!$BT$45</f>
        <v>0</v>
      </c>
    </row>
    <row r="74" spans="1:12" hidden="1" x14ac:dyDescent="0.25">
      <c r="A74" s="7">
        <v>48</v>
      </c>
    </row>
    <row r="75" spans="1:12" s="60" customFormat="1" ht="13" x14ac:dyDescent="0.25">
      <c r="A75" s="60">
        <v>49</v>
      </c>
      <c r="B75" s="102" t="s">
        <v>57</v>
      </c>
      <c r="C75" s="102"/>
      <c r="D75" s="38">
        <f>SUM(D25,D31,D32,D47,D57)</f>
        <v>-445340.16093429172</v>
      </c>
      <c r="E75" s="37"/>
      <c r="F75" s="38">
        <f>SUM(F25,F31,F32,F47,F57)</f>
        <v>-241207.99255001982</v>
      </c>
      <c r="G75" s="38">
        <f t="shared" ref="G75:L75" si="5">SUM(G25,G31,G32,G47,G57)</f>
        <v>-67148.744734803651</v>
      </c>
      <c r="H75" s="38">
        <f t="shared" si="5"/>
        <v>-134665.46266521153</v>
      </c>
      <c r="I75" s="38">
        <f t="shared" si="5"/>
        <v>-591.72420857869463</v>
      </c>
      <c r="J75" s="38">
        <f t="shared" si="5"/>
        <v>-35.917702292817694</v>
      </c>
      <c r="K75" s="38">
        <f t="shared" si="5"/>
        <v>-1690.3190733852539</v>
      </c>
      <c r="L75" s="38">
        <f t="shared" si="5"/>
        <v>0</v>
      </c>
    </row>
    <row r="76" spans="1:12" hidden="1" x14ac:dyDescent="0.25">
      <c r="A76" s="7">
        <v>50</v>
      </c>
    </row>
    <row r="77" spans="1:12" hidden="1" x14ac:dyDescent="0.25">
      <c r="A77" s="7">
        <v>51</v>
      </c>
      <c r="B77" s="11" t="s">
        <v>58</v>
      </c>
      <c r="C77" s="12">
        <v>1575</v>
      </c>
      <c r="D77" s="13">
        <f>'[1]2b. Continuity Schedule'!BT107</f>
        <v>0</v>
      </c>
      <c r="E77" s="14" t="s">
        <v>6</v>
      </c>
      <c r="F77" s="13">
        <f>IFERROR(IF(F$6="",0,IF($E77="kWh",VLOOKUP(F$6,'[1]4. Billing Determinants'!$B$19:$R$41,4,0)/'[1]4. Billing Determinants'!$E$41*$D77,IF($E77="kW",VLOOKUP(F$6,'[1]4. Billing Determinants'!$B$19:$R$41,5,0)/'[1]4. Billing Determinants'!$F$41*$D77,IF($E77="Non-RPP kWh",VLOOKUP(F$6,'[1]4. Billing Determinants'!$B$19:$R$41,6,0)/'[1]4. Billing Determinants'!$G$41*$D77,IF($E77="Distribution Rev.",VLOOKUP(F$6,'[1]4. Billing Determinants'!$B$19:$R$41,8,0)/'[1]4. Billing Determinants'!$I$41*$D77, VLOOKUP(F$6,'[1]4. Billing Determinants'!$B$19:$R$41,3,0)/'[1]4. Billing Determinants'!$D$41*$D77))))),0)</f>
        <v>0</v>
      </c>
      <c r="G77" s="13">
        <f>IFERROR(IF(G$6="",0,IF($E77="kWh",VLOOKUP(G$6,'[1]4. Billing Determinants'!$B$19:$R$41,4,0)/'[1]4. Billing Determinants'!$E$41*$D77,IF($E77="kW",VLOOKUP(G$6,'[1]4. Billing Determinants'!$B$19:$R$41,5,0)/'[1]4. Billing Determinants'!$F$41*$D77,IF($E77="Non-RPP kWh",VLOOKUP(G$6,'[1]4. Billing Determinants'!$B$19:$R$41,6,0)/'[1]4. Billing Determinants'!$G$41*$D77,IF($E77="Distribution Rev.",VLOOKUP(G$6,'[1]4. Billing Determinants'!$B$19:$R$41,8,0)/'[1]4. Billing Determinants'!$I$41*$D77, VLOOKUP(G$6,'[1]4. Billing Determinants'!$B$19:$R$41,3,0)/'[1]4. Billing Determinants'!$D$41*$D77))))),0)</f>
        <v>0</v>
      </c>
      <c r="H77" s="13">
        <f>IFERROR(IF(H$6="",0,IF($E77="kWh",VLOOKUP(H$6,'[1]4. Billing Determinants'!$B$19:$R$41,4,0)/'[1]4. Billing Determinants'!$E$41*$D77,IF($E77="kW",VLOOKUP(H$6,'[1]4. Billing Determinants'!$B$19:$R$41,5,0)/'[1]4. Billing Determinants'!$F$41*$D77,IF($E77="Non-RPP kWh",VLOOKUP(H$6,'[1]4. Billing Determinants'!$B$19:$R$41,6,0)/'[1]4. Billing Determinants'!$G$41*$D77,IF($E77="Distribution Rev.",VLOOKUP(H$6,'[1]4. Billing Determinants'!$B$19:$R$41,8,0)/'[1]4. Billing Determinants'!$I$41*$D77, VLOOKUP(H$6,'[1]4. Billing Determinants'!$B$19:$R$41,3,0)/'[1]4. Billing Determinants'!$D$41*$D77))))),0)</f>
        <v>0</v>
      </c>
      <c r="I77" s="13">
        <f>IFERROR(IF(I$6="",0,IF($E77="kWh",VLOOKUP(I$6,'[1]4. Billing Determinants'!$B$19:$R$41,4,0)/'[1]4. Billing Determinants'!$E$41*$D77,IF($E77="kW",VLOOKUP(I$6,'[1]4. Billing Determinants'!$B$19:$R$41,5,0)/'[1]4. Billing Determinants'!$F$41*$D77,IF($E77="Non-RPP kWh",VLOOKUP(I$6,'[1]4. Billing Determinants'!$B$19:$R$41,6,0)/'[1]4. Billing Determinants'!$G$41*$D77,IF($E77="Distribution Rev.",VLOOKUP(I$6,'[1]4. Billing Determinants'!$B$19:$R$41,8,0)/'[1]4. Billing Determinants'!$I$41*$D77, VLOOKUP(I$6,'[1]4. Billing Determinants'!$B$19:$R$41,3,0)/'[1]4. Billing Determinants'!$D$41*$D77))))),0)</f>
        <v>0</v>
      </c>
      <c r="J77" s="13">
        <f>IFERROR(IF(J$6="",0,IF($E77="kWh",VLOOKUP(J$6,'[1]4. Billing Determinants'!$B$19:$R$41,4,0)/'[1]4. Billing Determinants'!$E$41*$D77,IF($E77="kW",VLOOKUP(J$6,'[1]4. Billing Determinants'!$B$19:$R$41,5,0)/'[1]4. Billing Determinants'!$F$41*$D77,IF($E77="Non-RPP kWh",VLOOKUP(J$6,'[1]4. Billing Determinants'!$B$19:$R$41,6,0)/'[1]4. Billing Determinants'!$G$41*$D77,IF($E77="Distribution Rev.",VLOOKUP(J$6,'[1]4. Billing Determinants'!$B$19:$R$41,8,0)/'[1]4. Billing Determinants'!$I$41*$D77, VLOOKUP(J$6,'[1]4. Billing Determinants'!$B$19:$R$41,3,0)/'[1]4. Billing Determinants'!$D$41*$D77))))),0)</f>
        <v>0</v>
      </c>
      <c r="K77" s="13">
        <f>IFERROR(IF(K$6="",0,IF($E77="kWh",VLOOKUP(K$6,'[1]4. Billing Determinants'!$B$19:$R$41,4,0)/'[1]4. Billing Determinants'!$E$41*$D77,IF($E77="kW",VLOOKUP(K$6,'[1]4. Billing Determinants'!$B$19:$R$41,5,0)/'[1]4. Billing Determinants'!$F$41*$D77,IF($E77="Non-RPP kWh",VLOOKUP(K$6,'[1]4. Billing Determinants'!$B$19:$R$41,6,0)/'[1]4. Billing Determinants'!$G$41*$D77,IF($E77="Distribution Rev.",VLOOKUP(K$6,'[1]4. Billing Determinants'!$B$19:$R$41,8,0)/'[1]4. Billing Determinants'!$I$41*$D77, VLOOKUP(K$6,'[1]4. Billing Determinants'!$B$19:$R$41,3,0)/'[1]4. Billing Determinants'!$D$41*$D77))))),0)</f>
        <v>0</v>
      </c>
      <c r="L77" s="13">
        <f>IFERROR(IF(L$6="",0,IF($E77="kWh",VLOOKUP(L$6,'[1]4. Billing Determinants'!$B$19:$R$41,4,0)/'[1]4. Billing Determinants'!$E$41*$D77,IF($E77="kW",VLOOKUP(L$6,'[1]4. Billing Determinants'!$B$19:$R$41,5,0)/'[1]4. Billing Determinants'!$F$41*$D77,IF($E77="Non-RPP kWh",VLOOKUP(L$6,'[1]4. Billing Determinants'!$B$19:$R$41,6,0)/'[1]4. Billing Determinants'!$G$41*$D77,IF($E77="Distribution Rev.",VLOOKUP(L$6,'[1]4. Billing Determinants'!$B$19:$R$41,8,0)/'[1]4. Billing Determinants'!$I$41*$D77, VLOOKUP(L$6,'[1]4. Billing Determinants'!$B$19:$R$41,3,0)/'[1]4. Billing Determinants'!$D$41*$D77))))),0)</f>
        <v>0</v>
      </c>
    </row>
    <row r="78" spans="1:12" hidden="1" x14ac:dyDescent="0.25">
      <c r="A78" s="7">
        <v>52</v>
      </c>
      <c r="B78" s="11" t="s">
        <v>59</v>
      </c>
      <c r="C78" s="12">
        <v>1576</v>
      </c>
      <c r="D78" s="13">
        <f>'[1]2b. Continuity Schedule'!BT108</f>
        <v>0</v>
      </c>
      <c r="E78" s="14" t="s">
        <v>6</v>
      </c>
      <c r="F78" s="13">
        <f>IFERROR(IF(F$6="",0,IF($E78="kWh",VLOOKUP(F$6,'[1]4. Billing Determinants'!$B$19:$R$41,4,0)/'[1]4. Billing Determinants'!$E$41*$D78,IF($E78="kW",VLOOKUP(F$6,'[1]4. Billing Determinants'!$B$19:$R$41,5,0)/'[1]4. Billing Determinants'!$F$41*$D78,IF($E78="Non-RPP kWh",VLOOKUP(F$6,'[1]4. Billing Determinants'!$B$19:$R$41,6,0)/'[1]4. Billing Determinants'!$G$41*$D78,IF($E78="Distribution Rev.",VLOOKUP(F$6,'[1]4. Billing Determinants'!$B$19:$R$41,8,0)/'[1]4. Billing Determinants'!$I$41*$D78, VLOOKUP(F$6,'[1]4. Billing Determinants'!$B$19:$R$41,3,0)/'[1]4. Billing Determinants'!$D$41*$D78))))),0)</f>
        <v>0</v>
      </c>
      <c r="G78" s="13">
        <f>IFERROR(IF(G$6="",0,IF($E78="kWh",VLOOKUP(G$6,'[1]4. Billing Determinants'!$B$19:$R$41,4,0)/'[1]4. Billing Determinants'!$E$41*$D78,IF($E78="kW",VLOOKUP(G$6,'[1]4. Billing Determinants'!$B$19:$R$41,5,0)/'[1]4. Billing Determinants'!$F$41*$D78,IF($E78="Non-RPP kWh",VLOOKUP(G$6,'[1]4. Billing Determinants'!$B$19:$R$41,6,0)/'[1]4. Billing Determinants'!$G$41*$D78,IF($E78="Distribution Rev.",VLOOKUP(G$6,'[1]4. Billing Determinants'!$B$19:$R$41,8,0)/'[1]4. Billing Determinants'!$I$41*$D78, VLOOKUP(G$6,'[1]4. Billing Determinants'!$B$19:$R$41,3,0)/'[1]4. Billing Determinants'!$D$41*$D78))))),0)</f>
        <v>0</v>
      </c>
      <c r="H78" s="13">
        <f>IFERROR(IF(H$6="",0,IF($E78="kWh",VLOOKUP(H$6,'[1]4. Billing Determinants'!$B$19:$R$41,4,0)/'[1]4. Billing Determinants'!$E$41*$D78,IF($E78="kW",VLOOKUP(H$6,'[1]4. Billing Determinants'!$B$19:$R$41,5,0)/'[1]4. Billing Determinants'!$F$41*$D78,IF($E78="Non-RPP kWh",VLOOKUP(H$6,'[1]4. Billing Determinants'!$B$19:$R$41,6,0)/'[1]4. Billing Determinants'!$G$41*$D78,IF($E78="Distribution Rev.",VLOOKUP(H$6,'[1]4. Billing Determinants'!$B$19:$R$41,8,0)/'[1]4. Billing Determinants'!$I$41*$D78, VLOOKUP(H$6,'[1]4. Billing Determinants'!$B$19:$R$41,3,0)/'[1]4. Billing Determinants'!$D$41*$D78))))),0)</f>
        <v>0</v>
      </c>
      <c r="I78" s="13">
        <f>IFERROR(IF(I$6="",0,IF($E78="kWh",VLOOKUP(I$6,'[1]4. Billing Determinants'!$B$19:$R$41,4,0)/'[1]4. Billing Determinants'!$E$41*$D78,IF($E78="kW",VLOOKUP(I$6,'[1]4. Billing Determinants'!$B$19:$R$41,5,0)/'[1]4. Billing Determinants'!$F$41*$D78,IF($E78="Non-RPP kWh",VLOOKUP(I$6,'[1]4. Billing Determinants'!$B$19:$R$41,6,0)/'[1]4. Billing Determinants'!$G$41*$D78,IF($E78="Distribution Rev.",VLOOKUP(I$6,'[1]4. Billing Determinants'!$B$19:$R$41,8,0)/'[1]4. Billing Determinants'!$I$41*$D78, VLOOKUP(I$6,'[1]4. Billing Determinants'!$B$19:$R$41,3,0)/'[1]4. Billing Determinants'!$D$41*$D78))))),0)</f>
        <v>0</v>
      </c>
      <c r="J78" s="13">
        <f>IFERROR(IF(J$6="",0,IF($E78="kWh",VLOOKUP(J$6,'[1]4. Billing Determinants'!$B$19:$R$41,4,0)/'[1]4. Billing Determinants'!$E$41*$D78,IF($E78="kW",VLOOKUP(J$6,'[1]4. Billing Determinants'!$B$19:$R$41,5,0)/'[1]4. Billing Determinants'!$F$41*$D78,IF($E78="Non-RPP kWh",VLOOKUP(J$6,'[1]4. Billing Determinants'!$B$19:$R$41,6,0)/'[1]4. Billing Determinants'!$G$41*$D78,IF($E78="Distribution Rev.",VLOOKUP(J$6,'[1]4. Billing Determinants'!$B$19:$R$41,8,0)/'[1]4. Billing Determinants'!$I$41*$D78, VLOOKUP(J$6,'[1]4. Billing Determinants'!$B$19:$R$41,3,0)/'[1]4. Billing Determinants'!$D$41*$D78))))),0)</f>
        <v>0</v>
      </c>
      <c r="K78" s="13">
        <f>IFERROR(IF(K$6="",0,IF($E78="kWh",VLOOKUP(K$6,'[1]4. Billing Determinants'!$B$19:$R$41,4,0)/'[1]4. Billing Determinants'!$E$41*$D78,IF($E78="kW",VLOOKUP(K$6,'[1]4. Billing Determinants'!$B$19:$R$41,5,0)/'[1]4. Billing Determinants'!$F$41*$D78,IF($E78="Non-RPP kWh",VLOOKUP(K$6,'[1]4. Billing Determinants'!$B$19:$R$41,6,0)/'[1]4. Billing Determinants'!$G$41*$D78,IF($E78="Distribution Rev.",VLOOKUP(K$6,'[1]4. Billing Determinants'!$B$19:$R$41,8,0)/'[1]4. Billing Determinants'!$I$41*$D78, VLOOKUP(K$6,'[1]4. Billing Determinants'!$B$19:$R$41,3,0)/'[1]4. Billing Determinants'!$D$41*$D78))))),0)</f>
        <v>0</v>
      </c>
      <c r="L78" s="13">
        <f>IFERROR(IF(L$6="",0,IF($E78="kWh",VLOOKUP(L$6,'[1]4. Billing Determinants'!$B$19:$R$41,4,0)/'[1]4. Billing Determinants'!$E$41*$D78,IF($E78="kW",VLOOKUP(L$6,'[1]4. Billing Determinants'!$B$19:$R$41,5,0)/'[1]4. Billing Determinants'!$F$41*$D78,IF($E78="Non-RPP kWh",VLOOKUP(L$6,'[1]4. Billing Determinants'!$B$19:$R$41,6,0)/'[1]4. Billing Determinants'!$G$41*$D78,IF($E78="Distribution Rev.",VLOOKUP(L$6,'[1]4. Billing Determinants'!$B$19:$R$41,8,0)/'[1]4. Billing Determinants'!$I$41*$D78, VLOOKUP(L$6,'[1]4. Billing Determinants'!$B$19:$R$41,3,0)/'[1]4. Billing Determinants'!$D$41*$D78))))),0)</f>
        <v>0</v>
      </c>
    </row>
    <row r="79" spans="1:12" s="57" customFormat="1" ht="13" hidden="1" x14ac:dyDescent="0.3">
      <c r="A79" s="57">
        <v>53</v>
      </c>
      <c r="B79" s="61" t="s">
        <v>60</v>
      </c>
      <c r="C79" s="61"/>
      <c r="D79" s="62">
        <f>SUM(D77:D78)</f>
        <v>0</v>
      </c>
      <c r="E79" s="62"/>
      <c r="F79" s="62">
        <f>SUM(F77:F78)</f>
        <v>0</v>
      </c>
      <c r="G79" s="62">
        <f t="shared" ref="G79:L79" si="6">SUM(G77:G78)</f>
        <v>0</v>
      </c>
      <c r="H79" s="62">
        <f t="shared" si="6"/>
        <v>0</v>
      </c>
      <c r="I79" s="62">
        <f t="shared" si="6"/>
        <v>0</v>
      </c>
      <c r="J79" s="62">
        <f t="shared" si="6"/>
        <v>0</v>
      </c>
      <c r="K79" s="62">
        <f t="shared" si="6"/>
        <v>0</v>
      </c>
      <c r="L79" s="62">
        <f t="shared" si="6"/>
        <v>0</v>
      </c>
    </row>
    <row r="80" spans="1:12" hidden="1" x14ac:dyDescent="0.25"/>
    <row r="81" spans="2:12" ht="13" hidden="1" x14ac:dyDescent="0.25">
      <c r="B81" s="63" t="s">
        <v>61</v>
      </c>
      <c r="C81" s="63"/>
    </row>
    <row r="82" spans="2:12" ht="13" hidden="1" x14ac:dyDescent="0.3">
      <c r="B82" s="64" t="s">
        <v>62</v>
      </c>
      <c r="C82" s="65">
        <f>IF(ISERROR('[1]2a. Continuity Schedule'!BT45/'[1]4. Billing Determinants'!D41), 0, '[1]2a. Continuity Schedule'!BT45/'[1]4. Billing Determinants'!D41)</f>
        <v>0</v>
      </c>
    </row>
    <row r="83" spans="2:12" ht="13" hidden="1" x14ac:dyDescent="0.3">
      <c r="B83" s="64" t="s">
        <v>63</v>
      </c>
      <c r="C83" s="66">
        <f>IF(ISERROR('[1]2a. Continuity Schedule'!BT45/'[1]4. Billing Determinants'!E41), 0, '[1]2a. Continuity Schedule'!BT45/'[1]4. Billing Determinants'!E41)</f>
        <v>0</v>
      </c>
    </row>
    <row r="84" spans="2:12" ht="13" hidden="1" x14ac:dyDescent="0.25">
      <c r="B84" s="36" t="s">
        <v>47</v>
      </c>
      <c r="C84" s="37">
        <v>1568</v>
      </c>
      <c r="D84" s="38">
        <f>'[1]2b. Continuity Schedule'!BT88</f>
        <v>0</v>
      </c>
      <c r="E84" s="37"/>
      <c r="F84" s="38">
        <f>'[1]4. Billing Determinants'!AC21</f>
        <v>0</v>
      </c>
      <c r="G84" s="38">
        <f>'[1]4. Billing Determinants'!AC22</f>
        <v>0</v>
      </c>
      <c r="H84" s="38">
        <f>'[1]4. Billing Determinants'!AC23</f>
        <v>0</v>
      </c>
      <c r="I84" s="38">
        <f>'[1]4. Billing Determinants'!AC24</f>
        <v>0</v>
      </c>
      <c r="J84" s="38">
        <f>'[1]4. Billing Determinants'!AC25</f>
        <v>0</v>
      </c>
      <c r="K84" s="38">
        <f>'[1]4. Billing Determinants'!AC26</f>
        <v>0</v>
      </c>
      <c r="L84" s="38">
        <f>'[1]4. Billing Determinants'!AC27</f>
        <v>0</v>
      </c>
    </row>
    <row r="85" spans="2:12" hidden="1" x14ac:dyDescent="0.25"/>
    <row r="86" spans="2:12" ht="13" hidden="1" x14ac:dyDescent="0.25">
      <c r="B86" s="36" t="s">
        <v>64</v>
      </c>
      <c r="C86" s="37">
        <v>1509</v>
      </c>
      <c r="D86" s="38">
        <f>'[1]2b. Continuity Schedule'!BT110</f>
        <v>0</v>
      </c>
      <c r="E86" s="67" t="s">
        <v>34</v>
      </c>
      <c r="F86" s="38">
        <f>IFERROR(IF(F$6="",0,IF($E86="kWh",VLOOKUP(F$6,'[1]4. Billing Determinants'!$B$19:$R$41,4,0)/'[1]4. Billing Determinants'!$E$41*$D86,IF($E86="kW",VLOOKUP(F$6,'[1]4. Billing Determinants'!$B$19:$R$41,5,0)/'[1]4. Billing Determinants'!$F$41*$D86,IF($E86="Non-RPP kWh",VLOOKUP(F$6,'[1]4. Billing Determinants'!$B$19:$R$41,6,0)/'[1]4. Billing Determinants'!$G$41*$D86,IF($E86="Distribution Rev.",VLOOKUP(F$6,'[1]4. Billing Determinants'!$B$19:$R$41,8,0)/'[1]4. Billing Determinants'!$I$41*$D86, VLOOKUP(F$6,'[1]4. Billing Determinants'!$B$19:$R$41,3,0)/'[1]4. Billing Determinants'!$D$41*$D86))))),0)</f>
        <v>0</v>
      </c>
      <c r="G86" s="38">
        <f>IFERROR(IF(G$6="",0,IF($E86="kWh",VLOOKUP(G$6,'[1]4. Billing Determinants'!$B$19:$R$41,4,0)/'[1]4. Billing Determinants'!$E$41*$D86,IF($E86="kW",VLOOKUP(G$6,'[1]4. Billing Determinants'!$B$19:$R$41,5,0)/'[1]4. Billing Determinants'!$F$41*$D86,IF($E86="Non-RPP kWh",VLOOKUP(G$6,'[1]4. Billing Determinants'!$B$19:$R$41,6,0)/'[1]4. Billing Determinants'!$G$41*$D86,IF($E86="Distribution Rev.",VLOOKUP(G$6,'[1]4. Billing Determinants'!$B$19:$R$41,8,0)/'[1]4. Billing Determinants'!$I$41*$D86, VLOOKUP(G$6,'[1]4. Billing Determinants'!$B$19:$R$41,3,0)/'[1]4. Billing Determinants'!$D$41*$D86))))),0)</f>
        <v>0</v>
      </c>
      <c r="H86" s="38">
        <f>IFERROR(IF(H$6="",0,IF($E86="kWh",VLOOKUP(H$6,'[1]4. Billing Determinants'!$B$19:$R$41,4,0)/'[1]4. Billing Determinants'!$E$41*$D86,IF($E86="kW",VLOOKUP(H$6,'[1]4. Billing Determinants'!$B$19:$R$41,5,0)/'[1]4. Billing Determinants'!$F$41*$D86,IF($E86="Non-RPP kWh",VLOOKUP(H$6,'[1]4. Billing Determinants'!$B$19:$R$41,6,0)/'[1]4. Billing Determinants'!$G$41*$D86,IF($E86="Distribution Rev.",VLOOKUP(H$6,'[1]4. Billing Determinants'!$B$19:$R$41,8,0)/'[1]4. Billing Determinants'!$I$41*$D86, VLOOKUP(H$6,'[1]4. Billing Determinants'!$B$19:$R$41,3,0)/'[1]4. Billing Determinants'!$D$41*$D86))))),0)</f>
        <v>0</v>
      </c>
      <c r="I86" s="38">
        <f>IFERROR(IF(I$6="",0,IF($E86="kWh",VLOOKUP(I$6,'[1]4. Billing Determinants'!$B$19:$R$41,4,0)/'[1]4. Billing Determinants'!$E$41*$D86,IF($E86="kW",VLOOKUP(I$6,'[1]4. Billing Determinants'!$B$19:$R$41,5,0)/'[1]4. Billing Determinants'!$F$41*$D86,IF($E86="Non-RPP kWh",VLOOKUP(I$6,'[1]4. Billing Determinants'!$B$19:$R$41,6,0)/'[1]4. Billing Determinants'!$G$41*$D86,IF($E86="Distribution Rev.",VLOOKUP(I$6,'[1]4. Billing Determinants'!$B$19:$R$41,8,0)/'[1]4. Billing Determinants'!$I$41*$D86, VLOOKUP(I$6,'[1]4. Billing Determinants'!$B$19:$R$41,3,0)/'[1]4. Billing Determinants'!$D$41*$D86))))),0)</f>
        <v>0</v>
      </c>
      <c r="J86" s="38">
        <f>IFERROR(IF(J$6="",0,IF($E86="kWh",VLOOKUP(J$6,'[1]4. Billing Determinants'!$B$19:$R$41,4,0)/'[1]4. Billing Determinants'!$E$41*$D86,IF($E86="kW",VLOOKUP(J$6,'[1]4. Billing Determinants'!$B$19:$R$41,5,0)/'[1]4. Billing Determinants'!$F$41*$D86,IF($E86="Non-RPP kWh",VLOOKUP(J$6,'[1]4. Billing Determinants'!$B$19:$R$41,6,0)/'[1]4. Billing Determinants'!$G$41*$D86,IF($E86="Distribution Rev.",VLOOKUP(J$6,'[1]4. Billing Determinants'!$B$19:$R$41,8,0)/'[1]4. Billing Determinants'!$I$41*$D86, VLOOKUP(J$6,'[1]4. Billing Determinants'!$B$19:$R$41,3,0)/'[1]4. Billing Determinants'!$D$41*$D86))))),0)</f>
        <v>0</v>
      </c>
      <c r="K86" s="38">
        <f>IFERROR(IF(K$6="",0,IF($E86="kWh",VLOOKUP(K$6,'[1]4. Billing Determinants'!$B$19:$R$41,4,0)/'[1]4. Billing Determinants'!$E$41*$D86,IF($E86="kW",VLOOKUP(K$6,'[1]4. Billing Determinants'!$B$19:$R$41,5,0)/'[1]4. Billing Determinants'!$F$41*$D86,IF($E86="Non-RPP kWh",VLOOKUP(K$6,'[1]4. Billing Determinants'!$B$19:$R$41,6,0)/'[1]4. Billing Determinants'!$G$41*$D86,IF($E86="Distribution Rev.",VLOOKUP(K$6,'[1]4. Billing Determinants'!$B$19:$R$41,8,0)/'[1]4. Billing Determinants'!$I$41*$D86, VLOOKUP(K$6,'[1]4. Billing Determinants'!$B$19:$R$41,3,0)/'[1]4. Billing Determinants'!$D$41*$D86))))),0)</f>
        <v>0</v>
      </c>
      <c r="L86" s="38">
        <f>IFERROR(IF(L$6="",0,IF($E86="kWh",VLOOKUP(L$6,'[1]4. Billing Determinants'!$B$19:$R$41,4,0)/'[1]4. Billing Determinants'!$E$41*$D86,IF($E86="kW",VLOOKUP(L$6,'[1]4. Billing Determinants'!$B$19:$R$41,5,0)/'[1]4. Billing Determinants'!$F$41*$D86,IF($E86="Non-RPP kWh",VLOOKUP(L$6,'[1]4. Billing Determinants'!$B$19:$R$41,6,0)/'[1]4. Billing Determinants'!$G$41*$D86,IF($E86="Distribution Rev.",VLOOKUP(L$6,'[1]4. Billing Determinants'!$B$19:$R$41,8,0)/'[1]4. Billing Determinants'!$I$41*$D86, VLOOKUP(L$6,'[1]4. Billing Determinants'!$B$19:$R$41,3,0)/'[1]4. Billing Determinants'!$D$41*$D86))))),0)</f>
        <v>0</v>
      </c>
    </row>
    <row r="87" spans="2:12" x14ac:dyDescent="0.25">
      <c r="B87" s="7" t="s">
        <v>85</v>
      </c>
      <c r="D87" s="90"/>
      <c r="F87" s="92"/>
      <c r="G87" s="92"/>
      <c r="H87" s="92"/>
      <c r="I87" s="92"/>
      <c r="J87" s="92"/>
      <c r="K87" s="92"/>
    </row>
    <row r="89" spans="2:12" x14ac:dyDescent="0.25">
      <c r="D89" s="90"/>
    </row>
  </sheetData>
  <mergeCells count="8">
    <mergeCell ref="B60:C60"/>
    <mergeCell ref="B75:C75"/>
    <mergeCell ref="B62:C62"/>
    <mergeCell ref="B63:C63"/>
    <mergeCell ref="B69:C69"/>
    <mergeCell ref="B70:C70"/>
    <mergeCell ref="B71:C71"/>
    <mergeCell ref="B73:C73"/>
  </mergeCells>
  <dataValidations count="3">
    <dataValidation type="list" allowBlank="1" showInputMessage="1" showErrorMessage="1" sqref="E65:E66 E57:E58 E77:E78 E24 E26:E54" xr:uid="{99115C7D-33BE-4F52-A345-12C0D183D862}">
      <formula1>"kWh, kW,Distribution Rev., # of Customers"</formula1>
    </dataValidation>
    <dataValidation type="list" allowBlank="1" showInputMessage="1" showErrorMessage="1" sqref="E55 E59" xr:uid="{BE395597-1D20-4557-A2BE-F26D3DD4034C}">
      <formula1>"kWh, kW, Non-RPP kWh, Distribution Rev."</formula1>
    </dataValidation>
    <dataValidation type="list" allowBlank="1" showInputMessage="1" showErrorMessage="1" sqref="E7 E67 E9:E12" xr:uid="{E2BA11B9-FD59-4548-9B2D-AEC33227236C}">
      <formula1>"kWh, kW"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3925-C9B0-4484-9506-214BE3AA54D9}">
  <dimension ref="A1:E14"/>
  <sheetViews>
    <sheetView workbookViewId="0">
      <selection activeCell="C7" sqref="C7"/>
    </sheetView>
  </sheetViews>
  <sheetFormatPr defaultRowHeight="14.5" x14ac:dyDescent="0.35"/>
  <cols>
    <col min="1" max="1" width="59.6328125" customWidth="1"/>
    <col min="2" max="2" width="13.1796875" bestFit="1" customWidth="1"/>
    <col min="3" max="3" width="11.90625" customWidth="1"/>
    <col min="4" max="4" width="16.6328125" customWidth="1"/>
    <col min="5" max="5" width="11.08984375" customWidth="1"/>
  </cols>
  <sheetData>
    <row r="1" spans="1:5" x14ac:dyDescent="0.35">
      <c r="A1" s="80" t="s">
        <v>80</v>
      </c>
    </row>
    <row r="2" spans="1:5" x14ac:dyDescent="0.35">
      <c r="A2" s="68"/>
    </row>
    <row r="3" spans="1:5" x14ac:dyDescent="0.35">
      <c r="A3" s="81" t="s">
        <v>75</v>
      </c>
      <c r="B3" s="82"/>
      <c r="C3" s="83">
        <v>12</v>
      </c>
    </row>
    <row r="5" spans="1:5" ht="29.5" customHeight="1" x14ac:dyDescent="0.35">
      <c r="A5" s="98" t="s">
        <v>65</v>
      </c>
      <c r="B5" s="100" t="s">
        <v>1</v>
      </c>
      <c r="C5" s="106" t="s">
        <v>66</v>
      </c>
      <c r="D5" s="106" t="s">
        <v>67</v>
      </c>
      <c r="E5" s="108" t="s">
        <v>68</v>
      </c>
    </row>
    <row r="6" spans="1:5" ht="29.5" customHeight="1" x14ac:dyDescent="0.35">
      <c r="A6" s="99"/>
      <c r="B6" s="100"/>
      <c r="C6" s="107"/>
      <c r="D6" s="107"/>
      <c r="E6" s="108"/>
    </row>
    <row r="7" spans="1:5" x14ac:dyDescent="0.35">
      <c r="A7" s="85" t="s">
        <v>5</v>
      </c>
      <c r="B7" s="2" t="s">
        <v>2</v>
      </c>
      <c r="C7" s="69">
        <f>IF(B7="# of Customers",VLOOKUP(A7,'Billing Determinants'!$A$5:$H$14,3,FALSE),IF(B7="kWh",VLOOKUP(A7,'Billing Determinants'!$A$7:$H$14,4,FALSE),IF(B7="kW",VLOOKUP(A7,'Billing Determinants'!$A$7:$H$14,5,FALSE),"check")))</f>
        <v>12882</v>
      </c>
      <c r="D7" s="70">
        <f>HLOOKUP(A7,'Allocation of Balances'!$B$6:$L$75,70,FALSE)</f>
        <v>-241207.99255001982</v>
      </c>
      <c r="E7" s="71">
        <f>D7/C7/C3</f>
        <v>-1.5603684246106957</v>
      </c>
    </row>
    <row r="8" spans="1:5" x14ac:dyDescent="0.35">
      <c r="A8" s="85" t="s">
        <v>7</v>
      </c>
      <c r="B8" s="2" t="s">
        <v>6</v>
      </c>
      <c r="C8" s="69">
        <f>IF(B8="# of Customers",VLOOKUP(A8,'Billing Determinants'!$A$5:$H$14,3,FALSE),IF(B8="kWh",VLOOKUP(A8,'Billing Determinants'!$A$7:$H$14,4,FALSE),IF(B8="kW",VLOOKUP(A8,'Billing Determinants'!$A$7:$H$14,5,FALSE),"check")))</f>
        <v>43909596</v>
      </c>
      <c r="D8" s="70">
        <f>HLOOKUP(A8,'Allocation of Balances'!$B$6:$L$75,70,FALSE)</f>
        <v>-67148.744734803651</v>
      </c>
      <c r="E8" s="95">
        <f>D8/C8</f>
        <v>-1.5292498873094539E-3</v>
      </c>
    </row>
    <row r="9" spans="1:5" x14ac:dyDescent="0.35">
      <c r="A9" s="85" t="s">
        <v>8</v>
      </c>
      <c r="B9" s="2" t="s">
        <v>9</v>
      </c>
      <c r="C9" s="69">
        <f>IF(B9="# of Customers",VLOOKUP(A9,'Billing Determinants'!$A$5:$H$14,3,FALSE),IF(B9="kWh",VLOOKUP(A9,'Billing Determinants'!$A$7:$H$14,4,FALSE),IF(B9="kW",VLOOKUP(A9,'Billing Determinants'!$A$7:$H$14,5,FALSE),"check")))</f>
        <v>375462</v>
      </c>
      <c r="D9" s="70">
        <f>HLOOKUP(A9,'Allocation of Balances'!$B$6:$L$75,70,FALSE)</f>
        <v>-134665.46266521153</v>
      </c>
      <c r="E9" s="95">
        <f t="shared" ref="E9:E12" si="0">D9/C9</f>
        <v>-0.35866602389912033</v>
      </c>
    </row>
    <row r="10" spans="1:5" x14ac:dyDescent="0.35">
      <c r="A10" s="85" t="s">
        <v>10</v>
      </c>
      <c r="B10" s="2" t="s">
        <v>6</v>
      </c>
      <c r="C10" s="69">
        <f>IF(B10="# of Customers",VLOOKUP(A10,'Billing Determinants'!$A$5:$H$14,3,FALSE),IF(B10="kWh",VLOOKUP(A10,'Billing Determinants'!$A$7:$H$14,4,FALSE),IF(B10="kW",VLOOKUP(A10,'Billing Determinants'!$A$7:$H$14,5,FALSE),"check")))</f>
        <v>655573</v>
      </c>
      <c r="D10" s="70">
        <f>HLOOKUP(A10,'Allocation of Balances'!$B$6:$L$75,70,FALSE)</f>
        <v>-591.72420857869463</v>
      </c>
      <c r="E10" s="95">
        <f t="shared" si="0"/>
        <v>-9.0260613017725659E-4</v>
      </c>
    </row>
    <row r="11" spans="1:5" x14ac:dyDescent="0.35">
      <c r="A11" s="85" t="s">
        <v>11</v>
      </c>
      <c r="B11" s="2" t="s">
        <v>9</v>
      </c>
      <c r="C11" s="69">
        <f>IF(B11="# of Customers",VLOOKUP(A11,'Billing Determinants'!$A$5:$H$14,3,FALSE),IF(B11="kWh",VLOOKUP(A11,'Billing Determinants'!$A$7:$H$14,4,FALSE),IF(B11="kW",VLOOKUP(A11,'Billing Determinants'!$A$7:$H$14,5,FALSE),"check")))</f>
        <v>0</v>
      </c>
      <c r="D11" s="70">
        <f>HLOOKUP(A11,'Allocation of Balances'!$B$6:$L$75,70,FALSE)</f>
        <v>-35.917702292817694</v>
      </c>
      <c r="E11" s="95">
        <v>0</v>
      </c>
    </row>
    <row r="12" spans="1:5" x14ac:dyDescent="0.35">
      <c r="A12" s="85" t="s">
        <v>12</v>
      </c>
      <c r="B12" s="2" t="s">
        <v>9</v>
      </c>
      <c r="C12" s="69">
        <f>IF(B12="# of Customers",VLOOKUP(A12,'Billing Determinants'!$A$5:$H$14,3,FALSE),IF(B12="kWh",VLOOKUP(A12,'Billing Determinants'!$A$7:$H$14,4,FALSE),IF(B12="kW",VLOOKUP(A12,'Billing Determinants'!$A$7:$H$14,5,FALSE),"check")))</f>
        <v>3540</v>
      </c>
      <c r="D12" s="70">
        <f>HLOOKUP(A12,'Allocation of Balances'!$B$6:$L$75,70,FALSE)</f>
        <v>-1690.3190733852539</v>
      </c>
      <c r="E12" s="95">
        <f t="shared" si="0"/>
        <v>-0.47749126366815081</v>
      </c>
    </row>
    <row r="13" spans="1:5" x14ac:dyDescent="0.35">
      <c r="A13" s="85" t="s">
        <v>76</v>
      </c>
      <c r="B13" s="2" t="s">
        <v>9</v>
      </c>
      <c r="C13" s="69">
        <f>IF(B13="# of Customers",VLOOKUP(A13,'Billing Determinants'!$A$5:$H$14,3,FALSE),IF(B13="kWh",VLOOKUP(A13,'Billing Determinants'!$A$7:$H$14,4,FALSE),IF(B13="kW",VLOOKUP(A13,'Billing Determinants'!$A$7:$H$14,5,FALSE),"check")))</f>
        <v>0</v>
      </c>
      <c r="D13" s="70">
        <f>HLOOKUP(A13,'Allocation of Balances'!$B$6:$L$75,70,FALSE)</f>
        <v>0</v>
      </c>
      <c r="E13" s="95">
        <v>0</v>
      </c>
    </row>
    <row r="14" spans="1:5" x14ac:dyDescent="0.35">
      <c r="A14" s="72" t="s">
        <v>69</v>
      </c>
      <c r="B14" s="73"/>
      <c r="C14" s="74"/>
      <c r="D14" s="75">
        <f>SUM(D7:D13)</f>
        <v>-445340.16093429172</v>
      </c>
      <c r="E14" s="72"/>
    </row>
  </sheetData>
  <mergeCells count="5">
    <mergeCell ref="A5:A6"/>
    <mergeCell ref="B5:B6"/>
    <mergeCell ref="C5:C6"/>
    <mergeCell ref="D5:D6"/>
    <mergeCell ref="E5:E6"/>
  </mergeCells>
  <conditionalFormatting sqref="B8:B13">
    <cfRule type="cellIs" dxfId="1" priority="2" operator="equal">
      <formula>"kW"</formula>
    </cfRule>
  </conditionalFormatting>
  <conditionalFormatting sqref="B7">
    <cfRule type="cellIs" dxfId="0" priority="1" operator="equal">
      <formula>"kW"</formula>
    </cfRule>
  </conditionalFormatting>
  <dataValidations count="1">
    <dataValidation type="list" allowBlank="1" showInputMessage="1" showErrorMessage="1" sqref="B7:B13" xr:uid="{6275E9FB-43E1-4A45-869B-318A275612E3}">
      <formula1>"kWh, kW, # of Customers"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6" ma:contentTypeDescription="Create a new document." ma:contentTypeScope="" ma:versionID="872a8d0dd5791cde7a9e47a2a445a70b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ffa3a5b52acee8502bea01b0fbedaee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  <xsd:element ref="ns2:Formatted" minOccurs="0"/>
                <xsd:element ref="ns2: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Environmental Defence - ED"/>
              <xsd:enumeration value="Anwaatin"/>
              <xsd:enumeration value="Electric Vehicle Society - EVS"/>
              <xsd:enumeration value="Canadian Energy Regulator - CER"/>
              <xsd:enumeration value="Wataynikaneyap Power LP - WPLP"/>
              <xsd:enumeration value="Canadian Niagara Power Inc.’s"/>
              <xsd:enumeration value="Small Business Utility Alliance - SBUA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Toronto Hydro Electric System"/>
              <xsd:enumeration value="Enersource"/>
              <xsd:enumeration value="Hydro Ottawa"/>
              <xsd:enumeration value="Powerstream"/>
              <xsd:enumeration value="Veridian Connections"/>
              <xsd:enumeration value="Great Lakes Power"/>
              <xsd:enumeration value="Independent Electricity System Operator"/>
              <xsd:enumeration value="Ontario Power Authority - OPG"/>
              <xsd:enumeration value="Hydro One Brampton"/>
              <xsd:enumeration value="Hydro One Remote Communities - HORCI"/>
              <xsd:enumeration value="B2M Limited Partnership"/>
              <xsd:enumeration value="Hydro One Sault Ste Marie Inc."/>
              <xsd:enumeration value="Niagara Reinforcement Limited Partnership"/>
              <xsd:enumeration value="Wataynikaneyap Power LP - WPLP"/>
              <xsd:enumeration value="Canadian Niagara Power Inc."/>
              <xsd:enumeration value="Waterloo North Hydro Inc.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Argument-in-Chief"/>
          <xsd:enumeration value="Reply Submission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0" ma:format="Dropdown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  <xsd:element name="Formatted" ma:index="40" nillable="true" ma:displayName="Formatted" ma:default="0" ma:format="Dropdown" ma:internalName="Formatted">
      <xsd:simpleType>
        <xsd:restriction base="dms:Boolean"/>
      </xsd:simpleType>
    </xsd:element>
    <xsd:element name="PDF" ma:index="41" nillable="true" ma:displayName="PDF" ma:default="0" ma:format="Dropdown" ma:internalName="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BURKE Kathleen</RAContact>
    <DraftReady xmlns="7e651a3a-8d05-4ee0-9344-b668032e30e0">Almost</DraftReady>
    <DocumentType xmlns="7e651a3a-8d05-4ee0-9344-b668032e30e0">Interrogatory Response</DocumentType>
    <RAApproved xmlns="7e651a3a-8d05-4ee0-9344-b668032e30e0">false</RAApproved>
    <Author0 xmlns="7e651a3a-8d05-4ee0-9344-b668032e30e0">
      <UserInfo>
        <DisplayName>clement.li@HydroOne.com</DisplayName>
        <AccountId>75</AccountId>
        <AccountType/>
      </UserInfo>
      <UserInfo>
        <DisplayName>Susan.Kim@HydroOne.com</DisplayName>
        <AccountId>58</AccountId>
        <AccountType/>
      </UserInfo>
    </Author0>
    <CaseNumber_x002f_DocketNumber xmlns="7e651a3a-8d05-4ee0-9344-b668032e30e0">EB-2022-0040</CaseNumber_x002f_DocketNumber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 xsi:nil="true"/>
    <Applicant xmlns="7e651a3a-8d05-4ee0-9344-b668032e30e0">Hydro One Networks Inc. - HONI</Applicant>
    <WitnessApproved xmlns="7e651a3a-8d05-4ee0-9344-b668032e30e0">false</WitnessApproved>
    <Strategic xmlns="7e651a3a-8d05-4ee0-9344-b668032e30e0">false</Strategic>
    <Docket xmlns="7e651a3a-8d05-4ee0-9344-b668032e30e0" xsi:nil="true"/>
    <Applicant0 xmlns="7e651a3a-8d05-4ee0-9344-b668032e30e0">Hydro One Networks Inc. - HONI</Applicant0>
    <RA_x0020_Director_x0020_Approved xmlns="7e651a3a-8d05-4ee0-9344-b668032e30e0">true</RA_x0020_Director_x0020_Approved>
    <lcf76f155ced4ddcb4097134ff3c332f xmlns="7e651a3a-8d05-4ee0-9344-b668032e30e0">
      <Terms xmlns="http://schemas.microsoft.com/office/infopath/2007/PartnerControls"/>
    </lcf76f155ced4ddcb4097134ff3c332f>
    <Witness_x0020_Internal xmlns="7e651a3a-8d05-4ee0-9344-b668032e30e0">
      <UserInfo>
        <DisplayName>Stephen.Vetsis@HydroOne.com</DisplayName>
        <AccountId>62</AccountId>
        <AccountType/>
      </UserInfo>
    </Witness_x0020_Internal>
    <TitleofExhibit xmlns="7e651a3a-8d05-4ee0-9344-b668032e30e0" xsi:nil="true"/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02B5AEC6-AC5F-4329-9B2B-28BAED3A6672}"/>
</file>

<file path=customXml/itemProps2.xml><?xml version="1.0" encoding="utf-8"?>
<ds:datastoreItem xmlns:ds="http://schemas.openxmlformats.org/officeDocument/2006/customXml" ds:itemID="{F2374248-C15D-4C19-B515-BF50236BFAD9}"/>
</file>

<file path=customXml/itemProps3.xml><?xml version="1.0" encoding="utf-8"?>
<ds:datastoreItem xmlns:ds="http://schemas.openxmlformats.org/officeDocument/2006/customXml" ds:itemID="{1219ECBE-07B9-4CD1-B572-09ACF98573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Billing Determinants</vt:lpstr>
      <vt:lpstr>Allocation of Balances</vt:lpstr>
      <vt:lpstr>Rate Rider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OEB STAFF INTERROGATORY - 13</dc:title>
  <dc:creator>KIM Susan</dc:creator>
  <cp:lastModifiedBy>KIM Susan</cp:lastModifiedBy>
  <dcterms:created xsi:type="dcterms:W3CDTF">2022-07-24T06:25:48Z</dcterms:created>
  <dcterms:modified xsi:type="dcterms:W3CDTF">2022-10-06T18:19:58Z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