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01 -2023 Rebasing\! FINAL FILING DOCUMENTS\"/>
    </mc:Choice>
  </mc:AlternateContent>
  <bookViews>
    <workbookView xWindow="0" yWindow="0" windowWidth="23970" windowHeight="1143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2" i="4" l="1"/>
  <c r="I122" i="4"/>
  <c r="J9" i="4" l="1"/>
  <c r="I9" i="4"/>
  <c r="J13" i="4" l="1"/>
  <c r="H13" i="4"/>
  <c r="I96" i="1" l="1"/>
  <c r="H96" i="1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K27" i="4" l="1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C3" i="5" l="1"/>
  <c r="M222" i="1"/>
  <c r="M111" i="1"/>
  <c r="G49" i="4" l="1"/>
  <c r="G256" i="1" l="1"/>
  <c r="H17" i="4" l="1"/>
  <c r="I17" i="4" s="1"/>
  <c r="J17" i="4" s="1"/>
  <c r="L17" i="4" s="1"/>
  <c r="M17" i="4" s="1"/>
  <c r="M145" i="1" s="1"/>
  <c r="M157" i="1" s="1"/>
  <c r="G22" i="4"/>
  <c r="L22" i="4" s="1"/>
  <c r="M22" i="4" s="1"/>
  <c r="M110" i="1" s="1"/>
  <c r="L21" i="4"/>
  <c r="M21" i="4" s="1"/>
  <c r="L20" i="4"/>
  <c r="M20" i="4" s="1"/>
  <c r="G121" i="4"/>
  <c r="G36" i="4" s="1"/>
  <c r="G122" i="4"/>
  <c r="G37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H63" i="4" s="1"/>
  <c r="I63" i="4" s="1"/>
  <c r="J63" i="4" s="1"/>
  <c r="K63" i="4" s="1"/>
  <c r="L63" i="4" s="1"/>
  <c r="M63" i="4" s="1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H16" i="4" s="1"/>
  <c r="I16" i="4" s="1"/>
  <c r="J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27" i="4" l="1"/>
  <c r="H145" i="1"/>
  <c r="H109" i="4"/>
  <c r="L15" i="4"/>
  <c r="M15" i="4" s="1"/>
  <c r="M98" i="1" s="1"/>
  <c r="M130" i="1" s="1"/>
  <c r="H112" i="4"/>
  <c r="G120" i="4"/>
  <c r="H114" i="4"/>
  <c r="G119" i="4"/>
  <c r="L14" i="4"/>
  <c r="M14" i="4" s="1"/>
  <c r="M97" i="1" s="1"/>
  <c r="L13" i="4"/>
  <c r="M13" i="4" s="1"/>
  <c r="M96" i="1" s="1"/>
  <c r="G118" i="4"/>
  <c r="L9" i="4"/>
  <c r="M9" i="4" s="1"/>
  <c r="M92" i="1" s="1"/>
  <c r="M114" i="1" s="1"/>
  <c r="H91" i="4"/>
  <c r="H86" i="4"/>
  <c r="G29" i="4"/>
  <c r="M99" i="1"/>
  <c r="M142" i="1"/>
  <c r="H135" i="1"/>
  <c r="G2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27" i="4" l="1"/>
  <c r="I27" i="4"/>
  <c r="H92" i="1"/>
  <c r="H114" i="1" s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I97" i="1"/>
  <c r="H113" i="1"/>
  <c r="H115" i="4" l="1"/>
  <c r="H29" i="4" s="1"/>
  <c r="H129" i="1"/>
  <c r="I64" i="4"/>
  <c r="I115" i="4" s="1"/>
  <c r="I29" i="4" s="1"/>
  <c r="J109" i="4"/>
  <c r="I120" i="4"/>
  <c r="K113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31" i="4" l="1"/>
  <c r="K91" i="4"/>
  <c r="J121" i="4"/>
  <c r="J118" i="4"/>
  <c r="J120" i="4"/>
  <c r="J78" i="4"/>
  <c r="J119" i="4"/>
  <c r="K109" i="4"/>
  <c r="L113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3" i="4"/>
  <c r="M114" i="4" s="1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6" i="5" l="1"/>
  <c r="F14" i="5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H16" i="5" l="1"/>
  <c r="I10" i="5"/>
  <c r="I14" i="5" s="1"/>
  <c r="G22" i="5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K245" i="1"/>
  <c r="K246" i="1" s="1"/>
  <c r="K248" i="1" s="1"/>
  <c r="K257" i="1" s="1"/>
  <c r="I16" i="5" l="1"/>
  <c r="I18" i="5" s="1"/>
  <c r="I24" i="5" s="1"/>
  <c r="H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I22" i="5" l="1"/>
  <c r="M245" i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<sst xmlns="http://schemas.openxmlformats.org/spreadsheetml/2006/main" count="513" uniqueCount="271">
  <si>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</si>
  <si>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</si>
  <si>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</si>
  <si>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</si>
  <si>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</si>
  <si>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</si>
  <si>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</si>
  <si>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</si>
  <si>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</si>
  <si>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</si>
  <si>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</si>
  <si>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</si>
  <si>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</si>
  <si>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</si>
  <si>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</si>
  <si>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</si>
  <si>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</si>
  <si>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</si>
  <si>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</si>
  <si>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</si>
  <si>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</si>
  <si>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</si>
  <si>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</si>
  <si>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</si>
  <si>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</si>
  <si>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</si>
  <si>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</si>
  <si>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</si>
  <si>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</si>
  <si>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</si>
  <si>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</si>
  <si>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</si>
  <si>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</si>
  <si>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</si>
  <si>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</si>
  <si>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</si>
  <si>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</si>
  <si>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</si>
  <si>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</si>
  <si>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</si>
  <si>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</si>
  <si>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</si>
  <si>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</si>
  <si>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</si>
  <si>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</si>
  <si>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</si>
  <si>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</si>
  <si>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</si>
  <si>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</si>
  <si>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</si>
  <si>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</si>
  <si>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</si>
  <si>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</si>
  <si>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</si>
  <si>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</si>
  <si>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</si>
  <si>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</si>
  <si>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</si>
  <si>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</si>
  <si>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</si>
  <si>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</si>
  <si>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</si>
  <si>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</si>
  <si>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</si>
  <si>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</si>
  <si>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</si>
  <si>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</si>
  <si>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</si>
  <si>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</si>
  <si>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</si>
  <si>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</si>
  <si>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</si>
  <si>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</si>
  <si>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</si>
  <si>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</si>
  <si>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</si>
  <si>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</si>
  <si>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</si>
  <si>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</si>
  <si>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</si>
  <si>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</si>
  <si>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</si>
  <si>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</si>
  <si>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</si>
  <si>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</si>
  <si>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</si>
  <si>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</si>
  <si>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</si>
  <si>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</si>
  <si>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</si>
  <si>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</si>
  <si>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</si>
  <si>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</si>
  <si>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</si>
  <si>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</si>
  <si>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</si>
  <si>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</si>
  <si>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</si>
  <si>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</si>
  <si>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</si>
  <si>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</si>
  <si>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</si>
  <si>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</si>
  <si>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</si>
  <si>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</si>
  <si>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</si>
  <si>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</si>
  <si>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</si>
  <si>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</si>
  <si>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</si>
  <si>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</si>
  <si>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</si>
  <si>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</si>
  <si>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</si>
  <si>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</si>
  <si>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</si>
  <si>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</si>
  <si>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</si>
  <si>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</si>
  <si>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</si>
  <si>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</si>
  <si>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</si>
  <si>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</si>
  <si>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</si>
  <si>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</si>
  <si>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</si>
  <si>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</si>
  <si>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</si>
  <si>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</si>
  <si>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</si>
  <si>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</si>
  <si>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</si>
  <si>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</si>
  <si>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</si>
  <si>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</si>
  <si>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</si>
  <si>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</si>
  <si>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</si>
  <si>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</si>
  <si>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</si>
  <si>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</si>
  <si>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</si>
  <si>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</si>
  <si>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</si>
  <si>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</si>
  <si>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</si>
  <si>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</si>
  <si>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</si>
  <si>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</si>
  <si>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</si>
  <si>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</si>
  <si>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</si>
  <si>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</si>
  <si>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</si>
  <si>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</si>
  <si>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</si>
  <si>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</si>
  <si>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</si>
  <si>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</si>
  <si>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</si>
  <si>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</si>
  <si>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</si>
  <si>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</si>
  <si>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</si>
  <si>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</si>
  <si>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</si>
  <si>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</si>
  <si>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</si>
  <si>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</si>
  <si>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</si>
  <si>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</si>
  <si>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</si>
  <si>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</si>
  <si>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</si>
  <si>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</si>
  <si>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</si>
  <si>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</si>
  <si>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</si>
  <si>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</si>
  <si>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</si>
  <si>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</si>
  <si>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</si>
  <si>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</si>
  <si>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</si>
  <si>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</si>
  <si>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</si>
  <si>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</si>
  <si>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</si>
  <si>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</si>
  <si>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</si>
  <si>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</si>
  <si>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</si>
  <si>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</si>
  <si>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</si>
  <si>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</si>
  <si>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</si>
  <si>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</si>
  <si>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</si>
  <si>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</si>
  <si>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</si>
  <si>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</si>
  <si>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</si>
  <si>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</si>
  <si>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</si>
  <si>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</si>
  <si>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</si>
  <si>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</si>
  <si>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</si>
  <si>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</si>
  <si>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</si>
  <si>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</si>
  <si>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</si>
  <si>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</si>
  <si>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</si>
  <si>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</si>
  <si>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</si>
  <si>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</si>
  <si>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</si>
  <si>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</si>
  <si>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</si>
  <si>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</si>
  <si>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</si>
  <si>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</si>
  <si>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</si>
  <si>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</si>
  <si>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</si>
  <si>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</si>
  <si>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</si>
  <si>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</si>
  <si>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</si>
  <si>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</si>
  <si>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</si>
  <si>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</si>
  <si>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</si>
  <si>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</si>
  <si>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</si>
  <si>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</si>
  <si>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</si>
  <si>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</si>
  <si>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</si>
  <si>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</si>
  <si>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</si>
  <si>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</si>
  <si>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</si>
  <si>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</si>
  <si>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</si>
  <si>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</si>
  <si>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</si>
  <si>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</si>
  <si>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</si>
  <si>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</si>
  <si>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</si>
  <si>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</si>
  <si>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</si>
  <si>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</si>
  <si>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</si>
  <si>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</si>
  <si>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</si>
  <si>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</si>
  <si>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</si>
  <si>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</si>
  <si>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</si>
  <si>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</si>
  <si>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</si>
  <si>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</si>
  <si>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</si>
  <si>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</si>
  <si>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</si>
  <si>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</si>
  <si>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</si>
  <si>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 xml:space="preserve">Historical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</si>
</sst>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0.00000%"/>
    <numFmt numFmtId="175" formatCode="_-&quot;$&quot;* #,##0_-;\-&quot;$&quot;* #,##0_-;_-&quot;$&quot;* &quot;-&quot;??_-;_-@_-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6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6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44" fontId="0" fillId="0" borderId="0" xfId="0" applyNumberFormat="1"/>
    <xf numFmtId="166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73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6" fontId="0" fillId="8" borderId="0" xfId="1" applyNumberFormat="1" applyFont="1" applyFill="1" applyAlignment="1">
      <alignment horizontal="center"/>
    </xf>
    <xf numFmtId="166" fontId="7" fillId="8" borderId="0" xfId="1" applyNumberFormat="1" applyFont="1" applyFill="1"/>
    <xf numFmtId="166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6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8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70" fontId="0" fillId="8" borderId="0" xfId="0" applyNumberFormat="1" applyFill="1"/>
    <xf numFmtId="167" fontId="0" fillId="8" borderId="0" xfId="0" applyNumberFormat="1" applyFill="1"/>
    <xf numFmtId="172" fontId="0" fillId="8" borderId="0" xfId="0" applyNumberFormat="1" applyFill="1"/>
    <xf numFmtId="172" fontId="0" fillId="8" borderId="0" xfId="1" applyNumberFormat="1" applyFont="1" applyFill="1"/>
    <xf numFmtId="171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6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3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6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70" fontId="0" fillId="0" borderId="0" xfId="0" applyNumberFormat="1"/>
    <xf numFmtId="167" fontId="0" fillId="0" borderId="0" xfId="0" applyNumberFormat="1"/>
    <xf numFmtId="10" fontId="0" fillId="0" borderId="0" xfId="0" applyNumberFormat="1"/>
    <xf numFmtId="166" fontId="0" fillId="0" borderId="0" xfId="0" applyNumberFormat="1" applyAlignment="1">
      <alignment horizontal="center"/>
    </xf>
    <xf numFmtId="174" fontId="7" fillId="0" borderId="9" xfId="2" applyNumberFormat="1" applyFont="1" applyFill="1" applyBorder="1" applyAlignment="1">
      <alignment horizontal="center"/>
    </xf>
    <xf numFmtId="174" fontId="0" fillId="0" borderId="0" xfId="2" applyNumberFormat="1" applyFont="1" applyFill="1" applyAlignment="1">
      <alignment horizontal="center"/>
    </xf>
    <xf numFmtId="174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8" borderId="0" xfId="2" applyNumberFormat="1" applyFont="1" applyFill="1"/>
    <xf numFmtId="165" fontId="0" fillId="0" borderId="0" xfId="2" applyNumberFormat="1" applyFont="1" applyFill="1"/>
    <xf numFmtId="165" fontId="0" fillId="0" borderId="0" xfId="2" applyNumberFormat="1" applyFont="1"/>
    <xf numFmtId="165" fontId="0" fillId="6" borderId="0" xfId="2" applyNumberFormat="1" applyFont="1" applyFill="1" applyAlignment="1">
      <alignment horizontal="center"/>
    </xf>
    <xf numFmtId="165" fontId="0" fillId="4" borderId="0" xfId="2" applyNumberFormat="1" applyFont="1" applyFill="1"/>
    <xf numFmtId="165" fontId="0" fillId="6" borderId="0" xfId="2" applyNumberFormat="1" applyFont="1" applyFill="1"/>
    <xf numFmtId="165" fontId="0" fillId="3" borderId="0" xfId="2" applyNumberFormat="1" applyFont="1" applyFill="1"/>
    <xf numFmtId="174" fontId="14" fillId="0" borderId="0" xfId="2" applyNumberFormat="1" applyFont="1" applyFill="1" applyAlignment="1">
      <alignment horizontal="center"/>
    </xf>
    <xf numFmtId="169" fontId="0" fillId="0" borderId="0" xfId="0" applyNumberFormat="1" applyFill="1"/>
    <xf numFmtId="174" fontId="0" fillId="0" borderId="0" xfId="0" applyNumberFormat="1" applyFill="1"/>
    <xf numFmtId="175" fontId="0" fillId="0" borderId="0" xfId="4" applyNumberFormat="1" applyFont="1" applyBorder="1"/>
    <xf numFmtId="175" fontId="0" fillId="0" borderId="0" xfId="4" applyNumberFormat="1" applyFont="1" applyBorder="1" applyAlignment="1">
      <alignment horizontal="center"/>
    </xf>
    <xf numFmtId="166" fontId="0" fillId="0" borderId="0" xfId="0" applyNumberFormat="1" applyBorder="1"/>
    <xf numFmtId="173" fontId="0" fillId="0" borderId="0" xfId="2" applyNumberFormat="1" applyFont="1" applyFill="1" applyBorder="1" applyAlignment="1">
      <alignment horizontal="center"/>
    </xf>
    <xf numFmtId="173" fontId="0" fillId="0" borderId="0" xfId="0" applyNumberFormat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35"/>
  <sheetViews>
    <sheetView tabSelected="1" zoomScaleNormal="100" workbookViewId="0">
      <selection activeCell="F102" sqref="F102"/>
    </sheetView>
  </sheetViews>
  <sheetFormatPr defaultRowHeight="13" x14ac:dyDescent="0.3"/>
  <cols>
    <col min="2" max="2" width="11.7265625" style="2" customWidth="1"/>
    <col min="3" max="3" width="3.26953125" customWidth="1"/>
    <col min="4" max="4" width="7.26953125" customWidth="1"/>
    <col min="6" max="6" width="48.26953125" customWidth="1"/>
    <col min="7" max="12" width="14.1796875" customWidth="1"/>
    <col min="13" max="13" width="14.1796875" style="89" customWidth="1"/>
    <col min="14" max="14" width="46.54296875" style="11" customWidth="1"/>
    <col min="15" max="15" width="69.453125" style="89" customWidth="1"/>
  </cols>
  <sheetData>
    <row r="2" spans="2:15" ht="23" x14ac:dyDescent="0.5">
      <c r="C2" s="295" t="s">
        <v>189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2:15" ht="19.5" customHeight="1" x14ac:dyDescent="0.35">
      <c r="C3" s="296" t="str">
        <f>IF(F5="Click to Choose an LDC","",F5)</f>
        <v>Bluewater Power Distribution Corporation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2:15" s="89" customFormat="1" ht="19.5" customHeight="1" thickBot="1" x14ac:dyDescent="0.4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35">
      <c r="B5" s="125" t="s">
        <v>264</v>
      </c>
      <c r="E5" s="75"/>
      <c r="F5" s="126" t="s">
        <v>204</v>
      </c>
      <c r="G5" s="13" t="s">
        <v>175</v>
      </c>
      <c r="H5" s="13" t="s">
        <v>270</v>
      </c>
      <c r="I5" s="13" t="s">
        <v>176</v>
      </c>
      <c r="J5" s="37" t="s">
        <v>174</v>
      </c>
      <c r="K5" s="299" t="s">
        <v>177</v>
      </c>
      <c r="L5" s="297"/>
      <c r="M5" s="297"/>
      <c r="N5" s="75"/>
      <c r="O5" s="91"/>
    </row>
    <row r="6" spans="2:15" ht="22.15" customHeight="1" x14ac:dyDescent="0.6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3">
      <c r="C7" s="25"/>
      <c r="D7" s="25"/>
      <c r="E7" s="25"/>
      <c r="G7" s="290"/>
      <c r="H7" s="290"/>
      <c r="I7" s="290"/>
      <c r="J7" s="290"/>
      <c r="K7" s="25"/>
      <c r="L7" s="25"/>
      <c r="M7" s="25"/>
      <c r="N7" s="75"/>
    </row>
    <row r="8" spans="2:15" x14ac:dyDescent="0.3">
      <c r="C8" s="73" t="s">
        <v>85</v>
      </c>
      <c r="D8" s="73"/>
      <c r="E8" s="13"/>
      <c r="F8" s="25"/>
      <c r="H8" s="297"/>
      <c r="I8" s="297"/>
      <c r="J8" s="297"/>
      <c r="K8" s="297"/>
      <c r="L8" s="297"/>
      <c r="M8" s="297"/>
      <c r="N8" s="75"/>
    </row>
    <row r="9" spans="2:15" x14ac:dyDescent="0.3">
      <c r="B9" s="2">
        <v>1</v>
      </c>
      <c r="C9" s="74"/>
      <c r="D9" s="75" t="s">
        <v>86</v>
      </c>
      <c r="F9" s="25"/>
      <c r="G9" s="83">
        <f>'Benchmarking Calculations'!G92</f>
        <v>9878875</v>
      </c>
      <c r="H9" s="118">
        <v>9009716</v>
      </c>
      <c r="I9" s="118">
        <f>12142000</f>
        <v>12142000</v>
      </c>
      <c r="J9" s="118">
        <f>12372100</f>
        <v>12372100</v>
      </c>
      <c r="K9" s="118">
        <v>0</v>
      </c>
      <c r="L9" s="118">
        <f t="shared" ref="I9:M10" si="1">K9</f>
        <v>0</v>
      </c>
      <c r="M9" s="118">
        <f t="shared" si="1"/>
        <v>0</v>
      </c>
      <c r="N9" s="75" t="s">
        <v>172</v>
      </c>
      <c r="O9" s="85"/>
    </row>
    <row r="10" spans="2:15" x14ac:dyDescent="0.3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3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3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3">
      <c r="B13" s="2">
        <v>3</v>
      </c>
      <c r="C13" s="74"/>
      <c r="D13" s="36" t="s">
        <v>89</v>
      </c>
      <c r="F13" s="25"/>
      <c r="G13" s="83">
        <f>'Benchmarking Calculations'!G96</f>
        <v>36916</v>
      </c>
      <c r="H13" s="118">
        <f>33113+3459+372+9+4</f>
        <v>36957</v>
      </c>
      <c r="I13" s="118">
        <v>37112</v>
      </c>
      <c r="J13" s="118">
        <f>33390+3487+354+8+4</f>
        <v>37243</v>
      </c>
      <c r="K13" s="118"/>
      <c r="L13" s="118">
        <f t="shared" ref="H13:M16" si="2">K13</f>
        <v>0</v>
      </c>
      <c r="M13" s="118">
        <f t="shared" si="2"/>
        <v>0</v>
      </c>
      <c r="N13" s="75" t="s">
        <v>172</v>
      </c>
      <c r="O13" s="85"/>
    </row>
    <row r="14" spans="2:15" x14ac:dyDescent="0.3">
      <c r="B14" s="2">
        <v>4</v>
      </c>
      <c r="C14" s="74"/>
      <c r="D14" s="36" t="s">
        <v>90</v>
      </c>
      <c r="F14" s="25"/>
      <c r="G14" s="83">
        <f>'Benchmarking Calculations'!G97</f>
        <v>950821500</v>
      </c>
      <c r="H14" s="118">
        <v>957380100</v>
      </c>
      <c r="I14" s="118">
        <v>964908496</v>
      </c>
      <c r="J14" s="118">
        <v>957574756</v>
      </c>
      <c r="K14" s="118"/>
      <c r="L14" s="118">
        <f t="shared" si="2"/>
        <v>0</v>
      </c>
      <c r="M14" s="118">
        <f t="shared" si="2"/>
        <v>0</v>
      </c>
      <c r="N14" s="75" t="s">
        <v>172</v>
      </c>
      <c r="O14" s="85"/>
    </row>
    <row r="15" spans="2:15" x14ac:dyDescent="0.3">
      <c r="B15" s="2">
        <v>5</v>
      </c>
      <c r="C15" s="25"/>
      <c r="D15" s="36" t="s">
        <v>91</v>
      </c>
      <c r="F15" s="25"/>
      <c r="G15" s="83">
        <f>'Benchmarking Calculations'!G98</f>
        <v>155794</v>
      </c>
      <c r="H15" s="118">
        <v>170222</v>
      </c>
      <c r="I15" s="118">
        <v>188295</v>
      </c>
      <c r="J15" s="118">
        <v>186330</v>
      </c>
      <c r="K15" s="118"/>
      <c r="L15" s="118">
        <f t="shared" si="2"/>
        <v>0</v>
      </c>
      <c r="M15" s="118">
        <f t="shared" si="2"/>
        <v>0</v>
      </c>
      <c r="N15" s="75" t="s">
        <v>172</v>
      </c>
      <c r="O15" s="85"/>
    </row>
    <row r="16" spans="2:15" x14ac:dyDescent="0.3">
      <c r="B16" s="2">
        <v>6</v>
      </c>
      <c r="C16" s="25"/>
      <c r="D16" s="75" t="s">
        <v>190</v>
      </c>
      <c r="F16" s="25"/>
      <c r="G16" s="83">
        <f>'Benchmarking Calculations'!G99</f>
        <v>1209</v>
      </c>
      <c r="H16" s="118">
        <f t="shared" si="2"/>
        <v>1209</v>
      </c>
      <c r="I16" s="118">
        <f t="shared" si="2"/>
        <v>1209</v>
      </c>
      <c r="J16" s="118">
        <f t="shared" si="2"/>
        <v>1209</v>
      </c>
      <c r="K16" s="118"/>
      <c r="L16" s="118">
        <f t="shared" si="2"/>
        <v>0</v>
      </c>
      <c r="M16" s="118">
        <f t="shared" si="2"/>
        <v>0</v>
      </c>
      <c r="N16" s="75" t="s">
        <v>172</v>
      </c>
      <c r="O16" s="85"/>
    </row>
    <row r="17" spans="2:15" x14ac:dyDescent="0.3">
      <c r="B17" s="2">
        <v>7</v>
      </c>
      <c r="C17" s="37"/>
      <c r="D17" s="74" t="s">
        <v>121</v>
      </c>
      <c r="F17" s="75"/>
      <c r="G17" s="87">
        <f>'Benchmarking Calculations'!G145</f>
        <v>3.440932526339386E-2</v>
      </c>
      <c r="H17" s="260">
        <f>G17</f>
        <v>3.440932526339386E-2</v>
      </c>
      <c r="I17" s="260">
        <f t="shared" ref="I17:M17" si="3">H17</f>
        <v>3.440932526339386E-2</v>
      </c>
      <c r="J17" s="260">
        <f t="shared" si="3"/>
        <v>3.440932526339386E-2</v>
      </c>
      <c r="K17" s="260"/>
      <c r="L17" s="260">
        <f t="shared" si="3"/>
        <v>0</v>
      </c>
      <c r="M17" s="260">
        <f t="shared" si="3"/>
        <v>0</v>
      </c>
      <c r="N17" s="75" t="s">
        <v>172</v>
      </c>
      <c r="O17" s="85"/>
    </row>
    <row r="18" spans="2:15" x14ac:dyDescent="0.3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3">
      <c r="C19" s="73" t="s">
        <v>165</v>
      </c>
      <c r="E19" s="74"/>
      <c r="F19" s="75"/>
      <c r="G19" s="50"/>
      <c r="H19" s="297"/>
      <c r="I19" s="297"/>
      <c r="J19" s="297"/>
      <c r="K19" s="297"/>
      <c r="L19" s="297"/>
      <c r="M19" s="297"/>
    </row>
    <row r="20" spans="2:15" ht="15" customHeight="1" x14ac:dyDescent="0.3">
      <c r="B20" s="2">
        <v>8</v>
      </c>
      <c r="C20" s="37"/>
      <c r="D20" s="74" t="s">
        <v>166</v>
      </c>
      <c r="F20" s="75"/>
      <c r="G20" s="87">
        <v>0.02</v>
      </c>
      <c r="H20" s="117">
        <v>2.7E-2</v>
      </c>
      <c r="I20" s="117">
        <v>7.0000000000000007E-2</v>
      </c>
      <c r="J20" s="117">
        <v>3.9E-2</v>
      </c>
      <c r="K20" s="117"/>
      <c r="L20" s="117">
        <f t="shared" ref="L20:M20" si="4">K20</f>
        <v>0</v>
      </c>
      <c r="M20" s="117">
        <f t="shared" si="4"/>
        <v>0</v>
      </c>
      <c r="N20" s="75" t="s">
        <v>268</v>
      </c>
      <c r="O20" s="298" t="s">
        <v>267</v>
      </c>
    </row>
    <row r="21" spans="2:15" ht="14.25" customHeight="1" x14ac:dyDescent="0.3">
      <c r="B21" s="2">
        <v>9</v>
      </c>
      <c r="C21" s="37"/>
      <c r="D21" s="74" t="s">
        <v>167</v>
      </c>
      <c r="F21" s="75"/>
      <c r="G21" s="87">
        <v>0.02</v>
      </c>
      <c r="H21" s="117">
        <v>1.9E-2</v>
      </c>
      <c r="I21" s="117">
        <v>1.7000000000000001E-2</v>
      </c>
      <c r="J21" s="117">
        <v>3.5999999999999997E-2</v>
      </c>
      <c r="K21" s="117"/>
      <c r="L21" s="117">
        <f t="shared" ref="L21:M22" si="5">K21</f>
        <v>0</v>
      </c>
      <c r="M21" s="117">
        <f t="shared" si="5"/>
        <v>0</v>
      </c>
      <c r="N21" s="75" t="s">
        <v>268</v>
      </c>
      <c r="O21" s="298"/>
    </row>
    <row r="22" spans="2:15" x14ac:dyDescent="0.3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v>0.05</v>
      </c>
      <c r="I22" s="117">
        <v>5.4699999999999999E-2</v>
      </c>
      <c r="J22" s="117">
        <v>5.6399999999999999E-2</v>
      </c>
      <c r="K22" s="117"/>
      <c r="L22" s="117">
        <f t="shared" si="5"/>
        <v>0</v>
      </c>
      <c r="M22" s="117">
        <f t="shared" si="5"/>
        <v>0</v>
      </c>
      <c r="N22" s="75" t="s">
        <v>269</v>
      </c>
      <c r="O22" s="298"/>
    </row>
    <row r="23" spans="2:15" s="89" customFormat="1" x14ac:dyDescent="0.3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3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3">
      <c r="B25" s="2"/>
      <c r="C25" s="76" t="s">
        <v>191</v>
      </c>
      <c r="D25" s="25"/>
      <c r="F25" s="75"/>
      <c r="G25" s="87"/>
      <c r="H25" s="291"/>
      <c r="I25" s="291"/>
      <c r="J25" s="291"/>
      <c r="K25" s="92"/>
      <c r="L25" s="92"/>
      <c r="M25" s="92"/>
      <c r="N25" s="75"/>
    </row>
    <row r="26" spans="2:15" ht="13.5" thickBot="1" x14ac:dyDescent="0.3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35">
      <c r="E27" s="124" t="s">
        <v>170</v>
      </c>
      <c r="F27" s="261" t="s">
        <v>196</v>
      </c>
      <c r="G27" s="50">
        <f>G35-G36+G37</f>
        <v>12871964.73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3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35">
      <c r="E29" s="124" t="s">
        <v>169</v>
      </c>
      <c r="F29" s="261" t="s">
        <v>200</v>
      </c>
      <c r="G29" s="50">
        <f>G115-G121+G122</f>
        <v>12871964.73</v>
      </c>
      <c r="H29" s="50">
        <f t="shared" ref="H29:I29" si="7">H115-H121+H122</f>
        <v>12851070</v>
      </c>
      <c r="I29" s="50">
        <f t="shared" si="7"/>
        <v>14329244.686000001</v>
      </c>
      <c r="J29" s="50">
        <f>J115-J121+J122</f>
        <v>15615879.850067999</v>
      </c>
      <c r="K29" s="50">
        <f t="shared" ref="K29:M29" si="8">K115-K121+K122</f>
        <v>0</v>
      </c>
      <c r="L29" s="50">
        <f t="shared" si="8"/>
        <v>0</v>
      </c>
      <c r="M29" s="50">
        <f t="shared" si="8"/>
        <v>0</v>
      </c>
      <c r="N29" s="58" t="s">
        <v>29</v>
      </c>
    </row>
    <row r="30" spans="2:15" x14ac:dyDescent="0.3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3">
      <c r="B31" s="2">
        <v>11</v>
      </c>
      <c r="D31" s="74"/>
      <c r="E31" s="69" t="s">
        <v>171</v>
      </c>
      <c r="F31" s="75"/>
      <c r="G31" s="50">
        <f t="shared" ref="G31:M31" si="9">IF($E$27="Y",G27,IF($E$29="Y",G29,"Error: Please enter Y for one method"))</f>
        <v>12871964.73</v>
      </c>
      <c r="H31" s="50">
        <f>IF($E$27="Y",H27,IF($E$29="Y",H29,"Error: Please enter Y for one method"))</f>
        <v>12851070</v>
      </c>
      <c r="I31" s="50">
        <f t="shared" si="9"/>
        <v>14329244.686000001</v>
      </c>
      <c r="J31" s="50">
        <f t="shared" si="9"/>
        <v>15615879.850067999</v>
      </c>
      <c r="K31" s="50">
        <f t="shared" si="9"/>
        <v>0</v>
      </c>
      <c r="L31" s="50">
        <f t="shared" si="9"/>
        <v>0</v>
      </c>
      <c r="M31" s="50">
        <f t="shared" si="9"/>
        <v>0</v>
      </c>
      <c r="N31" s="58" t="s">
        <v>29</v>
      </c>
    </row>
    <row r="32" spans="2:15" ht="13.5" thickBot="1" x14ac:dyDescent="0.3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3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3">
      <c r="C34" s="134"/>
      <c r="D34" s="76" t="s">
        <v>179</v>
      </c>
      <c r="E34" s="25"/>
      <c r="F34" s="25"/>
      <c r="G34" s="83"/>
      <c r="H34" s="294" t="s">
        <v>183</v>
      </c>
      <c r="I34" s="294"/>
      <c r="J34" s="294"/>
      <c r="K34" s="294"/>
      <c r="L34" s="294"/>
      <c r="M34" s="294"/>
      <c r="N34" s="135"/>
    </row>
    <row r="35" spans="2:27" x14ac:dyDescent="0.3">
      <c r="C35" s="134"/>
      <c r="D35" s="150" t="s">
        <v>193</v>
      </c>
      <c r="E35" s="25" t="s">
        <v>201</v>
      </c>
      <c r="F35" s="25"/>
      <c r="G35" s="82">
        <f>G115</f>
        <v>12806621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3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3">
      <c r="C37" s="134"/>
      <c r="D37" s="151" t="s">
        <v>195</v>
      </c>
      <c r="E37" s="25" t="s">
        <v>83</v>
      </c>
      <c r="F37" s="25"/>
      <c r="G37" s="50">
        <f>G122</f>
        <v>65343.73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3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3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3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93"/>
    </row>
    <row r="41" spans="2:27" x14ac:dyDescent="0.3">
      <c r="C41" s="134"/>
      <c r="D41" s="76" t="s">
        <v>178</v>
      </c>
      <c r="E41" s="25"/>
      <c r="F41" s="25"/>
      <c r="G41" s="25"/>
      <c r="H41" s="25">
        <v>2021</v>
      </c>
      <c r="I41" s="25">
        <v>2022</v>
      </c>
      <c r="J41" s="25">
        <v>2023</v>
      </c>
      <c r="K41" s="25"/>
      <c r="L41" s="25"/>
      <c r="M41" s="25"/>
      <c r="N41" s="135"/>
      <c r="O41" s="293"/>
    </row>
    <row r="42" spans="2:27" x14ac:dyDescent="0.3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93"/>
    </row>
    <row r="43" spans="2:27" x14ac:dyDescent="0.3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93"/>
    </row>
    <row r="44" spans="2:27" x14ac:dyDescent="0.3">
      <c r="C44" s="139"/>
      <c r="D44" s="25"/>
      <c r="E44" s="75">
        <v>5005</v>
      </c>
      <c r="F44" s="131" t="s">
        <v>8</v>
      </c>
      <c r="G44" s="57">
        <f>'Benchmarking Calculations'!G10</f>
        <v>588877</v>
      </c>
      <c r="H44" s="123">
        <v>696430</v>
      </c>
      <c r="I44" s="123">
        <v>729319</v>
      </c>
      <c r="J44" s="123">
        <v>748870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3">
      <c r="C45" s="139"/>
      <c r="D45" s="25"/>
      <c r="E45" s="75">
        <v>5010</v>
      </c>
      <c r="F45" s="131" t="s">
        <v>9</v>
      </c>
      <c r="G45" s="57">
        <f>'Benchmarking Calculations'!G11</f>
        <v>392974</v>
      </c>
      <c r="H45" s="123">
        <v>489872</v>
      </c>
      <c r="I45" s="123">
        <v>577677</v>
      </c>
      <c r="J45" s="123">
        <v>567860</v>
      </c>
      <c r="K45" s="123"/>
      <c r="L45" s="123"/>
      <c r="M45" s="123"/>
      <c r="N45" s="135" t="s">
        <v>172</v>
      </c>
    </row>
    <row r="46" spans="2:27" x14ac:dyDescent="0.3">
      <c r="C46" s="139"/>
      <c r="D46" s="25"/>
      <c r="E46" s="75">
        <v>5012</v>
      </c>
      <c r="F46" s="131" t="s">
        <v>10</v>
      </c>
      <c r="G46" s="57">
        <f>'Benchmarking Calculations'!G12</f>
        <v>31640</v>
      </c>
      <c r="H46" s="123">
        <v>21233</v>
      </c>
      <c r="I46" s="123">
        <v>21800</v>
      </c>
      <c r="J46" s="123">
        <v>22690</v>
      </c>
      <c r="K46" s="123"/>
      <c r="L46" s="123"/>
      <c r="M46" s="123"/>
      <c r="N46" s="135" t="s">
        <v>172</v>
      </c>
    </row>
    <row r="47" spans="2:27" x14ac:dyDescent="0.3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/>
      <c r="I47" s="123"/>
      <c r="J47" s="123"/>
      <c r="K47" s="123"/>
      <c r="L47" s="123"/>
      <c r="M47" s="123"/>
      <c r="N47" s="135" t="s">
        <v>172</v>
      </c>
    </row>
    <row r="48" spans="2:27" ht="26" x14ac:dyDescent="0.3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/>
      <c r="I48" s="123"/>
      <c r="J48" s="123"/>
      <c r="K48" s="123"/>
      <c r="L48" s="123"/>
      <c r="M48" s="123"/>
      <c r="N48" s="135" t="s">
        <v>172</v>
      </c>
    </row>
    <row r="49" spans="3:14" x14ac:dyDescent="0.3">
      <c r="C49" s="139"/>
      <c r="D49" s="25"/>
      <c r="E49" s="75">
        <v>5016</v>
      </c>
      <c r="F49" s="131" t="s">
        <v>13</v>
      </c>
      <c r="G49" s="57">
        <f>'Benchmarking Calculations'!G15</f>
        <v>24978</v>
      </c>
      <c r="H49" s="123"/>
      <c r="I49" s="123"/>
      <c r="J49" s="123"/>
      <c r="K49" s="123"/>
      <c r="L49" s="123"/>
      <c r="M49" s="123"/>
      <c r="N49" s="135" t="s">
        <v>172</v>
      </c>
    </row>
    <row r="50" spans="3:14" ht="26" x14ac:dyDescent="0.3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v>45910</v>
      </c>
      <c r="I50" s="123">
        <v>91800</v>
      </c>
      <c r="J50" s="123">
        <v>95472</v>
      </c>
      <c r="K50" s="123"/>
      <c r="L50" s="123"/>
      <c r="M50" s="123"/>
      <c r="N50" s="135" t="s">
        <v>172</v>
      </c>
    </row>
    <row r="51" spans="3:14" x14ac:dyDescent="0.3">
      <c r="C51" s="139"/>
      <c r="D51" s="25"/>
      <c r="E51" s="75">
        <v>5020</v>
      </c>
      <c r="F51" s="131" t="s">
        <v>15</v>
      </c>
      <c r="G51" s="57">
        <f>'Benchmarking Calculations'!G17</f>
        <v>761613</v>
      </c>
      <c r="H51" s="123">
        <v>15580</v>
      </c>
      <c r="I51" s="123">
        <v>16359</v>
      </c>
      <c r="J51" s="123">
        <v>17177</v>
      </c>
      <c r="K51" s="123"/>
      <c r="L51" s="123"/>
      <c r="M51" s="123"/>
      <c r="N51" s="135" t="s">
        <v>172</v>
      </c>
    </row>
    <row r="52" spans="3:14" ht="26" x14ac:dyDescent="0.3">
      <c r="C52" s="139"/>
      <c r="D52" s="25"/>
      <c r="E52" s="75">
        <v>5025</v>
      </c>
      <c r="F52" s="131" t="s">
        <v>16</v>
      </c>
      <c r="G52" s="57">
        <f>'Benchmarking Calculations'!G18</f>
        <v>274766</v>
      </c>
      <c r="H52" s="123">
        <v>166861</v>
      </c>
      <c r="I52" s="123">
        <v>110048</v>
      </c>
      <c r="J52" s="123">
        <v>119329</v>
      </c>
      <c r="K52" s="123"/>
      <c r="L52" s="123"/>
      <c r="M52" s="123"/>
      <c r="N52" s="135" t="s">
        <v>172</v>
      </c>
    </row>
    <row r="53" spans="3:14" x14ac:dyDescent="0.3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v>2160</v>
      </c>
      <c r="I53" s="123"/>
      <c r="J53" s="123"/>
      <c r="K53" s="123"/>
      <c r="L53" s="123"/>
      <c r="M53" s="123"/>
      <c r="N53" s="135" t="s">
        <v>172</v>
      </c>
    </row>
    <row r="54" spans="3:14" ht="26" x14ac:dyDescent="0.3">
      <c r="C54" s="139"/>
      <c r="D54" s="25"/>
      <c r="E54" s="75">
        <v>5040</v>
      </c>
      <c r="F54" s="131" t="s">
        <v>18</v>
      </c>
      <c r="G54" s="57">
        <f>'Benchmarking Calculations'!G20</f>
        <v>553914</v>
      </c>
      <c r="H54" s="123">
        <v>619982</v>
      </c>
      <c r="I54" s="123">
        <v>1163957</v>
      </c>
      <c r="J54" s="123">
        <v>1525102</v>
      </c>
      <c r="K54" s="123"/>
      <c r="L54" s="123"/>
      <c r="M54" s="123"/>
      <c r="N54" s="135" t="s">
        <v>172</v>
      </c>
    </row>
    <row r="55" spans="3:14" ht="26" x14ac:dyDescent="0.3">
      <c r="C55" s="139"/>
      <c r="D55" s="25"/>
      <c r="E55" s="75">
        <v>5045</v>
      </c>
      <c r="F55" s="131" t="s">
        <v>19</v>
      </c>
      <c r="G55" s="57">
        <f>'Benchmarking Calculations'!G21</f>
        <v>102732</v>
      </c>
      <c r="H55" s="123">
        <v>64858</v>
      </c>
      <c r="I55" s="123">
        <v>195219</v>
      </c>
      <c r="J55" s="123">
        <v>315622</v>
      </c>
      <c r="K55" s="123"/>
      <c r="L55" s="123"/>
      <c r="M55" s="123"/>
      <c r="N55" s="135" t="s">
        <v>172</v>
      </c>
    </row>
    <row r="56" spans="3:14" x14ac:dyDescent="0.3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/>
      <c r="I56" s="123"/>
      <c r="J56" s="123"/>
      <c r="K56" s="123"/>
      <c r="L56" s="123"/>
      <c r="M56" s="123"/>
      <c r="N56" s="135" t="s">
        <v>172</v>
      </c>
    </row>
    <row r="57" spans="3:14" x14ac:dyDescent="0.3">
      <c r="C57" s="139"/>
      <c r="D57" s="25"/>
      <c r="E57" s="75">
        <v>5065</v>
      </c>
      <c r="F57" s="131" t="s">
        <v>21</v>
      </c>
      <c r="G57" s="57">
        <f>'Benchmarking Calculations'!G23</f>
        <v>488039</v>
      </c>
      <c r="H57" s="123">
        <v>369381</v>
      </c>
      <c r="I57" s="123">
        <v>383132</v>
      </c>
      <c r="J57" s="123">
        <v>383429</v>
      </c>
      <c r="K57" s="123"/>
      <c r="L57" s="123"/>
      <c r="M57" s="123"/>
      <c r="N57" s="135" t="s">
        <v>172</v>
      </c>
    </row>
    <row r="58" spans="3:14" x14ac:dyDescent="0.3">
      <c r="C58" s="139"/>
      <c r="D58" s="25"/>
      <c r="E58" s="75">
        <v>5070</v>
      </c>
      <c r="F58" s="131" t="s">
        <v>22</v>
      </c>
      <c r="G58" s="57">
        <f>'Benchmarking Calculations'!G24</f>
        <v>324719</v>
      </c>
      <c r="H58" s="123">
        <v>571120</v>
      </c>
      <c r="I58" s="123">
        <v>599676</v>
      </c>
      <c r="J58" s="123">
        <v>629660</v>
      </c>
      <c r="K58" s="123"/>
      <c r="L58" s="123"/>
      <c r="M58" s="123"/>
      <c r="N58" s="135" t="s">
        <v>172</v>
      </c>
    </row>
    <row r="59" spans="3:14" x14ac:dyDescent="0.3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v>140267</v>
      </c>
      <c r="I59" s="123">
        <v>147280</v>
      </c>
      <c r="J59" s="123">
        <v>154644</v>
      </c>
      <c r="K59" s="123"/>
      <c r="L59" s="123"/>
      <c r="M59" s="123"/>
      <c r="N59" s="135" t="s">
        <v>172</v>
      </c>
    </row>
    <row r="60" spans="3:14" x14ac:dyDescent="0.3">
      <c r="C60" s="139"/>
      <c r="D60" s="25"/>
      <c r="E60" s="75">
        <v>5085</v>
      </c>
      <c r="F60" s="131" t="s">
        <v>24</v>
      </c>
      <c r="G60" s="57">
        <f>'Benchmarking Calculations'!G26</f>
        <v>335874</v>
      </c>
      <c r="H60" s="123">
        <v>283960</v>
      </c>
      <c r="I60" s="123">
        <v>413166</v>
      </c>
      <c r="J60" s="123">
        <v>425663</v>
      </c>
      <c r="K60" s="123"/>
      <c r="L60" s="123"/>
      <c r="M60" s="123"/>
      <c r="N60" s="135" t="s">
        <v>172</v>
      </c>
    </row>
    <row r="61" spans="3:14" x14ac:dyDescent="0.3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/>
      <c r="I61" s="123"/>
      <c r="J61" s="123"/>
      <c r="K61" s="123"/>
      <c r="L61" s="123"/>
      <c r="M61" s="123"/>
      <c r="N61" s="135" t="s">
        <v>172</v>
      </c>
    </row>
    <row r="62" spans="3:14" x14ac:dyDescent="0.3">
      <c r="C62" s="139"/>
      <c r="D62" s="25"/>
      <c r="E62" s="75">
        <v>5095</v>
      </c>
      <c r="F62" s="131" t="s">
        <v>26</v>
      </c>
      <c r="G62" s="57">
        <f>'Benchmarking Calculations'!G28</f>
        <v>31779</v>
      </c>
      <c r="H62" s="123">
        <v>32618</v>
      </c>
      <c r="I62" s="123">
        <v>30000</v>
      </c>
      <c r="J62" s="123">
        <v>31200</v>
      </c>
      <c r="K62" s="123"/>
      <c r="L62" s="123"/>
      <c r="M62" s="123"/>
      <c r="N62" s="135" t="s">
        <v>172</v>
      </c>
    </row>
    <row r="63" spans="3:14" x14ac:dyDescent="0.3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ref="H63:M63" si="10">G63</f>
        <v>0</v>
      </c>
      <c r="I63" s="123">
        <f t="shared" si="10"/>
        <v>0</v>
      </c>
      <c r="J63" s="123">
        <f t="shared" si="10"/>
        <v>0</v>
      </c>
      <c r="K63" s="123">
        <f t="shared" si="10"/>
        <v>0</v>
      </c>
      <c r="L63" s="123">
        <f t="shared" si="10"/>
        <v>0</v>
      </c>
      <c r="M63" s="123">
        <f t="shared" si="10"/>
        <v>0</v>
      </c>
      <c r="N63" s="135" t="s">
        <v>172</v>
      </c>
    </row>
    <row r="64" spans="3:14" x14ac:dyDescent="0.3">
      <c r="C64" s="139"/>
      <c r="D64" s="25"/>
      <c r="E64" s="15"/>
      <c r="F64" s="77" t="s">
        <v>28</v>
      </c>
      <c r="G64" s="105">
        <f>'Benchmarking Calculations'!G30</f>
        <v>3911905</v>
      </c>
      <c r="H64" s="78">
        <f>SUM(H44:H63)</f>
        <v>3520232</v>
      </c>
      <c r="I64" s="78">
        <f t="shared" ref="I64:M64" si="11">SUM(I44:I63)</f>
        <v>4479433</v>
      </c>
      <c r="J64" s="78">
        <f t="shared" si="11"/>
        <v>5036718</v>
      </c>
      <c r="K64" s="78">
        <f t="shared" si="11"/>
        <v>0</v>
      </c>
      <c r="L64" s="78">
        <f t="shared" si="11"/>
        <v>0</v>
      </c>
      <c r="M64" s="78">
        <f t="shared" si="11"/>
        <v>0</v>
      </c>
      <c r="N64" s="140" t="s">
        <v>29</v>
      </c>
    </row>
    <row r="65" spans="3:14" x14ac:dyDescent="0.3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/>
      <c r="I65" s="123"/>
      <c r="J65" s="123"/>
      <c r="K65" s="123"/>
      <c r="L65" s="123"/>
      <c r="M65" s="123"/>
      <c r="N65" s="135" t="s">
        <v>172</v>
      </c>
    </row>
    <row r="66" spans="3:14" x14ac:dyDescent="0.3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/>
      <c r="I66" s="123"/>
      <c r="J66" s="123"/>
      <c r="K66" s="123"/>
      <c r="L66" s="123"/>
      <c r="M66" s="123"/>
      <c r="N66" s="135" t="s">
        <v>172</v>
      </c>
    </row>
    <row r="67" spans="3:14" x14ac:dyDescent="0.3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/>
      <c r="I67" s="123"/>
      <c r="J67" s="123"/>
      <c r="K67" s="123"/>
      <c r="L67" s="123"/>
      <c r="M67" s="123"/>
      <c r="N67" s="135" t="s">
        <v>172</v>
      </c>
    </row>
    <row r="68" spans="3:14" x14ac:dyDescent="0.3">
      <c r="C68" s="139"/>
      <c r="D68" s="25"/>
      <c r="E68" s="75">
        <v>5114</v>
      </c>
      <c r="F68" s="131" t="s">
        <v>33</v>
      </c>
      <c r="G68" s="57">
        <f>'Benchmarking Calculations'!G34</f>
        <v>110995</v>
      </c>
      <c r="H68" s="123">
        <v>99247</v>
      </c>
      <c r="I68" s="123">
        <v>99773</v>
      </c>
      <c r="J68" s="123">
        <v>124632</v>
      </c>
      <c r="K68" s="123"/>
      <c r="L68" s="123"/>
      <c r="M68" s="123"/>
      <c r="N68" s="135" t="s">
        <v>172</v>
      </c>
    </row>
    <row r="69" spans="3:14" x14ac:dyDescent="0.3">
      <c r="C69" s="139"/>
      <c r="D69" s="25"/>
      <c r="E69" s="75">
        <v>5120</v>
      </c>
      <c r="F69" s="131" t="s">
        <v>34</v>
      </c>
      <c r="G69" s="57">
        <f>'Benchmarking Calculations'!G35</f>
        <v>6548</v>
      </c>
      <c r="H69" s="123">
        <v>7721</v>
      </c>
      <c r="I69" s="123">
        <v>4846</v>
      </c>
      <c r="J69" s="123">
        <v>5328</v>
      </c>
      <c r="K69" s="123"/>
      <c r="L69" s="123"/>
      <c r="M69" s="123"/>
      <c r="N69" s="135" t="s">
        <v>172</v>
      </c>
    </row>
    <row r="70" spans="3:14" x14ac:dyDescent="0.3">
      <c r="C70" s="139"/>
      <c r="D70" s="25"/>
      <c r="E70" s="75">
        <v>5125</v>
      </c>
      <c r="F70" s="131" t="s">
        <v>35</v>
      </c>
      <c r="G70" s="57">
        <f>'Benchmarking Calculations'!G36</f>
        <v>72183</v>
      </c>
      <c r="H70" s="123">
        <v>39844</v>
      </c>
      <c r="I70" s="123">
        <v>68539</v>
      </c>
      <c r="J70" s="123">
        <v>74876</v>
      </c>
      <c r="K70" s="123"/>
      <c r="L70" s="123"/>
      <c r="M70" s="123"/>
      <c r="N70" s="135" t="s">
        <v>172</v>
      </c>
    </row>
    <row r="71" spans="3:14" x14ac:dyDescent="0.3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v>409780</v>
      </c>
      <c r="I71" s="123">
        <v>430269</v>
      </c>
      <c r="J71" s="123">
        <v>451782</v>
      </c>
      <c r="K71" s="123"/>
      <c r="L71" s="123"/>
      <c r="M71" s="123"/>
      <c r="N71" s="135" t="s">
        <v>172</v>
      </c>
    </row>
    <row r="72" spans="3:14" x14ac:dyDescent="0.3">
      <c r="C72" s="139"/>
      <c r="D72" s="25"/>
      <c r="E72" s="75">
        <v>5135</v>
      </c>
      <c r="F72" s="131" t="s">
        <v>37</v>
      </c>
      <c r="G72" s="57">
        <f>'Benchmarking Calculations'!G38</f>
        <v>0</v>
      </c>
      <c r="H72" s="123">
        <v>241330</v>
      </c>
      <c r="I72" s="123">
        <v>401427</v>
      </c>
      <c r="J72" s="123">
        <v>462820</v>
      </c>
      <c r="K72" s="123"/>
      <c r="L72" s="123"/>
      <c r="M72" s="123"/>
      <c r="N72" s="135" t="s">
        <v>172</v>
      </c>
    </row>
    <row r="73" spans="3:14" x14ac:dyDescent="0.3">
      <c r="C73" s="139"/>
      <c r="D73" s="25"/>
      <c r="E73" s="75">
        <v>5145</v>
      </c>
      <c r="F73" s="131" t="s">
        <v>38</v>
      </c>
      <c r="G73" s="57">
        <f>'Benchmarking Calculations'!G39</f>
        <v>2059</v>
      </c>
      <c r="H73" s="123">
        <v>43768</v>
      </c>
      <c r="I73" s="123">
        <v>43358</v>
      </c>
      <c r="J73" s="123">
        <v>45526</v>
      </c>
      <c r="K73" s="123"/>
      <c r="L73" s="123"/>
      <c r="M73" s="123"/>
      <c r="N73" s="135" t="s">
        <v>172</v>
      </c>
    </row>
    <row r="74" spans="3:14" x14ac:dyDescent="0.3">
      <c r="C74" s="139"/>
      <c r="D74" s="25"/>
      <c r="E74" s="75">
        <v>5150</v>
      </c>
      <c r="F74" s="131" t="s">
        <v>39</v>
      </c>
      <c r="G74" s="57">
        <f>'Benchmarking Calculations'!G40</f>
        <v>8437</v>
      </c>
      <c r="H74" s="123">
        <v>8402</v>
      </c>
      <c r="I74" s="123">
        <v>5801</v>
      </c>
      <c r="J74" s="123">
        <v>6691</v>
      </c>
      <c r="K74" s="123"/>
      <c r="L74" s="123"/>
      <c r="M74" s="123"/>
      <c r="N74" s="135" t="s">
        <v>172</v>
      </c>
    </row>
    <row r="75" spans="3:14" x14ac:dyDescent="0.3">
      <c r="C75" s="139"/>
      <c r="D75" s="25"/>
      <c r="E75" s="75">
        <v>5155</v>
      </c>
      <c r="F75" s="131" t="s">
        <v>40</v>
      </c>
      <c r="G75" s="57">
        <f>'Benchmarking Calculations'!G41</f>
        <v>21000</v>
      </c>
      <c r="H75" s="123">
        <v>15911</v>
      </c>
      <c r="I75" s="123">
        <v>16707</v>
      </c>
      <c r="J75" s="123">
        <v>37542</v>
      </c>
      <c r="K75" s="123"/>
      <c r="L75" s="123"/>
      <c r="M75" s="123"/>
      <c r="N75" s="135" t="s">
        <v>172</v>
      </c>
    </row>
    <row r="76" spans="3:14" x14ac:dyDescent="0.3">
      <c r="C76" s="139"/>
      <c r="D76" s="25"/>
      <c r="E76" s="75">
        <v>5160</v>
      </c>
      <c r="F76" s="131" t="s">
        <v>41</v>
      </c>
      <c r="G76" s="57">
        <f>'Benchmarking Calculations'!G42</f>
        <v>589</v>
      </c>
      <c r="H76" s="123">
        <v>11899</v>
      </c>
      <c r="I76" s="123">
        <v>8330</v>
      </c>
      <c r="J76" s="123">
        <v>18727</v>
      </c>
      <c r="K76" s="123"/>
      <c r="L76" s="123"/>
      <c r="M76" s="123"/>
      <c r="N76" s="135" t="s">
        <v>172</v>
      </c>
    </row>
    <row r="77" spans="3:14" x14ac:dyDescent="0.3">
      <c r="C77" s="139"/>
      <c r="D77" s="25"/>
      <c r="E77" s="106">
        <v>5175</v>
      </c>
      <c r="F77" s="149" t="s">
        <v>42</v>
      </c>
      <c r="G77" s="107">
        <f>'Benchmarking Calculations'!G43</f>
        <v>108</v>
      </c>
      <c r="H77" s="123">
        <v>204729</v>
      </c>
      <c r="I77" s="123">
        <v>215043</v>
      </c>
      <c r="J77" s="123">
        <v>225845</v>
      </c>
      <c r="K77" s="123"/>
      <c r="L77" s="123"/>
      <c r="M77" s="123"/>
      <c r="N77" s="135" t="s">
        <v>172</v>
      </c>
    </row>
    <row r="78" spans="3:14" x14ac:dyDescent="0.3">
      <c r="C78" s="139"/>
      <c r="D78" s="25"/>
      <c r="E78" s="15"/>
      <c r="F78" s="77" t="s">
        <v>43</v>
      </c>
      <c r="G78" s="105">
        <f>'Benchmarking Calculations'!G44</f>
        <v>221919</v>
      </c>
      <c r="H78" s="78">
        <f>SUM(H65:H77)</f>
        <v>1082631</v>
      </c>
      <c r="I78" s="78">
        <f t="shared" ref="I78:M78" si="12">SUM(I65:I77)</f>
        <v>1294093</v>
      </c>
      <c r="J78" s="78">
        <f t="shared" si="12"/>
        <v>1453769</v>
      </c>
      <c r="K78" s="78">
        <f t="shared" si="12"/>
        <v>0</v>
      </c>
      <c r="L78" s="78">
        <f t="shared" si="12"/>
        <v>0</v>
      </c>
      <c r="M78" s="78">
        <f t="shared" si="12"/>
        <v>0</v>
      </c>
      <c r="N78" s="140" t="s">
        <v>29</v>
      </c>
    </row>
    <row r="79" spans="3:14" x14ac:dyDescent="0.3">
      <c r="C79" s="139"/>
      <c r="D79" s="25"/>
      <c r="E79" s="75">
        <v>5305</v>
      </c>
      <c r="F79" s="75" t="s">
        <v>44</v>
      </c>
      <c r="G79" s="57">
        <f>'Benchmarking Calculations'!G45</f>
        <v>201192</v>
      </c>
      <c r="H79" s="123">
        <v>206198</v>
      </c>
      <c r="I79" s="123">
        <v>208549</v>
      </c>
      <c r="J79" s="123">
        <v>228740</v>
      </c>
      <c r="K79" s="123"/>
      <c r="L79" s="123"/>
      <c r="M79" s="123"/>
      <c r="N79" s="135" t="s">
        <v>172</v>
      </c>
    </row>
    <row r="80" spans="3:14" x14ac:dyDescent="0.3">
      <c r="C80" s="139"/>
      <c r="D80" s="25"/>
      <c r="E80" s="75">
        <v>5310</v>
      </c>
      <c r="F80" s="75" t="s">
        <v>45</v>
      </c>
      <c r="G80" s="57">
        <f>'Benchmarking Calculations'!G46</f>
        <v>258748</v>
      </c>
      <c r="H80" s="123">
        <v>255787</v>
      </c>
      <c r="I80" s="123">
        <v>281815</v>
      </c>
      <c r="J80" s="123">
        <v>297502</v>
      </c>
      <c r="K80" s="123"/>
      <c r="L80" s="123"/>
      <c r="M80" s="123"/>
      <c r="N80" s="135" t="s">
        <v>172</v>
      </c>
    </row>
    <row r="81" spans="3:14" x14ac:dyDescent="0.3">
      <c r="C81" s="139"/>
      <c r="D81" s="25"/>
      <c r="E81" s="75">
        <v>5315</v>
      </c>
      <c r="F81" s="75" t="s">
        <v>46</v>
      </c>
      <c r="G81" s="57">
        <f>'Benchmarking Calculations'!G47</f>
        <v>947769</v>
      </c>
      <c r="H81" s="123">
        <v>1015203</v>
      </c>
      <c r="I81" s="123">
        <v>970769</v>
      </c>
      <c r="J81" s="123">
        <v>1000935</v>
      </c>
      <c r="K81" s="123"/>
      <c r="L81" s="123"/>
      <c r="M81" s="123"/>
      <c r="N81" s="135" t="s">
        <v>172</v>
      </c>
    </row>
    <row r="82" spans="3:14" x14ac:dyDescent="0.3">
      <c r="C82" s="139"/>
      <c r="D82" s="25"/>
      <c r="E82" s="75">
        <v>5320</v>
      </c>
      <c r="F82" s="75" t="s">
        <v>47</v>
      </c>
      <c r="G82" s="57">
        <f>'Benchmarking Calculations'!G48</f>
        <v>302029</v>
      </c>
      <c r="H82" s="123">
        <v>326506</v>
      </c>
      <c r="I82" s="123">
        <v>312047</v>
      </c>
      <c r="J82" s="123">
        <v>320239</v>
      </c>
      <c r="K82" s="123"/>
      <c r="L82" s="123"/>
      <c r="M82" s="123"/>
      <c r="N82" s="135" t="s">
        <v>172</v>
      </c>
    </row>
    <row r="83" spans="3:14" x14ac:dyDescent="0.3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/>
      <c r="I83" s="123"/>
      <c r="J83" s="123"/>
      <c r="K83" s="123"/>
      <c r="L83" s="123"/>
      <c r="M83" s="123"/>
      <c r="N83" s="135" t="s">
        <v>172</v>
      </c>
    </row>
    <row r="84" spans="3:14" x14ac:dyDescent="0.3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/>
      <c r="I84" s="123"/>
      <c r="J84" s="123"/>
      <c r="K84" s="123"/>
      <c r="L84" s="123"/>
      <c r="M84" s="123"/>
      <c r="N84" s="135" t="s">
        <v>172</v>
      </c>
    </row>
    <row r="85" spans="3:14" x14ac:dyDescent="0.3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/>
      <c r="I85" s="123"/>
      <c r="J85" s="123"/>
      <c r="K85" s="123"/>
      <c r="L85" s="123"/>
      <c r="M85" s="123"/>
      <c r="N85" s="135" t="s">
        <v>172</v>
      </c>
    </row>
    <row r="86" spans="3:14" x14ac:dyDescent="0.3">
      <c r="C86" s="139"/>
      <c r="D86" s="25"/>
      <c r="E86" s="15"/>
      <c r="F86" s="77" t="s">
        <v>51</v>
      </c>
      <c r="G86" s="105">
        <f>'Benchmarking Calculations'!G52</f>
        <v>1709738</v>
      </c>
      <c r="H86" s="78">
        <f>SUM(H79:H85)</f>
        <v>1803694</v>
      </c>
      <c r="I86" s="78">
        <f t="shared" ref="I86:M86" si="13">SUM(I79:I85)</f>
        <v>1773180</v>
      </c>
      <c r="J86" s="78">
        <f t="shared" si="13"/>
        <v>1847416</v>
      </c>
      <c r="K86" s="78">
        <f t="shared" si="13"/>
        <v>0</v>
      </c>
      <c r="L86" s="78">
        <f t="shared" si="13"/>
        <v>0</v>
      </c>
      <c r="M86" s="78">
        <f t="shared" si="13"/>
        <v>0</v>
      </c>
      <c r="N86" s="140" t="s">
        <v>29</v>
      </c>
    </row>
    <row r="87" spans="3:14" x14ac:dyDescent="0.3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/>
      <c r="I87" s="123"/>
      <c r="J87" s="123"/>
      <c r="K87" s="123"/>
      <c r="L87" s="123"/>
      <c r="M87" s="123"/>
      <c r="N87" s="135" t="s">
        <v>172</v>
      </c>
    </row>
    <row r="88" spans="3:14" x14ac:dyDescent="0.3">
      <c r="C88" s="139"/>
      <c r="D88" s="25"/>
      <c r="E88" s="75">
        <v>5410</v>
      </c>
      <c r="F88" s="75" t="s">
        <v>53</v>
      </c>
      <c r="G88" s="57">
        <f>'Benchmarking Calculations'!G54</f>
        <v>140827</v>
      </c>
      <c r="H88" s="123">
        <v>141365</v>
      </c>
      <c r="I88" s="123">
        <v>138000</v>
      </c>
      <c r="J88" s="123">
        <v>143800</v>
      </c>
      <c r="K88" s="123"/>
      <c r="L88" s="123"/>
      <c r="M88" s="123"/>
      <c r="N88" s="135" t="s">
        <v>172</v>
      </c>
    </row>
    <row r="89" spans="3:14" x14ac:dyDescent="0.3">
      <c r="C89" s="139"/>
      <c r="D89" s="25"/>
      <c r="E89" s="75">
        <v>5420</v>
      </c>
      <c r="F89" s="75" t="s">
        <v>54</v>
      </c>
      <c r="G89" s="57">
        <f>'Benchmarking Calculations'!G55</f>
        <v>210215</v>
      </c>
      <c r="H89" s="123">
        <v>5350</v>
      </c>
      <c r="I89" s="123">
        <v>0</v>
      </c>
      <c r="J89" s="123"/>
      <c r="K89" s="123"/>
      <c r="L89" s="123"/>
      <c r="M89" s="123"/>
      <c r="N89" s="135" t="s">
        <v>172</v>
      </c>
    </row>
    <row r="90" spans="3:14" x14ac:dyDescent="0.3">
      <c r="C90" s="139"/>
      <c r="D90" s="25"/>
      <c r="E90" s="106">
        <v>5425</v>
      </c>
      <c r="F90" s="106" t="s">
        <v>55</v>
      </c>
      <c r="G90" s="107">
        <f>'Benchmarking Calculations'!G56</f>
        <v>30</v>
      </c>
      <c r="H90" s="123">
        <v>2733</v>
      </c>
      <c r="I90" s="123">
        <v>2000</v>
      </c>
      <c r="J90" s="123">
        <v>2080</v>
      </c>
      <c r="K90" s="123"/>
      <c r="L90" s="123"/>
      <c r="M90" s="123"/>
      <c r="N90" s="135" t="s">
        <v>172</v>
      </c>
    </row>
    <row r="91" spans="3:14" x14ac:dyDescent="0.3">
      <c r="C91" s="139"/>
      <c r="D91" s="25"/>
      <c r="E91" s="15"/>
      <c r="F91" s="77" t="s">
        <v>56</v>
      </c>
      <c r="G91" s="105">
        <f>'Benchmarking Calculations'!G57</f>
        <v>351072</v>
      </c>
      <c r="H91" s="78">
        <f>SUM(H87:H90)</f>
        <v>149448</v>
      </c>
      <c r="I91" s="78">
        <f t="shared" ref="I91:M91" si="14">SUM(I87:I90)</f>
        <v>140000</v>
      </c>
      <c r="J91" s="78">
        <f t="shared" si="14"/>
        <v>145880</v>
      </c>
      <c r="K91" s="78">
        <f t="shared" si="14"/>
        <v>0</v>
      </c>
      <c r="L91" s="78">
        <f t="shared" si="14"/>
        <v>0</v>
      </c>
      <c r="M91" s="78">
        <f t="shared" si="14"/>
        <v>0</v>
      </c>
      <c r="N91" s="140" t="s">
        <v>29</v>
      </c>
    </row>
    <row r="92" spans="3:14" x14ac:dyDescent="0.3">
      <c r="C92" s="139"/>
      <c r="D92" s="25"/>
      <c r="E92" s="75">
        <v>5605</v>
      </c>
      <c r="F92" s="75" t="s">
        <v>57</v>
      </c>
      <c r="G92" s="57">
        <f>'Benchmarking Calculations'!G58</f>
        <v>1203174</v>
      </c>
      <c r="H92" s="123">
        <v>1276104</v>
      </c>
      <c r="I92" s="123">
        <v>1305939</v>
      </c>
      <c r="J92" s="123">
        <v>1238264</v>
      </c>
      <c r="K92" s="123"/>
      <c r="L92" s="123"/>
      <c r="M92" s="123"/>
      <c r="N92" s="135" t="s">
        <v>172</v>
      </c>
    </row>
    <row r="93" spans="3:14" x14ac:dyDescent="0.3">
      <c r="C93" s="139"/>
      <c r="D93" s="25"/>
      <c r="E93" s="75">
        <v>5610</v>
      </c>
      <c r="F93" s="75" t="s">
        <v>58</v>
      </c>
      <c r="G93" s="57">
        <f>'Benchmarking Calculations'!G59</f>
        <v>48533</v>
      </c>
      <c r="H93" s="123">
        <v>471</v>
      </c>
      <c r="I93" s="123"/>
      <c r="J93" s="123"/>
      <c r="K93" s="123"/>
      <c r="L93" s="123"/>
      <c r="M93" s="123"/>
      <c r="N93" s="135" t="s">
        <v>172</v>
      </c>
    </row>
    <row r="94" spans="3:14" x14ac:dyDescent="0.3">
      <c r="C94" s="139"/>
      <c r="D94" s="25"/>
      <c r="E94" s="75">
        <v>5615</v>
      </c>
      <c r="F94" s="75" t="s">
        <v>59</v>
      </c>
      <c r="G94" s="57">
        <f>'Benchmarking Calculations'!G60</f>
        <v>1739527</v>
      </c>
      <c r="H94" s="123">
        <v>1611993</v>
      </c>
      <c r="I94" s="123">
        <v>1595058</v>
      </c>
      <c r="J94" s="123">
        <v>1662128</v>
      </c>
      <c r="K94" s="123"/>
      <c r="L94" s="123"/>
      <c r="M94" s="123"/>
      <c r="N94" s="135" t="s">
        <v>172</v>
      </c>
    </row>
    <row r="95" spans="3:14" x14ac:dyDescent="0.3">
      <c r="C95" s="139"/>
      <c r="D95" s="25"/>
      <c r="E95" s="75">
        <v>5620</v>
      </c>
      <c r="F95" s="75" t="s">
        <v>60</v>
      </c>
      <c r="G95" s="57">
        <f>'Benchmarking Calculations'!G61</f>
        <v>3257</v>
      </c>
      <c r="H95" s="123">
        <v>3466</v>
      </c>
      <c r="I95" s="123">
        <v>4200</v>
      </c>
      <c r="J95" s="123">
        <v>4624</v>
      </c>
      <c r="K95" s="123"/>
      <c r="L95" s="123"/>
      <c r="M95" s="123"/>
      <c r="N95" s="135" t="s">
        <v>172</v>
      </c>
    </row>
    <row r="96" spans="3:14" x14ac:dyDescent="0.3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/>
      <c r="I96" s="123"/>
      <c r="J96" s="123"/>
      <c r="K96" s="123"/>
      <c r="L96" s="123"/>
      <c r="M96" s="123"/>
      <c r="N96" s="135" t="s">
        <v>172</v>
      </c>
    </row>
    <row r="97" spans="3:14" x14ac:dyDescent="0.3">
      <c r="C97" s="139"/>
      <c r="D97" s="25"/>
      <c r="E97" s="75">
        <v>5630</v>
      </c>
      <c r="F97" s="75" t="s">
        <v>62</v>
      </c>
      <c r="G97" s="57">
        <f>'Benchmarking Calculations'!G63</f>
        <v>0</v>
      </c>
      <c r="H97" s="123"/>
      <c r="I97" s="123"/>
      <c r="J97" s="123"/>
      <c r="K97" s="123"/>
      <c r="L97" s="123"/>
      <c r="M97" s="123"/>
      <c r="N97" s="135" t="s">
        <v>172</v>
      </c>
    </row>
    <row r="98" spans="3:14" x14ac:dyDescent="0.3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/>
      <c r="I98" s="123"/>
      <c r="J98" s="123"/>
      <c r="K98" s="123"/>
      <c r="L98" s="123"/>
      <c r="M98" s="123"/>
      <c r="N98" s="135" t="s">
        <v>172</v>
      </c>
    </row>
    <row r="99" spans="3:14" x14ac:dyDescent="0.3">
      <c r="C99" s="139"/>
      <c r="D99" s="25"/>
      <c r="E99" s="75">
        <v>5645</v>
      </c>
      <c r="F99" s="75" t="s">
        <v>64</v>
      </c>
      <c r="G99" s="57">
        <f>'Benchmarking Calculations'!G65</f>
        <v>1224461</v>
      </c>
      <c r="H99" s="123">
        <v>976362</v>
      </c>
      <c r="I99" s="123">
        <v>1128739</v>
      </c>
      <c r="J99" s="123">
        <v>1339496</v>
      </c>
      <c r="K99" s="123"/>
      <c r="L99" s="123"/>
      <c r="M99" s="123"/>
      <c r="N99" s="135" t="s">
        <v>172</v>
      </c>
    </row>
    <row r="100" spans="3:14" x14ac:dyDescent="0.3">
      <c r="C100" s="139"/>
      <c r="D100" s="25"/>
      <c r="E100" s="75">
        <v>5646</v>
      </c>
      <c r="F100" s="75" t="s">
        <v>65</v>
      </c>
      <c r="G100" s="57">
        <f>'Benchmarking Calculations'!G66</f>
        <v>342197</v>
      </c>
      <c r="H100" s="123">
        <v>325259</v>
      </c>
      <c r="I100" s="123">
        <v>346340</v>
      </c>
      <c r="J100" s="123">
        <v>274390</v>
      </c>
      <c r="K100" s="123"/>
      <c r="L100" s="123"/>
      <c r="M100" s="123"/>
      <c r="N100" s="135" t="s">
        <v>172</v>
      </c>
    </row>
    <row r="101" spans="3:14" x14ac:dyDescent="0.3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/>
      <c r="I101" s="123"/>
      <c r="J101" s="123"/>
      <c r="K101" s="123"/>
      <c r="L101" s="123"/>
      <c r="M101" s="123"/>
      <c r="N101" s="135" t="s">
        <v>172</v>
      </c>
    </row>
    <row r="102" spans="3:14" x14ac:dyDescent="0.3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/>
      <c r="I102" s="123"/>
      <c r="J102" s="123"/>
      <c r="K102" s="123"/>
      <c r="L102" s="123"/>
      <c r="M102" s="123"/>
      <c r="N102" s="135" t="s">
        <v>172</v>
      </c>
    </row>
    <row r="103" spans="3:14" x14ac:dyDescent="0.3">
      <c r="C103" s="139"/>
      <c r="D103" s="25"/>
      <c r="E103" s="75">
        <v>5655</v>
      </c>
      <c r="F103" s="75" t="s">
        <v>68</v>
      </c>
      <c r="G103" s="57">
        <f>'Benchmarking Calculations'!G69</f>
        <v>322060</v>
      </c>
      <c r="H103" s="123">
        <v>377755</v>
      </c>
      <c r="I103" s="123">
        <v>457580</v>
      </c>
      <c r="J103" s="123">
        <v>665976</v>
      </c>
      <c r="K103" s="123"/>
      <c r="L103" s="123"/>
      <c r="M103" s="123"/>
      <c r="N103" s="135" t="s">
        <v>172</v>
      </c>
    </row>
    <row r="104" spans="3:14" x14ac:dyDescent="0.3">
      <c r="C104" s="139"/>
      <c r="D104" s="25"/>
      <c r="E104" s="75">
        <v>5665</v>
      </c>
      <c r="F104" s="75" t="s">
        <v>69</v>
      </c>
      <c r="G104" s="57">
        <f>'Benchmarking Calculations'!G70</f>
        <v>1241359</v>
      </c>
      <c r="H104" s="123">
        <v>1223262</v>
      </c>
      <c r="I104" s="123">
        <v>1277854</v>
      </c>
      <c r="J104" s="123">
        <v>1398872</v>
      </c>
      <c r="K104" s="123"/>
      <c r="L104" s="123"/>
      <c r="M104" s="123"/>
      <c r="N104" s="135" t="s">
        <v>172</v>
      </c>
    </row>
    <row r="105" spans="3:14" x14ac:dyDescent="0.3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/>
      <c r="I105" s="123"/>
      <c r="J105" s="123"/>
      <c r="K105" s="123"/>
      <c r="L105" s="123"/>
      <c r="M105" s="123"/>
      <c r="N105" s="135" t="s">
        <v>172</v>
      </c>
    </row>
    <row r="106" spans="3:14" x14ac:dyDescent="0.3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/>
      <c r="I106" s="123"/>
      <c r="J106" s="123"/>
      <c r="K106" s="123"/>
      <c r="L106" s="123"/>
      <c r="M106" s="123"/>
      <c r="N106" s="135" t="s">
        <v>172</v>
      </c>
    </row>
    <row r="107" spans="3:14" x14ac:dyDescent="0.3">
      <c r="C107" s="139"/>
      <c r="D107" s="25"/>
      <c r="E107" s="75">
        <v>5675</v>
      </c>
      <c r="F107" s="75" t="s">
        <v>72</v>
      </c>
      <c r="G107" s="57">
        <f>'Benchmarking Calculations'!G73</f>
        <v>289020</v>
      </c>
      <c r="H107" s="123">
        <v>215409</v>
      </c>
      <c r="I107" s="123">
        <v>219077</v>
      </c>
      <c r="J107" s="123">
        <v>228469</v>
      </c>
      <c r="K107" s="123"/>
      <c r="L107" s="123"/>
      <c r="M107" s="123"/>
      <c r="N107" s="135" t="s">
        <v>172</v>
      </c>
    </row>
    <row r="108" spans="3:14" x14ac:dyDescent="0.3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/>
      <c r="I108" s="123"/>
      <c r="J108" s="123"/>
      <c r="K108" s="123"/>
      <c r="L108" s="123"/>
      <c r="M108" s="123"/>
      <c r="N108" s="135" t="s">
        <v>172</v>
      </c>
    </row>
    <row r="109" spans="3:14" x14ac:dyDescent="0.3">
      <c r="C109" s="139"/>
      <c r="D109" s="25"/>
      <c r="E109" s="12"/>
      <c r="F109" s="77" t="s">
        <v>74</v>
      </c>
      <c r="G109" s="105">
        <f>'Benchmarking Calculations'!G75</f>
        <v>6413588</v>
      </c>
      <c r="H109" s="78">
        <f>SUM(H92:H108)</f>
        <v>6010081</v>
      </c>
      <c r="I109" s="78">
        <f t="shared" ref="I109:M109" si="15">SUM(I92:I108)</f>
        <v>6334787</v>
      </c>
      <c r="J109" s="78">
        <f t="shared" si="15"/>
        <v>6812219</v>
      </c>
      <c r="K109" s="78">
        <f t="shared" si="15"/>
        <v>0</v>
      </c>
      <c r="L109" s="78">
        <f t="shared" si="15"/>
        <v>0</v>
      </c>
      <c r="M109" s="78">
        <f t="shared" si="15"/>
        <v>0</v>
      </c>
      <c r="N109" s="140" t="s">
        <v>29</v>
      </c>
    </row>
    <row r="110" spans="3:14" x14ac:dyDescent="0.3">
      <c r="C110" s="139"/>
      <c r="D110" s="25"/>
      <c r="E110" s="75">
        <v>5635</v>
      </c>
      <c r="F110" s="75" t="s">
        <v>75</v>
      </c>
      <c r="G110" s="57">
        <f>'Benchmarking Calculations'!G76</f>
        <v>198399</v>
      </c>
      <c r="H110" s="123">
        <v>199842</v>
      </c>
      <c r="I110" s="123">
        <v>219800</v>
      </c>
      <c r="J110" s="123">
        <v>228584</v>
      </c>
      <c r="K110" s="123"/>
      <c r="L110" s="123"/>
      <c r="M110" s="123"/>
      <c r="N110" s="135" t="s">
        <v>172</v>
      </c>
    </row>
    <row r="111" spans="3:14" x14ac:dyDescent="0.3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/>
      <c r="I111" s="123"/>
      <c r="J111" s="123"/>
      <c r="K111" s="123"/>
      <c r="L111" s="123"/>
      <c r="M111" s="123"/>
      <c r="N111" s="135" t="s">
        <v>172</v>
      </c>
    </row>
    <row r="112" spans="3:14" x14ac:dyDescent="0.3">
      <c r="C112" s="139"/>
      <c r="D112" s="25"/>
      <c r="E112" s="25"/>
      <c r="F112" s="77" t="s">
        <v>77</v>
      </c>
      <c r="G112" s="105">
        <f>'Benchmarking Calculations'!G78</f>
        <v>198399</v>
      </c>
      <c r="H112" s="78">
        <f>H110+H111</f>
        <v>199842</v>
      </c>
      <c r="I112" s="78">
        <f t="shared" ref="I112:M112" si="16">I110+I111</f>
        <v>219800</v>
      </c>
      <c r="J112" s="78">
        <f t="shared" si="16"/>
        <v>228584</v>
      </c>
      <c r="K112" s="78">
        <f t="shared" si="16"/>
        <v>0</v>
      </c>
      <c r="L112" s="78">
        <f t="shared" si="16"/>
        <v>0</v>
      </c>
      <c r="M112" s="78">
        <f t="shared" si="16"/>
        <v>0</v>
      </c>
      <c r="N112" s="140" t="s">
        <v>29</v>
      </c>
    </row>
    <row r="113" spans="3:14" x14ac:dyDescent="0.3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/>
      <c r="I113" s="123"/>
      <c r="J113" s="123"/>
      <c r="K113" s="123">
        <f t="shared" ref="K113:M113" si="17">J113</f>
        <v>0</v>
      </c>
      <c r="L113" s="123">
        <f t="shared" si="17"/>
        <v>0</v>
      </c>
      <c r="M113" s="123">
        <f t="shared" si="17"/>
        <v>0</v>
      </c>
      <c r="N113" s="135" t="s">
        <v>172</v>
      </c>
    </row>
    <row r="114" spans="3:14" x14ac:dyDescent="0.3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18">I113</f>
        <v>0</v>
      </c>
      <c r="J114" s="78">
        <f t="shared" si="18"/>
        <v>0</v>
      </c>
      <c r="K114" s="78">
        <f t="shared" si="18"/>
        <v>0</v>
      </c>
      <c r="L114" s="78">
        <f t="shared" si="18"/>
        <v>0</v>
      </c>
      <c r="M114" s="78">
        <f t="shared" si="18"/>
        <v>0</v>
      </c>
      <c r="N114" s="140" t="s">
        <v>29</v>
      </c>
    </row>
    <row r="115" spans="3:14" x14ac:dyDescent="0.3">
      <c r="C115" s="139"/>
      <c r="D115" s="74"/>
      <c r="E115" s="152" t="s">
        <v>197</v>
      </c>
      <c r="F115" s="77" t="s">
        <v>80</v>
      </c>
      <c r="G115" s="57">
        <f>'Benchmarking Calculations'!G81</f>
        <v>12806621</v>
      </c>
      <c r="H115" s="78">
        <f>H64+H78+H86+H91+H109+H112</f>
        <v>12765928</v>
      </c>
      <c r="I115" s="78">
        <f t="shared" ref="I115:M115" si="19">I64+I78+I86+I91+I109+I112</f>
        <v>14241293</v>
      </c>
      <c r="J115" s="78">
        <f t="shared" si="19"/>
        <v>15524586</v>
      </c>
      <c r="K115" s="78">
        <f t="shared" si="19"/>
        <v>0</v>
      </c>
      <c r="L115" s="78">
        <f t="shared" si="19"/>
        <v>0</v>
      </c>
      <c r="M115" s="78">
        <f t="shared" si="19"/>
        <v>0</v>
      </c>
      <c r="N115" s="140" t="s">
        <v>29</v>
      </c>
    </row>
    <row r="116" spans="3:14" x14ac:dyDescent="0.3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3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3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0">H47</f>
        <v>0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140" t="s">
        <v>29</v>
      </c>
    </row>
    <row r="119" spans="3:14" x14ac:dyDescent="0.3">
      <c r="C119" s="139"/>
      <c r="D119" s="81"/>
      <c r="F119" s="58">
        <v>5015</v>
      </c>
      <c r="G119" s="57">
        <f>G48</f>
        <v>0</v>
      </c>
      <c r="H119" s="57">
        <f t="shared" ref="H119:L119" si="22">H48</f>
        <v>0</v>
      </c>
      <c r="I119" s="57">
        <f t="shared" si="22"/>
        <v>0</v>
      </c>
      <c r="J119" s="57">
        <f t="shared" si="22"/>
        <v>0</v>
      </c>
      <c r="K119" s="57">
        <f t="shared" si="22"/>
        <v>0</v>
      </c>
      <c r="L119" s="57">
        <f t="shared" si="22"/>
        <v>0</v>
      </c>
      <c r="M119" s="57">
        <f t="shared" ref="M119" si="23">M48</f>
        <v>0</v>
      </c>
      <c r="N119" s="140" t="s">
        <v>29</v>
      </c>
    </row>
    <row r="120" spans="3:14" x14ac:dyDescent="0.3">
      <c r="C120" s="139"/>
      <c r="D120" s="81"/>
      <c r="F120" s="58">
        <v>5112</v>
      </c>
      <c r="G120" s="57">
        <f>G67</f>
        <v>0</v>
      </c>
      <c r="H120" s="57">
        <f t="shared" ref="H120:L120" si="24">H67</f>
        <v>0</v>
      </c>
      <c r="I120" s="57">
        <f t="shared" si="24"/>
        <v>0</v>
      </c>
      <c r="J120" s="57">
        <f t="shared" si="24"/>
        <v>0</v>
      </c>
      <c r="K120" s="57">
        <f t="shared" si="24"/>
        <v>0</v>
      </c>
      <c r="L120" s="57">
        <f t="shared" si="24"/>
        <v>0</v>
      </c>
      <c r="M120" s="57">
        <f t="shared" ref="M120" si="25">M67</f>
        <v>0</v>
      </c>
      <c r="N120" s="140" t="s">
        <v>29</v>
      </c>
    </row>
    <row r="121" spans="3:14" x14ac:dyDescent="0.3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6">I47+I48+I67</f>
        <v>0</v>
      </c>
      <c r="J121" s="105">
        <f t="shared" si="26"/>
        <v>0</v>
      </c>
      <c r="K121" s="105">
        <f t="shared" si="26"/>
        <v>0</v>
      </c>
      <c r="L121" s="105">
        <f t="shared" si="26"/>
        <v>0</v>
      </c>
      <c r="M121" s="105">
        <f t="shared" ref="M121" si="27">M47+M48+M67</f>
        <v>0</v>
      </c>
      <c r="N121" s="153" t="s">
        <v>29</v>
      </c>
    </row>
    <row r="122" spans="3:14" x14ac:dyDescent="0.3">
      <c r="C122" s="139"/>
      <c r="D122" s="74"/>
      <c r="E122" s="154" t="s">
        <v>199</v>
      </c>
      <c r="F122" s="77" t="s">
        <v>83</v>
      </c>
      <c r="G122" s="105">
        <f>'Benchmarking Calculations'!G88</f>
        <v>65343.73</v>
      </c>
      <c r="H122" s="155">
        <v>85142</v>
      </c>
      <c r="I122" s="155">
        <f>H122*(1+3.3%)</f>
        <v>87951.685999999987</v>
      </c>
      <c r="J122" s="155">
        <f>I122*(1+3.8%)</f>
        <v>91293.850067999985</v>
      </c>
      <c r="K122" s="155"/>
      <c r="L122" s="155"/>
      <c r="M122" s="155"/>
      <c r="N122" s="156" t="s">
        <v>172</v>
      </c>
    </row>
    <row r="123" spans="3:14" ht="13.5" thickBot="1" x14ac:dyDescent="0.3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3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  <row r="125" spans="3:14" x14ac:dyDescent="0.3">
      <c r="E125" s="25"/>
      <c r="F125" s="25"/>
      <c r="G125" s="25"/>
      <c r="H125" s="25"/>
      <c r="I125" s="25"/>
      <c r="J125" s="83"/>
      <c r="K125" s="25"/>
    </row>
    <row r="126" spans="3:14" x14ac:dyDescent="0.3">
      <c r="E126" s="25"/>
      <c r="F126" s="25"/>
      <c r="G126" s="25"/>
      <c r="H126" s="25"/>
      <c r="I126" s="25"/>
      <c r="J126" s="83"/>
      <c r="K126" s="25"/>
    </row>
    <row r="127" spans="3:14" x14ac:dyDescent="0.3">
      <c r="E127" s="25"/>
      <c r="F127" s="25"/>
      <c r="G127" s="25"/>
      <c r="H127" s="25"/>
      <c r="I127" s="25"/>
      <c r="J127" s="83"/>
      <c r="K127" s="25"/>
    </row>
    <row r="128" spans="3:14" x14ac:dyDescent="0.3">
      <c r="E128" s="25"/>
      <c r="F128" s="25"/>
      <c r="G128" s="25"/>
      <c r="H128" s="25"/>
      <c r="I128" s="25"/>
      <c r="J128" s="290"/>
      <c r="K128" s="25"/>
    </row>
    <row r="129" spans="5:11" x14ac:dyDescent="0.3">
      <c r="E129" s="25"/>
      <c r="F129" s="25"/>
      <c r="G129" s="25"/>
      <c r="H129" s="25"/>
      <c r="I129" s="25"/>
      <c r="J129" s="25"/>
      <c r="K129" s="25"/>
    </row>
    <row r="130" spans="5:11" x14ac:dyDescent="0.3">
      <c r="E130" s="25"/>
      <c r="F130" s="25"/>
      <c r="G130" s="25"/>
      <c r="H130" s="25"/>
      <c r="I130" s="25"/>
      <c r="J130" s="290"/>
      <c r="K130" s="25"/>
    </row>
    <row r="131" spans="5:11" x14ac:dyDescent="0.3">
      <c r="E131" s="25"/>
      <c r="F131" s="25"/>
      <c r="G131" s="25"/>
      <c r="H131" s="25"/>
      <c r="I131" s="25"/>
      <c r="J131" s="290"/>
      <c r="K131" s="25"/>
    </row>
    <row r="132" spans="5:11" x14ac:dyDescent="0.3">
      <c r="E132" s="25"/>
      <c r="F132" s="25"/>
      <c r="G132" s="25"/>
      <c r="H132" s="25"/>
      <c r="I132" s="25"/>
      <c r="J132" s="25"/>
      <c r="K132" s="25"/>
    </row>
    <row r="133" spans="5:11" x14ac:dyDescent="0.3">
      <c r="E133" s="25"/>
      <c r="F133" s="25"/>
      <c r="G133" s="25"/>
      <c r="H133" s="25"/>
      <c r="I133" s="25"/>
      <c r="J133" s="83"/>
      <c r="K133" s="25"/>
    </row>
    <row r="134" spans="5:11" x14ac:dyDescent="0.3">
      <c r="E134" s="25"/>
      <c r="F134" s="25"/>
      <c r="G134" s="25"/>
      <c r="H134" s="25"/>
      <c r="I134" s="25"/>
      <c r="J134" s="25"/>
      <c r="K134" s="25"/>
    </row>
    <row r="135" spans="5:11" x14ac:dyDescent="0.3">
      <c r="E135" s="25"/>
      <c r="F135" s="25"/>
      <c r="G135" s="25"/>
      <c r="H135" s="25"/>
      <c r="I135" s="25"/>
      <c r="J135" s="290"/>
      <c r="K135" s="25"/>
    </row>
  </sheetData>
  <mergeCells count="8">
    <mergeCell ref="O40:O43"/>
    <mergeCell ref="H34:M34"/>
    <mergeCell ref="C2:N2"/>
    <mergeCell ref="C3:N3"/>
    <mergeCell ref="H8:M8"/>
    <mergeCell ref="H19:M19"/>
    <mergeCell ref="O20:O22"/>
    <mergeCell ref="K5:M5"/>
  </mergeCells>
  <pageMargins left="0.7" right="0.7" top="0.75" bottom="0.75" header="0.3" footer="0.3"/>
  <pageSetup orientation="portrait" r:id="rId1"/>
  <ignoredErrors>
    <ignoredError sqref="H64:M64 H78:M78 H86:M86 H91:M91 H109:M109 H112:M112 H114:M115 K113:M1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G103" sqref="G103"/>
    </sheetView>
  </sheetViews>
  <sheetFormatPr defaultColWidth="9.1796875" defaultRowHeight="13" outlineLevelRow="1" x14ac:dyDescent="0.3"/>
  <cols>
    <col min="1" max="1" width="6.54296875" customWidth="1"/>
    <col min="2" max="2" width="11.81640625" customWidth="1"/>
    <col min="3" max="3" width="17.26953125" customWidth="1"/>
    <col min="4" max="4" width="7" customWidth="1"/>
    <col min="5" max="5" width="55.453125" style="2" customWidth="1"/>
    <col min="6" max="6" width="16" style="232" hidden="1" customWidth="1"/>
    <col min="7" max="7" width="16" style="3" customWidth="1"/>
    <col min="8" max="11" width="16" customWidth="1"/>
    <col min="12" max="12" width="16.26953125" customWidth="1"/>
    <col min="13" max="13" width="16.7265625" customWidth="1"/>
    <col min="14" max="14" width="9.81640625" style="201" hidden="1" customWidth="1"/>
    <col min="15" max="15" width="9.1796875" style="109" hidden="1" customWidth="1"/>
    <col min="16" max="16" width="16.1796875" style="109" hidden="1" customWidth="1"/>
    <col min="17" max="17" width="15.81640625" style="89" hidden="1" customWidth="1"/>
    <col min="18" max="18" width="18.1796875" style="109" hidden="1" customWidth="1"/>
    <col min="19" max="19" width="14.26953125" style="109" hidden="1" customWidth="1"/>
    <col min="20" max="20" width="17.1796875" style="109" hidden="1" customWidth="1"/>
    <col min="21" max="23" width="14.26953125" style="109" hidden="1" customWidth="1"/>
    <col min="24" max="24" width="17.1796875" style="109" hidden="1" customWidth="1"/>
    <col min="25" max="25" width="21.453125" style="109" hidden="1" customWidth="1"/>
    <col min="26" max="26" width="21" style="109" hidden="1" customWidth="1"/>
    <col min="27" max="27" width="19.453125" style="109" hidden="1" customWidth="1"/>
    <col min="28" max="29" width="14.26953125" style="109" hidden="1" customWidth="1"/>
    <col min="30" max="30" width="16.453125" style="109" hidden="1" customWidth="1"/>
    <col min="31" max="31" width="15.453125" style="109" hidden="1" customWidth="1"/>
    <col min="32" max="32" width="19.26953125" style="109" hidden="1" customWidth="1"/>
    <col min="33" max="33" width="18.81640625" style="109" hidden="1" customWidth="1"/>
    <col min="34" max="34" width="18.1796875" style="109" hidden="1" customWidth="1"/>
    <col min="35" max="35" width="14.26953125" style="109" hidden="1" customWidth="1"/>
    <col min="36" max="36" width="18.26953125" style="109" hidden="1" customWidth="1"/>
    <col min="37" max="37" width="14.26953125" style="109" hidden="1" customWidth="1"/>
    <col min="38" max="38" width="17.453125" style="109" hidden="1" customWidth="1"/>
    <col min="39" max="39" width="16.54296875" style="109" hidden="1" customWidth="1"/>
    <col min="40" max="40" width="18.7265625" style="109" hidden="1" customWidth="1"/>
    <col min="41" max="41" width="16.7265625" style="109" hidden="1" customWidth="1"/>
    <col min="42" max="43" width="13.453125" style="109" hidden="1" customWidth="1"/>
    <col min="44" max="44" width="19.1796875" style="109" hidden="1" customWidth="1"/>
    <col min="45" max="45" width="15.81640625" style="109" hidden="1" customWidth="1"/>
    <col min="46" max="46" width="17.26953125" style="109" hidden="1" customWidth="1"/>
    <col min="47" max="47" width="18" style="109" hidden="1" customWidth="1"/>
    <col min="48" max="48" width="13.453125" style="109" hidden="1" customWidth="1"/>
    <col min="49" max="49" width="17.26953125" style="109" hidden="1" customWidth="1"/>
    <col min="50" max="50" width="13.453125" style="109" hidden="1" customWidth="1"/>
    <col min="51" max="51" width="17.26953125" style="109" hidden="1" customWidth="1"/>
    <col min="52" max="52" width="18.1796875" style="109" hidden="1" customWidth="1"/>
    <col min="53" max="53" width="21.26953125" style="109" hidden="1" customWidth="1"/>
    <col min="54" max="54" width="18.453125" style="109" hidden="1" customWidth="1"/>
    <col min="55" max="55" width="18" style="109" hidden="1" customWidth="1"/>
    <col min="56" max="60" width="13.453125" style="109" hidden="1" customWidth="1"/>
    <col min="61" max="61" width="14.81640625" style="109" hidden="1" customWidth="1"/>
    <col min="62" max="62" width="15.81640625" style="109" hidden="1" customWidth="1"/>
    <col min="63" max="63" width="13.453125" style="109" hidden="1" customWidth="1"/>
    <col min="64" max="64" width="16.453125" style="109" hidden="1" customWidth="1"/>
    <col min="65" max="65" width="16.1796875" style="109" hidden="1" customWidth="1"/>
    <col min="66" max="69" width="13.453125" style="109" hidden="1" customWidth="1"/>
    <col min="70" max="70" width="15.26953125" style="109" hidden="1" customWidth="1"/>
    <col min="71" max="71" width="13.453125" style="109" hidden="1" customWidth="1"/>
    <col min="72" max="72" width="15.81640625" style="109" hidden="1" customWidth="1"/>
    <col min="73" max="73" width="13.453125" style="109" hidden="1" customWidth="1"/>
    <col min="74" max="74" width="16.1796875" style="109" hidden="1" customWidth="1"/>
    <col min="75" max="78" width="13.453125" style="109" hidden="1" customWidth="1"/>
    <col min="79" max="79" width="17.1796875" style="109" hidden="1" customWidth="1"/>
    <col min="80" max="83" width="13.453125" style="109" hidden="1" customWidth="1"/>
    <col min="84" max="149" width="9.1796875" customWidth="1"/>
    <col min="150" max="150" width="9.1796875" style="67" customWidth="1"/>
  </cols>
  <sheetData>
    <row r="1" spans="1:150" ht="26" thickBot="1" x14ac:dyDescent="0.7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17.5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4">
      <c r="B3" s="302" t="s">
        <v>1</v>
      </c>
      <c r="C3" s="302"/>
      <c r="D3" s="187"/>
      <c r="E3" s="98" t="str">
        <f>'Model Inputs'!F5</f>
        <v>Bluewater Power Distribution Corporation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35">
      <c r="E4" s="223"/>
      <c r="F4" s="303"/>
      <c r="G4" s="304"/>
      <c r="H4" s="305" t="s">
        <v>2</v>
      </c>
      <c r="I4" s="306"/>
      <c r="J4" s="306"/>
      <c r="K4" s="306"/>
      <c r="L4" s="306"/>
      <c r="M4" s="306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9" x14ac:dyDescent="0.3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3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35">
      <c r="A7" s="300" t="s">
        <v>6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3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3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3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588877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3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392974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3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31640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3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3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6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24978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3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0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3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761613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3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274766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3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0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3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553914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5" outlineLevel="1" x14ac:dyDescent="0.3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102732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3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0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3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488039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3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324719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3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0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3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335874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3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3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31779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3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3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3911905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3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3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3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3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110995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3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6548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3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72183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3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0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3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0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3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2059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3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8437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3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21000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3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589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3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108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3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221919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3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201192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3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258748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3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947769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3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302029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3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3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0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3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3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1709738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3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3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140827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3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210215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3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30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3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351072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3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1203174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3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48533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3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1739527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3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3257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3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3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0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3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0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3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1224461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3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342197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3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3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3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322060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3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1241359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3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3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3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289020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3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3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6413588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3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198399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3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3">
      <c r="A78" s="3"/>
      <c r="B78" s="9">
        <v>70</v>
      </c>
      <c r="D78" s="2"/>
      <c r="E78" s="16" t="s">
        <v>77</v>
      </c>
      <c r="F78" s="236"/>
      <c r="G78" s="100">
        <f t="shared" si="3"/>
        <v>198399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3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3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3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12806621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3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3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3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3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3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3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3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65343.73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3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12871964.73</v>
      </c>
      <c r="H89" s="164">
        <f>'Model Inputs'!H31</f>
        <v>12851070</v>
      </c>
      <c r="I89" s="165">
        <f>'Model Inputs'!I31</f>
        <v>14329244.686000001</v>
      </c>
      <c r="J89" s="165">
        <f>'Model Inputs'!J31</f>
        <v>15615879.850067999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3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3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3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9878875</v>
      </c>
      <c r="H92" s="164">
        <f>'Model Inputs'!H9</f>
        <v>9009716</v>
      </c>
      <c r="I92" s="165">
        <f>'Model Inputs'!I9</f>
        <v>12142000</v>
      </c>
      <c r="J92" s="165">
        <f>'Model Inputs'!J9</f>
        <v>12372100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3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3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3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3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36916</v>
      </c>
      <c r="H96" s="165">
        <f>'Model Inputs'!H13</f>
        <v>36957</v>
      </c>
      <c r="I96" s="165">
        <f>'Model Inputs'!I13</f>
        <v>37112</v>
      </c>
      <c r="J96" s="165">
        <f>'Model Inputs'!J13</f>
        <v>37243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3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950821500</v>
      </c>
      <c r="H97" s="164">
        <f>'Model Inputs'!H14</f>
        <v>957380100</v>
      </c>
      <c r="I97" s="165">
        <f>'Model Inputs'!I14</f>
        <v>964908496</v>
      </c>
      <c r="J97" s="165">
        <f>'Model Inputs'!J14</f>
        <v>957574756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35">
      <c r="A98" s="3"/>
      <c r="B98" s="9">
        <v>90</v>
      </c>
      <c r="E98" s="3" t="s">
        <v>91</v>
      </c>
      <c r="F98" s="235"/>
      <c r="G98" s="100">
        <f>HLOOKUP($E$3,$P$3:$CE$269,O98,FALSE)</f>
        <v>155794</v>
      </c>
      <c r="H98" s="164">
        <f>'Model Inputs'!H15</f>
        <v>170222</v>
      </c>
      <c r="I98" s="165">
        <f>'Model Inputs'!I15</f>
        <v>188295</v>
      </c>
      <c r="J98" s="165">
        <f>'Model Inputs'!J15</f>
        <v>186330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35">
      <c r="A99" s="3"/>
      <c r="B99" s="9">
        <v>91</v>
      </c>
      <c r="E99" s="11" t="s">
        <v>92</v>
      </c>
      <c r="F99" s="235"/>
      <c r="G99" s="100">
        <f>HLOOKUP($E$3,$P$3:$CE$269,O99,FALSE)</f>
        <v>1209</v>
      </c>
      <c r="H99" s="164">
        <f>'Model Inputs'!H16</f>
        <v>1209</v>
      </c>
      <c r="I99" s="165">
        <f>'Model Inputs'!I16</f>
        <v>1209</v>
      </c>
      <c r="J99" s="165">
        <f>'Model Inputs'!J16</f>
        <v>1209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3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3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35">
      <c r="A102" s="300" t="s">
        <v>93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3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3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3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3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3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12871964.73</v>
      </c>
      <c r="H107" s="28">
        <f t="shared" ref="H107:K107" si="5">H89</f>
        <v>12851070</v>
      </c>
      <c r="I107" s="28">
        <f t="shared" si="5"/>
        <v>14329244.686000001</v>
      </c>
      <c r="J107" s="28">
        <f t="shared" si="5"/>
        <v>15615879.850067999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3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3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3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0.05</v>
      </c>
      <c r="I110" s="168">
        <f>'Model Inputs'!I22</f>
        <v>5.4699999999999999E-2</v>
      </c>
      <c r="J110" s="168">
        <f>'Model Inputs'!J22</f>
        <v>5.6399999999999999E-2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3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3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179.7803670048915</v>
      </c>
      <c r="I112" s="171">
        <f>H112*EXP('Model Inputs'!I21)</f>
        <v>182.86275934494043</v>
      </c>
      <c r="J112" s="171">
        <f>I112*EXP('Model Inputs'!J21)</f>
        <v>189.56574858039528</v>
      </c>
      <c r="K112" s="171">
        <f>J112*EXP('Model Inputs'!K21)</f>
        <v>189.56574858039528</v>
      </c>
      <c r="L112" s="171">
        <f>K112*EXP('Model Inputs'!L21)</f>
        <v>189.56574858039528</v>
      </c>
      <c r="M112" s="172">
        <f>L112*EXP('Model Inputs'!M21)</f>
        <v>189.56574858039528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3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17.071758137606373</v>
      </c>
      <c r="I113" s="28">
        <f t="shared" si="8"/>
        <v>18.227386729100331</v>
      </c>
      <c r="J113" s="28">
        <f t="shared" si="8"/>
        <v>19.014527486894785</v>
      </c>
      <c r="K113" s="28">
        <f t="shared" si="8"/>
        <v>8.7010678598401441</v>
      </c>
      <c r="L113" s="28">
        <f t="shared" si="8"/>
        <v>8.7010678598401441</v>
      </c>
      <c r="M113" s="28">
        <f t="shared" si="8"/>
        <v>8.7010678598401441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3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9878875</v>
      </c>
      <c r="H114" s="173">
        <f>H92</f>
        <v>9009716</v>
      </c>
      <c r="I114" s="174">
        <f t="shared" ref="I114:L114" si="9">I92</f>
        <v>12142000</v>
      </c>
      <c r="J114" s="174">
        <f t="shared" si="9"/>
        <v>12372100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3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3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56003.713179155733</v>
      </c>
      <c r="H116" s="7">
        <f t="shared" ref="H116:K116" si="13">(H114-H115)/H112</f>
        <v>50115.12741964122</v>
      </c>
      <c r="I116" s="7">
        <f t="shared" si="13"/>
        <v>66399.523027518793</v>
      </c>
      <c r="J116" s="7">
        <f t="shared" si="13"/>
        <v>65265.482254316441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3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34416.907473494895</v>
      </c>
      <c r="H117" s="24">
        <f t="shared" ref="H117:M117" si="15">H111*G118</f>
        <v>35407.741855384731</v>
      </c>
      <c r="I117" s="24">
        <f t="shared" si="15"/>
        <v>36082.810852784103</v>
      </c>
      <c r="J117" s="24">
        <f t="shared" si="15"/>
        <v>37474.347941604421</v>
      </c>
      <c r="K117" s="24">
        <f t="shared" si="15"/>
        <v>38749.961006557904</v>
      </c>
      <c r="L117" s="24">
        <f t="shared" si="15"/>
        <v>36971.3377963569</v>
      </c>
      <c r="M117" s="24">
        <f t="shared" si="15"/>
        <v>35274.353391504119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3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771410.4979386651</v>
      </c>
      <c r="H118" s="24">
        <f t="shared" ref="H118:M118" si="16">G118+H116-H117</f>
        <v>786117.88350292156</v>
      </c>
      <c r="I118" s="24">
        <f t="shared" si="16"/>
        <v>816434.59567765624</v>
      </c>
      <c r="J118" s="24">
        <f t="shared" si="16"/>
        <v>844225.72999036824</v>
      </c>
      <c r="K118" s="24">
        <f t="shared" si="16"/>
        <v>805475.76898381033</v>
      </c>
      <c r="L118" s="24">
        <f t="shared" si="16"/>
        <v>768504.43118745345</v>
      </c>
      <c r="M118" s="24">
        <f t="shared" si="16"/>
        <v>733230.0777959493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3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13356759.655026169</v>
      </c>
      <c r="H119" s="24">
        <f t="shared" ref="H119:K119" si="17">H113*H118</f>
        <v>13420414.3748089</v>
      </c>
      <c r="I119" s="24">
        <f t="shared" si="17"/>
        <v>14881469.114433305</v>
      </c>
      <c r="J119" s="24">
        <f t="shared" si="17"/>
        <v>16052553.348045671</v>
      </c>
      <c r="K119" s="24">
        <f t="shared" si="17"/>
        <v>7008499.3253850564</v>
      </c>
      <c r="L119" s="24">
        <f t="shared" ref="L119:M119" si="18">L113*L118</f>
        <v>6686809.2063498832</v>
      </c>
      <c r="M119" s="24">
        <f t="shared" si="18"/>
        <v>6379884.6637784233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3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3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26228724.385026172</v>
      </c>
      <c r="H121" s="24">
        <f t="shared" ref="H121:K121" si="19">H107+H119</f>
        <v>26271484.3748089</v>
      </c>
      <c r="I121" s="24">
        <f t="shared" si="19"/>
        <v>29210713.800433308</v>
      </c>
      <c r="J121" s="24">
        <f t="shared" si="19"/>
        <v>31668433.198113672</v>
      </c>
      <c r="K121" s="24">
        <f t="shared" si="19"/>
        <v>7008499.3253850564</v>
      </c>
      <c r="L121" s="24">
        <f t="shared" ref="L121:M121" si="20">L107+L119</f>
        <v>6686809.2063498832</v>
      </c>
      <c r="M121" s="24">
        <f t="shared" si="20"/>
        <v>6379884.6637784233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3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35">
      <c r="A123" s="300" t="s">
        <v>108</v>
      </c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3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3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3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3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3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36916</v>
      </c>
      <c r="H128" s="7">
        <f t="shared" ref="H128:K130" si="21">H96</f>
        <v>36957</v>
      </c>
      <c r="I128" s="7">
        <f t="shared" si="21"/>
        <v>37112</v>
      </c>
      <c r="J128" s="7">
        <f t="shared" si="21"/>
        <v>37243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3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950821500</v>
      </c>
      <c r="H129" s="38">
        <f t="shared" si="21"/>
        <v>957380100</v>
      </c>
      <c r="I129" s="38">
        <f t="shared" si="21"/>
        <v>964908496</v>
      </c>
      <c r="J129" s="38">
        <f t="shared" si="21"/>
        <v>957574756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3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155794</v>
      </c>
      <c r="H130" s="7">
        <f t="shared" si="21"/>
        <v>170222</v>
      </c>
      <c r="I130" s="7">
        <f t="shared" si="21"/>
        <v>188295</v>
      </c>
      <c r="J130" s="7">
        <f t="shared" si="21"/>
        <v>186330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3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219364</v>
      </c>
      <c r="H131" s="7">
        <f t="shared" ref="H131:M131" si="25">MAX(G131,H130)</f>
        <v>219364</v>
      </c>
      <c r="I131" s="7">
        <f t="shared" si="25"/>
        <v>219364</v>
      </c>
      <c r="J131" s="7">
        <f t="shared" si="25"/>
        <v>219364</v>
      </c>
      <c r="K131" s="7">
        <f t="shared" si="25"/>
        <v>219364</v>
      </c>
      <c r="L131" s="7">
        <f t="shared" si="25"/>
        <v>219364</v>
      </c>
      <c r="M131" s="7">
        <f t="shared" si="25"/>
        <v>219364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3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3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3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116.11026931873822</v>
      </c>
      <c r="I134" s="180">
        <f>H134*EXP('Model Inputs'!I21)</f>
        <v>118.10101731147849</v>
      </c>
      <c r="J134" s="180">
        <f>I134*EXP('Model Inputs'!J21)</f>
        <v>122.43011007246996</v>
      </c>
      <c r="K134" s="180">
        <f>J134*EXP('Model Inputs'!K21)</f>
        <v>122.43011007246996</v>
      </c>
      <c r="L134" s="180">
        <f>K134*EXP('Model Inputs'!L21)</f>
        <v>122.43011007246996</v>
      </c>
      <c r="M134" s="181">
        <f>L134*EXP('Model Inputs'!M21)</f>
        <v>122.43011007246996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3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1157.1243562525181</v>
      </c>
      <c r="I135" s="183">
        <f>H135*EXP('Model Inputs'!I20)</f>
        <v>1241.0253388093442</v>
      </c>
      <c r="J135" s="183">
        <f>I135*EXP('Model Inputs'!J20)</f>
        <v>1290.3815167558928</v>
      </c>
      <c r="K135" s="183">
        <f>J135*EXP('Model Inputs'!K20)</f>
        <v>1290.3815167558928</v>
      </c>
      <c r="L135" s="183">
        <f>K135*EXP('Model Inputs'!L20)</f>
        <v>1290.3815167558928</v>
      </c>
      <c r="M135" s="184">
        <f>L135*EXP('Model Inputs'!M20)</f>
        <v>1290.3815167558928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3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2.4600000000000021E-2</v>
      </c>
      <c r="I136" s="39">
        <f t="shared" ref="I136:M136" si="27">LN(I134/H134)*0.3+LN(I135/H135)*0.7</f>
        <v>5.4100000000000023E-2</v>
      </c>
      <c r="J136" s="39">
        <f t="shared" si="27"/>
        <v>3.8099999999999953E-2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3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146.62487924155016</v>
      </c>
      <c r="H137" s="28">
        <f t="shared" ref="H137:M137" si="28">G137*EXP(H136)</f>
        <v>150.2765830744703</v>
      </c>
      <c r="I137" s="28">
        <f t="shared" si="28"/>
        <v>158.6304817546316</v>
      </c>
      <c r="J137" s="28">
        <f t="shared" si="28"/>
        <v>164.79091415258668</v>
      </c>
      <c r="K137" s="28">
        <f t="shared" si="28"/>
        <v>164.79091415258668</v>
      </c>
      <c r="L137" s="28">
        <f t="shared" si="28"/>
        <v>164.79091415258668</v>
      </c>
      <c r="M137" s="28">
        <f t="shared" si="28"/>
        <v>164.79091415258668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3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3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17.071758137606373</v>
      </c>
      <c r="I139" s="28">
        <f t="shared" si="29"/>
        <v>18.227386729100331</v>
      </c>
      <c r="J139" s="28">
        <f t="shared" si="29"/>
        <v>19.014527486894785</v>
      </c>
      <c r="K139" s="28">
        <f t="shared" si="29"/>
        <v>8.7010678598401441</v>
      </c>
      <c r="L139" s="28">
        <f t="shared" ref="L139:M139" si="30">L113</f>
        <v>8.7010678598401441</v>
      </c>
      <c r="M139" s="28">
        <f t="shared" si="30"/>
        <v>8.7010678598401441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3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3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3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1209</v>
      </c>
      <c r="H142" s="41">
        <f>'Model Inputs'!H16</f>
        <v>1209</v>
      </c>
      <c r="I142" s="41">
        <f>'Model Inputs'!I16</f>
        <v>1209</v>
      </c>
      <c r="J142" s="41">
        <f>'Model Inputs'!J16</f>
        <v>1209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3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795.41052631578941</v>
      </c>
      <c r="H143" s="40">
        <f>(G143*14+H142)/15</f>
        <v>822.98315789473679</v>
      </c>
      <c r="I143" s="40">
        <f>(H143*15+I142)/16</f>
        <v>847.10921052631579</v>
      </c>
      <c r="J143" s="40">
        <f>(I143*16+J142)/17</f>
        <v>868.39690402476776</v>
      </c>
      <c r="K143" s="40">
        <f>(J143*17+K142)/18</f>
        <v>820.15263157894742</v>
      </c>
      <c r="L143" s="40">
        <f>(K143*17+L142)/18</f>
        <v>774.58859649122815</v>
      </c>
      <c r="M143" s="40">
        <f>(L143*17+M142)/18</f>
        <v>731.55589668615994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3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35688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3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3.440932526339386E-2</v>
      </c>
      <c r="H145" s="29">
        <f>'Model Inputs'!H17</f>
        <v>3.440932526339386E-2</v>
      </c>
      <c r="I145" s="29">
        <f>'Model Inputs'!I17</f>
        <v>3.440932526339386E-2</v>
      </c>
      <c r="J145" s="29">
        <f>'Model Inputs'!J17</f>
        <v>3.440932526339386E-2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3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3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3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3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3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3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3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0.11808857965030711</v>
      </c>
      <c r="H152" s="43">
        <f t="shared" ref="H152:K152" si="33">H113/H137</f>
        <v>0.11360225118471305</v>
      </c>
      <c r="I152" s="43">
        <f t="shared" si="33"/>
        <v>0.11490469251234017</v>
      </c>
      <c r="J152" s="43">
        <f t="shared" si="33"/>
        <v>0.11538577587650525</v>
      </c>
      <c r="K152" s="43">
        <f t="shared" si="33"/>
        <v>5.2800652903614985E-2</v>
      </c>
      <c r="L152" s="43">
        <f t="shared" ref="L152:M152" si="34">L113/L137</f>
        <v>5.2800652903614985E-2</v>
      </c>
      <c r="M152" s="43">
        <f t="shared" si="34"/>
        <v>5.2800652903614985E-2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3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36916</v>
      </c>
      <c r="H153" s="24">
        <f t="shared" ref="H153:K153" si="35">H96</f>
        <v>36957</v>
      </c>
      <c r="I153" s="24">
        <f t="shared" si="35"/>
        <v>37112</v>
      </c>
      <c r="J153" s="24">
        <f t="shared" si="35"/>
        <v>37243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3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219364</v>
      </c>
      <c r="H154" s="24">
        <f t="shared" ref="H154:K154" si="37">H131</f>
        <v>219364</v>
      </c>
      <c r="I154" s="24">
        <f t="shared" si="37"/>
        <v>219364</v>
      </c>
      <c r="J154" s="24">
        <f t="shared" si="37"/>
        <v>219364</v>
      </c>
      <c r="K154" s="24">
        <f t="shared" si="37"/>
        <v>219364</v>
      </c>
      <c r="L154" s="24">
        <f t="shared" ref="L154:M154" si="38">L131</f>
        <v>219364</v>
      </c>
      <c r="M154" s="24">
        <f t="shared" si="38"/>
        <v>219364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3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950821500</v>
      </c>
      <c r="H155" s="38">
        <f t="shared" ref="H155:K155" si="39">H97</f>
        <v>957380100</v>
      </c>
      <c r="I155" s="38">
        <f t="shared" si="39"/>
        <v>964908496</v>
      </c>
      <c r="J155" s="38">
        <f t="shared" si="39"/>
        <v>957574756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3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795.41052631578941</v>
      </c>
      <c r="H156" s="44">
        <f t="shared" ref="H156:K156" si="41">H143</f>
        <v>822.98315789473679</v>
      </c>
      <c r="I156" s="44">
        <f t="shared" si="41"/>
        <v>847.10921052631579</v>
      </c>
      <c r="J156" s="44">
        <f t="shared" si="41"/>
        <v>868.39690402476776</v>
      </c>
      <c r="K156" s="44">
        <f t="shared" si="41"/>
        <v>820.15263157894742</v>
      </c>
      <c r="L156" s="44">
        <f t="shared" ref="L156:M156" si="42">L143</f>
        <v>774.58859649122815</v>
      </c>
      <c r="M156" s="44">
        <f t="shared" si="42"/>
        <v>731.55589668615994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3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3.440932526339386E-2</v>
      </c>
      <c r="H157" s="30">
        <f t="shared" ref="H157:L157" si="43">H145</f>
        <v>3.440932526339386E-2</v>
      </c>
      <c r="I157" s="30">
        <f t="shared" si="43"/>
        <v>3.440932526339386E-2</v>
      </c>
      <c r="J157" s="30">
        <f t="shared" si="43"/>
        <v>3.440932526339386E-2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3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3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3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3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3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12.814549938113361</v>
      </c>
      <c r="H162" s="48">
        <f t="shared" ref="H162:M179" si="47">G162</f>
        <v>12.814549938113361</v>
      </c>
      <c r="I162" s="48">
        <f t="shared" si="47"/>
        <v>12.814549938113361</v>
      </c>
      <c r="J162" s="48">
        <f t="shared" si="47"/>
        <v>12.814549938113361</v>
      </c>
      <c r="K162" s="48">
        <f t="shared" si="47"/>
        <v>12.814549938113361</v>
      </c>
      <c r="L162" s="48">
        <f t="shared" si="47"/>
        <v>12.814549938113361</v>
      </c>
      <c r="M162" s="48">
        <f t="shared" si="47"/>
        <v>12.814549938113361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3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0.6328047547232748</v>
      </c>
      <c r="H163" s="48">
        <f t="shared" si="47"/>
        <v>0.6328047547232748</v>
      </c>
      <c r="I163" s="48">
        <f t="shared" si="47"/>
        <v>0.6328047547232748</v>
      </c>
      <c r="J163" s="48">
        <f t="shared" si="47"/>
        <v>0.6328047547232748</v>
      </c>
      <c r="K163" s="48">
        <f t="shared" si="47"/>
        <v>0.6328047547232748</v>
      </c>
      <c r="L163" s="48">
        <f t="shared" si="47"/>
        <v>0.6328047547232748</v>
      </c>
      <c r="M163" s="48">
        <f t="shared" si="47"/>
        <v>0.6328047547232748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3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0.44057142147939932</v>
      </c>
      <c r="H164" s="48">
        <f t="shared" si="47"/>
        <v>0.44057142147939932</v>
      </c>
      <c r="I164" s="48">
        <f t="shared" si="47"/>
        <v>0.44057142147939932</v>
      </c>
      <c r="J164" s="48">
        <f t="shared" si="47"/>
        <v>0.44057142147939932</v>
      </c>
      <c r="K164" s="48">
        <f t="shared" si="47"/>
        <v>0.44057142147939932</v>
      </c>
      <c r="L164" s="48">
        <f t="shared" si="47"/>
        <v>0.44057142147939932</v>
      </c>
      <c r="M164" s="48">
        <f t="shared" si="47"/>
        <v>0.44057142147939932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3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0.16082604962565611</v>
      </c>
      <c r="H165" s="48">
        <f t="shared" si="47"/>
        <v>0.16082604962565611</v>
      </c>
      <c r="I165" s="48">
        <f t="shared" si="47"/>
        <v>0.16082604962565611</v>
      </c>
      <c r="J165" s="48">
        <f t="shared" si="47"/>
        <v>0.16082604962565611</v>
      </c>
      <c r="K165" s="48">
        <f t="shared" si="47"/>
        <v>0.16082604962565611</v>
      </c>
      <c r="L165" s="48">
        <f t="shared" si="47"/>
        <v>0.16082604962565611</v>
      </c>
      <c r="M165" s="48">
        <f t="shared" si="47"/>
        <v>0.16082604962565611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3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0.11006314761137045</v>
      </c>
      <c r="H166" s="48">
        <f t="shared" si="47"/>
        <v>0.11006314761137045</v>
      </c>
      <c r="I166" s="48">
        <f t="shared" si="47"/>
        <v>0.11006314761137045</v>
      </c>
      <c r="J166" s="48">
        <f t="shared" si="47"/>
        <v>0.11006314761137045</v>
      </c>
      <c r="K166" s="48">
        <f t="shared" si="47"/>
        <v>0.11006314761137045</v>
      </c>
      <c r="L166" s="48">
        <f t="shared" si="47"/>
        <v>0.11006314761137045</v>
      </c>
      <c r="M166" s="48">
        <f t="shared" si="47"/>
        <v>0.11006314761137045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3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0.13217376575351314</v>
      </c>
      <c r="H167" s="48">
        <f t="shared" si="47"/>
        <v>0.13217376575351314</v>
      </c>
      <c r="I167" s="48">
        <f t="shared" si="47"/>
        <v>0.13217376575351314</v>
      </c>
      <c r="J167" s="48">
        <f t="shared" si="47"/>
        <v>0.13217376575351314</v>
      </c>
      <c r="K167" s="48">
        <f t="shared" si="47"/>
        <v>0.13217376575351314</v>
      </c>
      <c r="L167" s="48">
        <f t="shared" si="47"/>
        <v>0.13217376575351314</v>
      </c>
      <c r="M167" s="48">
        <f t="shared" si="47"/>
        <v>0.13217376575351314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3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-0.38079269995727272</v>
      </c>
      <c r="H168" s="48">
        <f t="shared" si="47"/>
        <v>-0.38079269995727272</v>
      </c>
      <c r="I168" s="48">
        <f t="shared" si="47"/>
        <v>-0.38079269995727272</v>
      </c>
      <c r="J168" s="48">
        <f t="shared" si="47"/>
        <v>-0.38079269995727272</v>
      </c>
      <c r="K168" s="48">
        <f t="shared" si="47"/>
        <v>-0.38079269995727272</v>
      </c>
      <c r="L168" s="48">
        <f t="shared" si="47"/>
        <v>-0.38079269995727272</v>
      </c>
      <c r="M168" s="48">
        <f t="shared" si="47"/>
        <v>-0.38079269995727272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3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0.17335542337902538</v>
      </c>
      <c r="H169" s="48">
        <f t="shared" si="47"/>
        <v>0.17335542337902538</v>
      </c>
      <c r="I169" s="48">
        <f t="shared" si="47"/>
        <v>0.17335542337902538</v>
      </c>
      <c r="J169" s="48">
        <f t="shared" si="47"/>
        <v>0.17335542337902538</v>
      </c>
      <c r="K169" s="48">
        <f t="shared" si="47"/>
        <v>0.17335542337902538</v>
      </c>
      <c r="L169" s="48">
        <f t="shared" si="47"/>
        <v>0.17335542337902538</v>
      </c>
      <c r="M169" s="48">
        <f t="shared" si="47"/>
        <v>0.17335542337902538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3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0.17794974498286584</v>
      </c>
      <c r="H170" s="48">
        <f t="shared" si="47"/>
        <v>0.17794974498286584</v>
      </c>
      <c r="I170" s="48">
        <f t="shared" si="47"/>
        <v>0.17794974498286584</v>
      </c>
      <c r="J170" s="48">
        <f t="shared" si="47"/>
        <v>0.17794974498286584</v>
      </c>
      <c r="K170" s="48">
        <f t="shared" si="47"/>
        <v>0.17794974498286584</v>
      </c>
      <c r="L170" s="48">
        <f t="shared" si="47"/>
        <v>0.17794974498286584</v>
      </c>
      <c r="M170" s="48">
        <f t="shared" si="47"/>
        <v>0.17794974498286584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3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4.6438770495822568E-2</v>
      </c>
      <c r="H171" s="48">
        <f t="shared" si="47"/>
        <v>4.6438770495822568E-2</v>
      </c>
      <c r="I171" s="48">
        <f t="shared" si="47"/>
        <v>4.6438770495822568E-2</v>
      </c>
      <c r="J171" s="48">
        <f t="shared" si="47"/>
        <v>4.6438770495822568E-2</v>
      </c>
      <c r="K171" s="48">
        <f t="shared" si="47"/>
        <v>4.6438770495822568E-2</v>
      </c>
      <c r="L171" s="48">
        <f t="shared" si="47"/>
        <v>4.6438770495822568E-2</v>
      </c>
      <c r="M171" s="48">
        <f t="shared" si="47"/>
        <v>4.6438770495822568E-2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3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1.635269041024201E-2</v>
      </c>
      <c r="H172" s="48">
        <f t="shared" si="47"/>
        <v>1.635269041024201E-2</v>
      </c>
      <c r="I172" s="48">
        <f t="shared" si="47"/>
        <v>1.635269041024201E-2</v>
      </c>
      <c r="J172" s="48">
        <f t="shared" si="47"/>
        <v>1.635269041024201E-2</v>
      </c>
      <c r="K172" s="48">
        <f t="shared" si="47"/>
        <v>1.635269041024201E-2</v>
      </c>
      <c r="L172" s="48">
        <f t="shared" si="47"/>
        <v>1.635269041024201E-2</v>
      </c>
      <c r="M172" s="48">
        <f t="shared" si="47"/>
        <v>1.635269041024201E-2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3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1.6759843612100256E-3</v>
      </c>
      <c r="H173" s="48">
        <f t="shared" si="47"/>
        <v>1.6759843612100256E-3</v>
      </c>
      <c r="I173" s="48">
        <f t="shared" si="47"/>
        <v>1.6759843612100256E-3</v>
      </c>
      <c r="J173" s="48">
        <f t="shared" si="47"/>
        <v>1.6759843612100256E-3</v>
      </c>
      <c r="K173" s="48">
        <f t="shared" si="47"/>
        <v>1.6759843612100256E-3</v>
      </c>
      <c r="L173" s="48">
        <f t="shared" si="47"/>
        <v>1.6759843612100256E-3</v>
      </c>
      <c r="M173" s="48">
        <f t="shared" si="47"/>
        <v>1.6759843612100256E-3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3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0.15689125870107565</v>
      </c>
      <c r="H174" s="48">
        <f t="shared" si="47"/>
        <v>0.15689125870107565</v>
      </c>
      <c r="I174" s="48">
        <f t="shared" si="47"/>
        <v>0.15689125870107565</v>
      </c>
      <c r="J174" s="48">
        <f t="shared" si="47"/>
        <v>0.15689125870107565</v>
      </c>
      <c r="K174" s="48">
        <f t="shared" si="47"/>
        <v>0.15689125870107565</v>
      </c>
      <c r="L174" s="48">
        <f t="shared" si="47"/>
        <v>0.15689125870107565</v>
      </c>
      <c r="M174" s="48">
        <f t="shared" si="47"/>
        <v>0.15689125870107565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3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5.232124614429616E-2</v>
      </c>
      <c r="H175" s="48">
        <f t="shared" si="47"/>
        <v>5.232124614429616E-2</v>
      </c>
      <c r="I175" s="48">
        <f t="shared" si="47"/>
        <v>5.232124614429616E-2</v>
      </c>
      <c r="J175" s="48">
        <f t="shared" si="47"/>
        <v>5.232124614429616E-2</v>
      </c>
      <c r="K175" s="48">
        <f t="shared" si="47"/>
        <v>5.232124614429616E-2</v>
      </c>
      <c r="L175" s="48">
        <f t="shared" si="47"/>
        <v>5.232124614429616E-2</v>
      </c>
      <c r="M175" s="48">
        <f t="shared" si="47"/>
        <v>5.232124614429616E-2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3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-0.19667267056573109</v>
      </c>
      <c r="H176" s="48">
        <f t="shared" si="47"/>
        <v>-0.19667267056573109</v>
      </c>
      <c r="I176" s="48">
        <f t="shared" si="47"/>
        <v>-0.19667267056573109</v>
      </c>
      <c r="J176" s="48">
        <f t="shared" si="47"/>
        <v>-0.19667267056573109</v>
      </c>
      <c r="K176" s="48">
        <f t="shared" si="47"/>
        <v>-0.19667267056573109</v>
      </c>
      <c r="L176" s="48">
        <f t="shared" si="47"/>
        <v>-0.19667267056573109</v>
      </c>
      <c r="M176" s="48">
        <f t="shared" si="47"/>
        <v>-0.19667267056573109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3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0.28298512422600247</v>
      </c>
      <c r="H177" s="48">
        <f t="shared" si="47"/>
        <v>0.28298512422600247</v>
      </c>
      <c r="I177" s="48">
        <f t="shared" si="47"/>
        <v>0.28298512422600247</v>
      </c>
      <c r="J177" s="48">
        <f t="shared" si="47"/>
        <v>0.28298512422600247</v>
      </c>
      <c r="K177" s="48">
        <f t="shared" si="47"/>
        <v>0.28298512422600247</v>
      </c>
      <c r="L177" s="48">
        <f t="shared" si="47"/>
        <v>0.28298512422600247</v>
      </c>
      <c r="M177" s="48">
        <f t="shared" si="47"/>
        <v>0.28298512422600247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3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1.6313376266207182E-2</v>
      </c>
      <c r="H178" s="48">
        <f t="shared" si="47"/>
        <v>1.6313376266207182E-2</v>
      </c>
      <c r="I178" s="48">
        <f t="shared" si="47"/>
        <v>1.6313376266207182E-2</v>
      </c>
      <c r="J178" s="48">
        <f t="shared" si="47"/>
        <v>1.6313376266207182E-2</v>
      </c>
      <c r="K178" s="48">
        <f t="shared" si="47"/>
        <v>1.6313376266207182E-2</v>
      </c>
      <c r="L178" s="48">
        <f t="shared" si="47"/>
        <v>1.6313376266207182E-2</v>
      </c>
      <c r="M178" s="48">
        <f t="shared" si="47"/>
        <v>1.6313376266207182E-2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3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1.6955520913816583E-2</v>
      </c>
      <c r="H179" s="48">
        <f t="shared" si="47"/>
        <v>1.6955520913816583E-2</v>
      </c>
      <c r="I179" s="48">
        <f t="shared" si="47"/>
        <v>1.6955520913816583E-2</v>
      </c>
      <c r="J179" s="48">
        <f t="shared" si="47"/>
        <v>1.6955520913816583E-2</v>
      </c>
      <c r="K179" s="48">
        <f t="shared" si="47"/>
        <v>1.6955520913816583E-2</v>
      </c>
      <c r="L179" s="48">
        <f t="shared" si="47"/>
        <v>1.6955520913816583E-2</v>
      </c>
      <c r="M179" s="48">
        <f t="shared" si="47"/>
        <v>1.6955520913816583E-2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3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3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3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3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3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3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3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3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3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3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3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3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3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3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3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3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3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3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3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3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3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3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3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3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3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3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3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-0.33086746476936618</v>
      </c>
      <c r="H206" s="47">
        <f t="shared" ref="H206:K209" si="51">LN(H152/H184)</f>
        <v>-0.36959915976453778</v>
      </c>
      <c r="I206" s="47">
        <f t="shared" si="51"/>
        <v>-0.35819945863315061</v>
      </c>
      <c r="J206" s="47">
        <f t="shared" si="51"/>
        <v>-0.35402139544751315</v>
      </c>
      <c r="K206" s="47">
        <f t="shared" si="51"/>
        <v>-1.1357789263875484</v>
      </c>
      <c r="L206" s="47">
        <f t="shared" ref="L206:M206" si="52">LN(L152/L184)</f>
        <v>-1.1357789263875484</v>
      </c>
      <c r="M206" s="47">
        <f t="shared" si="52"/>
        <v>-1.1357789263875484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3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-0.54117065926577823</v>
      </c>
      <c r="H207" s="47">
        <f t="shared" si="51"/>
        <v>-0.54006064602116188</v>
      </c>
      <c r="I207" s="47">
        <f t="shared" si="51"/>
        <v>-0.53587535321966606</v>
      </c>
      <c r="J207" s="47">
        <f t="shared" si="51"/>
        <v>-0.53235171296570205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3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-0.45318585197698569</v>
      </c>
      <c r="H208" s="47">
        <f t="shared" si="51"/>
        <v>-0.45318585197698569</v>
      </c>
      <c r="I208" s="47">
        <f t="shared" si="51"/>
        <v>-0.45318585197698569</v>
      </c>
      <c r="J208" s="47">
        <f t="shared" si="51"/>
        <v>-0.45318585197698569</v>
      </c>
      <c r="K208" s="47">
        <f t="shared" si="51"/>
        <v>-0.45318585197698569</v>
      </c>
      <c r="L208" s="47">
        <f t="shared" ref="L208:M208" si="54">LN(L154/L186)</f>
        <v>-0.45318585197698569</v>
      </c>
      <c r="M208" s="47">
        <f t="shared" si="54"/>
        <v>-0.45318585197698569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3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-0.5392101491426321</v>
      </c>
      <c r="H209" s="47">
        <f t="shared" si="51"/>
        <v>-0.53233600562805716</v>
      </c>
      <c r="I209" s="47">
        <f t="shared" si="51"/>
        <v>-0.52450322286472983</v>
      </c>
      <c r="J209" s="47">
        <f t="shared" si="51"/>
        <v>-0.53213270475121344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3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5.4736639621453885E-2</v>
      </c>
      <c r="H210" s="47">
        <f t="shared" ref="H210:K213" si="56">H206*H206/2</f>
        <v>6.8301769449326158E-2</v>
      </c>
      <c r="I210" s="47">
        <f t="shared" si="56"/>
        <v>6.4153426082541085E-2</v>
      </c>
      <c r="J210" s="47">
        <f t="shared" si="56"/>
        <v>6.2665574217302247E-2</v>
      </c>
      <c r="K210" s="47">
        <f t="shared" si="56"/>
        <v>0.64499688481302608</v>
      </c>
      <c r="L210" s="47">
        <f t="shared" ref="L210:M210" si="57">L206*L206/2</f>
        <v>0.64499688481302608</v>
      </c>
      <c r="M210" s="47">
        <f t="shared" si="57"/>
        <v>0.64499688481302608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3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0.14643284122507852</v>
      </c>
      <c r="H211" s="47">
        <f t="shared" si="56"/>
        <v>0.14583275069039736</v>
      </c>
      <c r="I211" s="47">
        <f t="shared" si="56"/>
        <v>0.14358119709415093</v>
      </c>
      <c r="J211" s="47">
        <f t="shared" si="56"/>
        <v>0.1416991731487586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3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0.10268870821605319</v>
      </c>
      <c r="H212" s="47">
        <f t="shared" si="56"/>
        <v>0.10268870821605319</v>
      </c>
      <c r="I212" s="47">
        <f t="shared" si="56"/>
        <v>0.10268870821605319</v>
      </c>
      <c r="J212" s="47">
        <f t="shared" si="56"/>
        <v>0.10268870821605319</v>
      </c>
      <c r="K212" s="47">
        <f t="shared" si="56"/>
        <v>0.10268870821605319</v>
      </c>
      <c r="L212" s="47">
        <f t="shared" ref="L212:M212" si="59">L208*L208/2</f>
        <v>0.10268870821605319</v>
      </c>
      <c r="M212" s="47">
        <f t="shared" si="59"/>
        <v>0.10268870821605319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3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0.14537379246920978</v>
      </c>
      <c r="H213" s="47">
        <f t="shared" si="56"/>
        <v>0.14169081144401746</v>
      </c>
      <c r="I213" s="47">
        <f t="shared" si="56"/>
        <v>0.13755181539774422</v>
      </c>
      <c r="J213" s="47">
        <f t="shared" si="56"/>
        <v>0.14158260773292106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3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0.17905576403883455</v>
      </c>
      <c r="H214" s="47">
        <f t="shared" ref="H214:K214" si="61">H206*H207</f>
        <v>0.19960596099131489</v>
      </c>
      <c r="I214" s="47">
        <f t="shared" si="61"/>
        <v>0.19195026141813273</v>
      </c>
      <c r="J214" s="47">
        <f t="shared" si="61"/>
        <v>0.18846389629299182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3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0.14994445391297051</v>
      </c>
      <c r="H215" s="47">
        <f t="shared" ref="H215:K215" si="63">H206*H208</f>
        <v>0.16749711010787011</v>
      </c>
      <c r="I215" s="47">
        <f t="shared" si="63"/>
        <v>0.1623309268383594</v>
      </c>
      <c r="J215" s="47">
        <f t="shared" si="63"/>
        <v>0.1604374877139626</v>
      </c>
      <c r="K215" s="47">
        <f t="shared" si="63"/>
        <v>0.51471894041244726</v>
      </c>
      <c r="L215" s="47">
        <f t="shared" ref="L215:M215" si="64">L206*L208</f>
        <v>0.51471894041244726</v>
      </c>
      <c r="M215" s="47">
        <f t="shared" si="64"/>
        <v>0.51471894041244726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3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0.17840709502473451</v>
      </c>
      <c r="H216" s="47">
        <f t="shared" ref="H216:K216" si="65">H206*H209</f>
        <v>0.19675094039254018</v>
      </c>
      <c r="I216" s="47">
        <f t="shared" si="65"/>
        <v>0.18787677048148896</v>
      </c>
      <c r="J216" s="47">
        <f t="shared" si="65"/>
        <v>0.1883863626992841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3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0.24525088628430874</v>
      </c>
      <c r="H217" s="47">
        <f t="shared" ref="H217:K217" si="67">H207*H208</f>
        <v>0.24474784398634153</v>
      </c>
      <c r="I217" s="47">
        <f t="shared" si="67"/>
        <v>0.24285112850232252</v>
      </c>
      <c r="J217" s="47">
        <f t="shared" si="67"/>
        <v>0.24125426459176944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3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0.29180471189431684</v>
      </c>
      <c r="H218" s="47">
        <f t="shared" ref="H218:K218" si="69">H207*H209</f>
        <v>0.28749372709981341</v>
      </c>
      <c r="I218" s="47">
        <f t="shared" si="69"/>
        <v>0.28106834981749035</v>
      </c>
      <c r="J218" s="47">
        <f t="shared" si="69"/>
        <v>0.28328175689938068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3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0.24436241083384125</v>
      </c>
      <c r="H219" s="47">
        <f t="shared" ref="H219:K219" si="71">H208*H209</f>
        <v>0.24124714624857654</v>
      </c>
      <c r="I219" s="47">
        <f t="shared" si="71"/>
        <v>0.23769743991862738</v>
      </c>
      <c r="J219" s="47">
        <f t="shared" si="71"/>
        <v>0.24115501316749643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3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-1.2305569403593488</v>
      </c>
      <c r="H220" s="47">
        <f t="shared" ref="H220:K220" si="73">LN(H156/H198)</f>
        <v>-1.1964795708513076</v>
      </c>
      <c r="I220" s="47">
        <f t="shared" si="73"/>
        <v>-1.1675856826476938</v>
      </c>
      <c r="J220" s="47">
        <f t="shared" si="73"/>
        <v>-1.1427664341865857</v>
      </c>
      <c r="K220" s="47">
        <f t="shared" si="73"/>
        <v>-1.1999248480265343</v>
      </c>
      <c r="L220" s="47">
        <f t="shared" ref="L220:M220" si="74">LN(L156/L198)</f>
        <v>-1.2570832618664829</v>
      </c>
      <c r="M220" s="47">
        <f t="shared" si="74"/>
        <v>-1.3142416757064315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3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0.26756862568735507</v>
      </c>
      <c r="H221" s="30">
        <f t="shared" ref="H221:K221" si="75">H157/H199</f>
        <v>0.26756862568735507</v>
      </c>
      <c r="I221" s="30">
        <f t="shared" si="75"/>
        <v>0.26756862568735507</v>
      </c>
      <c r="J221" s="30">
        <f t="shared" si="75"/>
        <v>0.26756862568735507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3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3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3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3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3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12.814549938113361</v>
      </c>
      <c r="H226" s="49">
        <f t="shared" ref="H226:K241" si="80">H162*H205</f>
        <v>12.814549938113361</v>
      </c>
      <c r="I226" s="49">
        <f t="shared" si="80"/>
        <v>12.814549938113361</v>
      </c>
      <c r="J226" s="49">
        <f t="shared" si="80"/>
        <v>12.814549938113361</v>
      </c>
      <c r="K226" s="49">
        <f t="shared" si="80"/>
        <v>12.814549938113361</v>
      </c>
      <c r="L226" s="49">
        <f t="shared" ref="L226:M226" si="81">L162*L205</f>
        <v>12.814549938113361</v>
      </c>
      <c r="M226" s="49">
        <f t="shared" si="81"/>
        <v>12.814549938113361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3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-0.20937450488929052</v>
      </c>
      <c r="H227" s="49">
        <f t="shared" si="80"/>
        <v>-0.23388410564072679</v>
      </c>
      <c r="I227" s="49">
        <f t="shared" si="80"/>
        <v>-0.22667032056236069</v>
      </c>
      <c r="J227" s="49">
        <f t="shared" si="80"/>
        <v>-0.22402642231295503</v>
      </c>
      <c r="K227" s="49">
        <f t="shared" si="80"/>
        <v>-0.71872630493253697</v>
      </c>
      <c r="L227" s="49">
        <f t="shared" ref="L227:M227" si="82">L163*L206</f>
        <v>-0.71872630493253697</v>
      </c>
      <c r="M227" s="49">
        <f t="shared" si="82"/>
        <v>-0.71872630493253697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3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-0.23842432661566756</v>
      </c>
      <c r="H228" s="49">
        <f t="shared" si="80"/>
        <v>-0.23793528650262599</v>
      </c>
      <c r="I228" s="49">
        <f t="shared" si="80"/>
        <v>-0.23609136610376347</v>
      </c>
      <c r="J228" s="49">
        <f t="shared" si="80"/>
        <v>-0.23453895090829252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3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-7.2884090319695949E-2</v>
      </c>
      <c r="H229" s="49">
        <f t="shared" si="80"/>
        <v>-7.2884090319695949E-2</v>
      </c>
      <c r="I229" s="49">
        <f t="shared" si="80"/>
        <v>-7.2884090319695949E-2</v>
      </c>
      <c r="J229" s="49">
        <f t="shared" si="80"/>
        <v>-7.2884090319695949E-2</v>
      </c>
      <c r="K229" s="49">
        <f t="shared" si="80"/>
        <v>-7.2884090319695949E-2</v>
      </c>
      <c r="L229" s="49">
        <f t="shared" ref="L229:M229" si="84">L165*L208</f>
        <v>-7.2884090319695949E-2</v>
      </c>
      <c r="M229" s="49">
        <f t="shared" si="84"/>
        <v>-7.2884090319695949E-2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3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-5.9347166238634598E-2</v>
      </c>
      <c r="H230" s="49">
        <f t="shared" si="80"/>
        <v>-5.8590576366288186E-2</v>
      </c>
      <c r="I230" s="49">
        <f t="shared" si="80"/>
        <v>-5.7728475640800296E-2</v>
      </c>
      <c r="J230" s="49">
        <f t="shared" si="80"/>
        <v>-5.8568200431870616E-2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3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7.2347477834605123E-3</v>
      </c>
      <c r="H231" s="49">
        <f t="shared" si="80"/>
        <v>9.0277020757456965E-3</v>
      </c>
      <c r="I231" s="49">
        <f t="shared" si="80"/>
        <v>8.4793999113191056E-3</v>
      </c>
      <c r="J231" s="49">
        <f t="shared" si="80"/>
        <v>8.2827449274070989E-3</v>
      </c>
      <c r="K231" s="49">
        <f t="shared" si="80"/>
        <v>8.525166716502261E-2</v>
      </c>
      <c r="L231" s="49">
        <f t="shared" ref="L231:M231" si="86">L167*L210</f>
        <v>8.525166716502261E-2</v>
      </c>
      <c r="M231" s="49">
        <f t="shared" si="86"/>
        <v>8.525166716502261E-2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3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-5.5760556972512282E-2</v>
      </c>
      <c r="H232" s="49">
        <f t="shared" si="80"/>
        <v>-5.5532046877592237E-2</v>
      </c>
      <c r="I232" s="49">
        <f t="shared" si="80"/>
        <v>-5.4674671704579056E-2</v>
      </c>
      <c r="J232" s="49">
        <f t="shared" si="80"/>
        <v>-5.3958010725028871E-2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3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1.7801644489039103E-2</v>
      </c>
      <c r="H233" s="49">
        <f t="shared" si="80"/>
        <v>1.7801644489039103E-2</v>
      </c>
      <c r="I233" s="49">
        <f t="shared" si="80"/>
        <v>1.7801644489039103E-2</v>
      </c>
      <c r="J233" s="49">
        <f t="shared" si="80"/>
        <v>1.7801644489039103E-2</v>
      </c>
      <c r="K233" s="49">
        <f t="shared" si="80"/>
        <v>1.7801644489039103E-2</v>
      </c>
      <c r="L233" s="49">
        <f t="shared" ref="L233:M233" si="88">L169*L212</f>
        <v>1.7801644489039103E-2</v>
      </c>
      <c r="M233" s="49">
        <f t="shared" si="88"/>
        <v>1.7801644489039103E-2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3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2.5869229297087942E-2</v>
      </c>
      <c r="H234" s="49">
        <f t="shared" si="80"/>
        <v>2.5213843762878236E-2</v>
      </c>
      <c r="I234" s="49">
        <f t="shared" si="80"/>
        <v>2.4477310471958821E-2</v>
      </c>
      <c r="J234" s="49">
        <f t="shared" si="80"/>
        <v>2.5194588940082429E-2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3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8.3151295321535982E-3</v>
      </c>
      <c r="H235" s="49">
        <f t="shared" si="80"/>
        <v>9.2694554120737842E-3</v>
      </c>
      <c r="I235" s="49">
        <f t="shared" si="80"/>
        <v>8.9139341366098121E-3</v>
      </c>
      <c r="J235" s="49">
        <f t="shared" si="80"/>
        <v>8.7520316266987523E-3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3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2.451995233571608E-3</v>
      </c>
      <c r="H236" s="49">
        <f t="shared" si="80"/>
        <v>2.7390283862042176E-3</v>
      </c>
      <c r="I236" s="49">
        <f t="shared" si="80"/>
        <v>2.654547390595337E-3</v>
      </c>
      <c r="J236" s="49">
        <f t="shared" si="80"/>
        <v>2.6235845667834366E-3</v>
      </c>
      <c r="K236" s="49">
        <f t="shared" si="80"/>
        <v>8.4170394808525551E-3</v>
      </c>
      <c r="L236" s="49">
        <f t="shared" ref="L236:M236" si="91">L172*L215</f>
        <v>8.4170394808525551E-3</v>
      </c>
      <c r="M236" s="49">
        <f t="shared" si="91"/>
        <v>8.4170394808525551E-3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3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2.9900750119036602E-4</v>
      </c>
      <c r="H237" s="49">
        <f t="shared" si="80"/>
        <v>3.2975149915126327E-4</v>
      </c>
      <c r="I237" s="49">
        <f t="shared" si="80"/>
        <v>3.1487852916162087E-4</v>
      </c>
      <c r="J237" s="49">
        <f t="shared" si="80"/>
        <v>3.1573259774923985E-4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3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3.847772024669957E-2</v>
      </c>
      <c r="H238" s="49">
        <f t="shared" si="80"/>
        <v>3.8398797307391611E-2</v>
      </c>
      <c r="I238" s="49">
        <f t="shared" si="80"/>
        <v>3.8101219227706047E-2</v>
      </c>
      <c r="J238" s="49">
        <f t="shared" si="80"/>
        <v>3.7850685238805054E-2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3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1.5267586157087976E-2</v>
      </c>
      <c r="H239" s="49">
        <f t="shared" si="80"/>
        <v>1.5042030060530445E-2</v>
      </c>
      <c r="I239" s="49">
        <f t="shared" si="80"/>
        <v>1.4705846314172051E-2</v>
      </c>
      <c r="J239" s="49">
        <f t="shared" si="80"/>
        <v>1.4821654530921163E-2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3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-4.8059407924571897E-2</v>
      </c>
      <c r="H240" s="49">
        <f t="shared" si="80"/>
        <v>-4.7446720519069042E-2</v>
      </c>
      <c r="I240" s="49">
        <f t="shared" si="80"/>
        <v>-4.6748590295433864E-2</v>
      </c>
      <c r="J240" s="49">
        <f t="shared" si="80"/>
        <v>-4.7428600459965574E-2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3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-0.34822930863475982</v>
      </c>
      <c r="H241" s="49">
        <f t="shared" si="80"/>
        <v>-0.33858591999123139</v>
      </c>
      <c r="I241" s="49">
        <f t="shared" si="80"/>
        <v>-0.33040937944855953</v>
      </c>
      <c r="J241" s="49">
        <f t="shared" si="80"/>
        <v>-0.32338590133959683</v>
      </c>
      <c r="K241" s="49">
        <f t="shared" si="80"/>
        <v>-0.33956088218065594</v>
      </c>
      <c r="L241" s="49">
        <f t="shared" ref="L241:M241" si="96">L177*L220</f>
        <v>-0.35573586302171506</v>
      </c>
      <c r="M241" s="49">
        <f t="shared" si="96"/>
        <v>-0.37191084386277418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3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4.3649476678697717E-3</v>
      </c>
      <c r="H242" s="49">
        <f t="shared" ref="H242:K243" si="97">H178*H221</f>
        <v>4.3649476678697717E-3</v>
      </c>
      <c r="I242" s="49">
        <f t="shared" si="97"/>
        <v>4.3649476678697717E-3</v>
      </c>
      <c r="J242" s="49">
        <f t="shared" si="97"/>
        <v>4.3649476678697717E-3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3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0.23737729279343217</v>
      </c>
      <c r="H243" s="49">
        <f t="shared" si="97"/>
        <v>0.25433281370724875</v>
      </c>
      <c r="I243" s="49">
        <f t="shared" si="97"/>
        <v>0.27128833462106533</v>
      </c>
      <c r="J243" s="49">
        <f t="shared" si="97"/>
        <v>0.28824385553488191</v>
      </c>
      <c r="K243" s="49">
        <f t="shared" si="97"/>
        <v>0.30519937644869849</v>
      </c>
      <c r="L243" s="49">
        <f t="shared" ref="L243:M243" si="99">L179*L222</f>
        <v>0.32215489736251507</v>
      </c>
      <c r="M243" s="49">
        <f t="shared" si="99"/>
        <v>0.33911041827633165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3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3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12.139929877219821</v>
      </c>
      <c r="H245" s="43">
        <f t="shared" ref="H245:K245" si="100">SUM(H226:H243)</f>
        <v>12.146211206264265</v>
      </c>
      <c r="I245" s="43">
        <f t="shared" si="100"/>
        <v>12.180445106797663</v>
      </c>
      <c r="J245" s="43">
        <f t="shared" si="100"/>
        <v>12.208011231736192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3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187199.44480197606</v>
      </c>
      <c r="H246" s="7">
        <f t="shared" ref="H246:K246" si="102">EXP(H245)</f>
        <v>188379.00684205722</v>
      </c>
      <c r="I246" s="7">
        <f t="shared" si="102"/>
        <v>194939.61185661211</v>
      </c>
      <c r="J246" s="7">
        <f t="shared" si="102"/>
        <v>200388.09329581697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3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146.62487924155016</v>
      </c>
      <c r="H247" s="20">
        <f t="shared" ref="H247:K247" si="104">H137</f>
        <v>150.2765830744703</v>
      </c>
      <c r="I247" s="20">
        <f t="shared" si="104"/>
        <v>158.6304817546316</v>
      </c>
      <c r="J247" s="20">
        <f t="shared" si="104"/>
        <v>164.79091415258668</v>
      </c>
      <c r="K247" s="20">
        <f t="shared" si="104"/>
        <v>164.79091415258668</v>
      </c>
      <c r="L247" s="20">
        <f t="shared" ref="L247:M247" si="105">L137</f>
        <v>164.79091415258668</v>
      </c>
      <c r="M247" s="20">
        <f t="shared" si="105"/>
        <v>164.79091415258668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3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27448095.988174975</v>
      </c>
      <c r="H248" s="7">
        <f t="shared" ref="H248:K248" si="106">H246*H247</f>
        <v>28308953.471186619</v>
      </c>
      <c r="I248" s="7">
        <f t="shared" si="106"/>
        <v>30923364.541875273</v>
      </c>
      <c r="J248" s="7">
        <f t="shared" si="106"/>
        <v>33022137.079511505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3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3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3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3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35">
      <c r="A253" s="300" t="s">
        <v>151</v>
      </c>
      <c r="B253" s="300"/>
      <c r="C253" s="300"/>
      <c r="D253" s="300"/>
      <c r="E253" s="300"/>
      <c r="F253" s="300"/>
      <c r="G253" s="300"/>
      <c r="H253" s="300"/>
      <c r="I253" s="300"/>
      <c r="J253" s="300"/>
      <c r="K253" s="300"/>
      <c r="L253" s="300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3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3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3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26228724.385026172</v>
      </c>
      <c r="H256" s="59">
        <f t="shared" ref="H256:K256" si="109">H121</f>
        <v>26271484.3748089</v>
      </c>
      <c r="I256" s="59">
        <f t="shared" si="109"/>
        <v>29210713.800433308</v>
      </c>
      <c r="J256" s="59">
        <f t="shared" si="109"/>
        <v>31668433.198113672</v>
      </c>
      <c r="K256" s="59">
        <f t="shared" si="109"/>
        <v>7008499.3253850564</v>
      </c>
      <c r="L256" s="59">
        <f t="shared" ref="L256:M256" si="110">L121</f>
        <v>6686809.2063498832</v>
      </c>
      <c r="M256" s="59">
        <f t="shared" si="110"/>
        <v>6379884.6637784233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3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:H257" si="111">G248</f>
        <v>27448095.988174975</v>
      </c>
      <c r="H257" s="59">
        <f t="shared" si="111"/>
        <v>28308953.471186619</v>
      </c>
      <c r="I257" s="59">
        <f t="shared" ref="I257:K257" si="112">I248</f>
        <v>30923364.541875273</v>
      </c>
      <c r="J257" s="59">
        <f t="shared" si="112"/>
        <v>33022137.079511505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3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-1219371.6031488031</v>
      </c>
      <c r="H258" s="24">
        <f t="shared" ref="H258:K258" si="115">H256-H257</f>
        <v>-2037469.0963777192</v>
      </c>
      <c r="I258" s="24">
        <f t="shared" si="115"/>
        <v>-1712650.7414419651</v>
      </c>
      <c r="J258" s="24">
        <f t="shared" si="115"/>
        <v>-1353703.8813978322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3">
      <c r="A259" s="37"/>
      <c r="B259" s="37">
        <v>240</v>
      </c>
      <c r="C259" s="3" t="s">
        <v>153</v>
      </c>
      <c r="F259" s="255"/>
      <c r="G259" s="60">
        <f>G258/G257</f>
        <v>-4.442463344904235E-2</v>
      </c>
      <c r="H259" s="60">
        <f t="shared" ref="H259:K259" si="117">H258/H257</f>
        <v>-7.1972603948481997E-2</v>
      </c>
      <c r="I259" s="60">
        <f t="shared" si="117"/>
        <v>-5.5383712827326959E-2</v>
      </c>
      <c r="J259" s="60">
        <f t="shared" si="117"/>
        <v>-4.0993830233892831E-2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3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3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-4.5441641854622634E-2</v>
      </c>
      <c r="H261" s="61">
        <f t="shared" si="119"/>
        <v>-7.4694025024451369E-2</v>
      </c>
      <c r="I261" s="61">
        <f t="shared" si="119"/>
        <v>-5.6976479267039935E-2</v>
      </c>
      <c r="J261" s="61">
        <f t="shared" si="119"/>
        <v>-4.1857770578093451E-2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3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3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3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3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3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3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3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3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3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3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3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3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3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3">
      <c r="E275" s="9"/>
      <c r="N275" s="9"/>
      <c r="Q275" s="287">
        <f>Q261-$G$261</f>
        <v>1.3395637780200878E-3</v>
      </c>
      <c r="R275" s="287">
        <f t="shared" ref="R275:BW275" si="121">R261-$G$261</f>
        <v>0.66461363927483419</v>
      </c>
      <c r="S275" s="287">
        <f t="shared" si="121"/>
        <v>7.3489326904830565E-2</v>
      </c>
      <c r="T275" s="287">
        <f t="shared" si="121"/>
        <v>0</v>
      </c>
      <c r="U275" s="287">
        <f t="shared" si="121"/>
        <v>-2.5382623656018052E-3</v>
      </c>
      <c r="V275" s="287">
        <f t="shared" si="121"/>
        <v>-8.4679808968845999E-2</v>
      </c>
      <c r="W275" s="287">
        <f t="shared" si="121"/>
        <v>0.15532359038188401</v>
      </c>
      <c r="X275" s="287">
        <f t="shared" si="121"/>
        <v>-6.6409956943181553E-2</v>
      </c>
      <c r="Y275" s="287">
        <f t="shared" si="121"/>
        <v>0.2339738344702624</v>
      </c>
      <c r="Z275" s="287">
        <f t="shared" si="121"/>
        <v>-0.50204566282694318</v>
      </c>
      <c r="AA275" s="287">
        <f t="shared" si="121"/>
        <v>-0.54467944644508326</v>
      </c>
      <c r="AB275" s="287">
        <f t="shared" si="121"/>
        <v>2.9205055462205726E-3</v>
      </c>
      <c r="AC275" s="287">
        <f t="shared" si="121"/>
        <v>-9.8188517948338161E-2</v>
      </c>
      <c r="AD275" s="287">
        <f t="shared" si="121"/>
        <v>-0.20854137821684576</v>
      </c>
      <c r="AE275" s="287">
        <f t="shared" si="121"/>
        <v>-0.10772657944288883</v>
      </c>
      <c r="AF275" s="287">
        <f t="shared" si="121"/>
        <v>-5.2366590270563888E-2</v>
      </c>
      <c r="AG275" s="287">
        <f t="shared" si="121"/>
        <v>3.0253927776876487E-2</v>
      </c>
      <c r="AH275" s="287">
        <f t="shared" si="121"/>
        <v>-0.21005572299301378</v>
      </c>
      <c r="AI275" s="287">
        <f t="shared" si="121"/>
        <v>-0.19221884205990775</v>
      </c>
      <c r="AJ275" s="287">
        <f t="shared" si="121"/>
        <v>6.1831859866327082E-2</v>
      </c>
      <c r="AK275" s="287">
        <f t="shared" si="121"/>
        <v>-6.8103490165067393E-2</v>
      </c>
      <c r="AL275" s="287">
        <f t="shared" si="121"/>
        <v>7.5683781628341246E-2</v>
      </c>
      <c r="AM275" s="287">
        <f t="shared" si="121"/>
        <v>-0.29995059843598909</v>
      </c>
      <c r="AN275" s="287">
        <f t="shared" si="121"/>
        <v>-0.29257562484443572</v>
      </c>
      <c r="AO275" s="287">
        <f t="shared" si="121"/>
        <v>-0.27094140131203981</v>
      </c>
      <c r="AP275" s="287">
        <f t="shared" si="121"/>
        <v>-0.13409694420820109</v>
      </c>
      <c r="AQ275" s="287">
        <f t="shared" si="121"/>
        <v>-0.618204707887413</v>
      </c>
      <c r="AR275" s="287">
        <f t="shared" si="121"/>
        <v>0.20665797264740884</v>
      </c>
      <c r="AS275" s="287">
        <f t="shared" si="121"/>
        <v>0.24362226631334444</v>
      </c>
      <c r="AT275" s="287">
        <f t="shared" si="121"/>
        <v>-2.2759839091670446E-2</v>
      </c>
      <c r="AU275" s="287">
        <f t="shared" si="121"/>
        <v>-2.2662290296393904E-2</v>
      </c>
      <c r="AV275" s="287">
        <f t="shared" si="121"/>
        <v>-0.17524305993869668</v>
      </c>
      <c r="AW275" s="287">
        <f t="shared" si="121"/>
        <v>-0.22635653998365701</v>
      </c>
      <c r="AX275" s="287">
        <f t="shared" si="121"/>
        <v>-0.12313540055695021</v>
      </c>
      <c r="AY275" s="287">
        <f t="shared" si="121"/>
        <v>-1.763067133064284E-2</v>
      </c>
      <c r="AZ275" s="287">
        <f t="shared" si="121"/>
        <v>-0.19140809109974388</v>
      </c>
      <c r="BA275" s="287">
        <f t="shared" si="121"/>
        <v>-0.11326467406014931</v>
      </c>
      <c r="BB275" s="287">
        <f t="shared" si="121"/>
        <v>1.7029839770326276E-2</v>
      </c>
      <c r="BC275" s="287">
        <f t="shared" si="121"/>
        <v>-8.1415152559203674E-2</v>
      </c>
      <c r="BD275" s="287">
        <f t="shared" si="121"/>
        <v>5.9683786708210562E-2</v>
      </c>
      <c r="BE275" s="287">
        <f t="shared" si="121"/>
        <v>-0.3753925743373393</v>
      </c>
      <c r="BF275" s="287">
        <f t="shared" si="121"/>
        <v>7.1857830958920524E-3</v>
      </c>
      <c r="BG275" s="287">
        <f t="shared" si="121"/>
        <v>-0.24218107289736579</v>
      </c>
      <c r="BH275" s="287">
        <f t="shared" si="121"/>
        <v>2.6889621206323332E-2</v>
      </c>
      <c r="BI275" s="287">
        <f t="shared" si="121"/>
        <v>-0.12072929055327677</v>
      </c>
      <c r="BJ275" s="287">
        <f t="shared" si="121"/>
        <v>-0.19736075397105146</v>
      </c>
      <c r="BK275" s="287">
        <f t="shared" si="121"/>
        <v>3.9457424011476214E-2</v>
      </c>
      <c r="BL275" s="287">
        <f t="shared" si="121"/>
        <v>5.6445741490255955E-2</v>
      </c>
      <c r="BM275" s="287">
        <f t="shared" si="121"/>
        <v>2.0617196740772389E-2</v>
      </c>
      <c r="BN275" s="287">
        <f t="shared" si="121"/>
        <v>-0.10846948175195237</v>
      </c>
      <c r="BO275" s="287">
        <f t="shared" si="121"/>
        <v>-0.2130572631805383</v>
      </c>
      <c r="BP275" s="287">
        <f t="shared" si="121"/>
        <v>5.0243452253681792E-2</v>
      </c>
      <c r="BQ275" s="287">
        <f t="shared" si="121"/>
        <v>-9.7262944275649035E-3</v>
      </c>
      <c r="BR275" s="287">
        <f t="shared" si="121"/>
        <v>0.57407432341095888</v>
      </c>
      <c r="BS275" s="287">
        <f t="shared" si="121"/>
        <v>-0.42091183485502648</v>
      </c>
      <c r="BT275" s="287">
        <f t="shared" si="121"/>
        <v>8.0132519003314695E-2</v>
      </c>
      <c r="BU275" s="287">
        <f t="shared" si="121"/>
        <v>-0.25787204994482621</v>
      </c>
      <c r="BV275" s="287">
        <f t="shared" si="121"/>
        <v>7.4307367663192084E-2</v>
      </c>
      <c r="BW275" s="287">
        <f t="shared" si="121"/>
        <v>-6.5161513848420949E-2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3">
      <c r="G276" s="39"/>
    </row>
    <row r="277" spans="5:150" x14ac:dyDescent="0.3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1"/>
  <sheetViews>
    <sheetView workbookViewId="0">
      <selection activeCell="L26" sqref="L26"/>
    </sheetView>
  </sheetViews>
  <sheetFormatPr defaultRowHeight="13" x14ac:dyDescent="0.3"/>
  <cols>
    <col min="3" max="3" width="3.1796875" customWidth="1"/>
    <col min="4" max="4" width="31.54296875" customWidth="1"/>
    <col min="5" max="5" width="45.54296875" hidden="1" customWidth="1"/>
    <col min="6" max="9" width="16.54296875" bestFit="1" customWidth="1"/>
    <col min="10" max="10" width="13.54296875" bestFit="1" customWidth="1"/>
    <col min="11" max="11" width="13.7265625" customWidth="1"/>
    <col min="12" max="13" width="9.26953125" bestFit="1" customWidth="1"/>
    <col min="15" max="15" width="11" bestFit="1" customWidth="1"/>
  </cols>
  <sheetData>
    <row r="2" spans="3:17" ht="25.5" x14ac:dyDescent="0.65">
      <c r="C2" s="301" t="s">
        <v>168</v>
      </c>
      <c r="D2" s="301"/>
      <c r="E2" s="301"/>
      <c r="F2" s="301"/>
      <c r="G2" s="301"/>
      <c r="H2" s="301"/>
      <c r="I2" s="301"/>
      <c r="J2" s="301"/>
      <c r="K2" s="301"/>
    </row>
    <row r="3" spans="3:17" s="89" customFormat="1" ht="23.25" customHeight="1" x14ac:dyDescent="0.35">
      <c r="C3" s="307" t="str">
        <f>'Model Inputs'!F5</f>
        <v>Bluewater Power Distribution Corporation</v>
      </c>
      <c r="D3" s="307"/>
      <c r="E3" s="307"/>
      <c r="F3" s="307"/>
      <c r="G3" s="307"/>
      <c r="H3" s="307"/>
      <c r="I3" s="307"/>
      <c r="J3" s="307"/>
      <c r="K3" s="307"/>
    </row>
    <row r="4" spans="3:17" s="89" customFormat="1" ht="16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3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hidden="1" x14ac:dyDescent="0.3">
      <c r="F7" s="13" t="s">
        <v>185</v>
      </c>
      <c r="G7" s="13" t="s">
        <v>186</v>
      </c>
      <c r="H7" s="13" t="s">
        <v>187</v>
      </c>
      <c r="I7" s="37" t="s">
        <v>187</v>
      </c>
      <c r="J7" s="25"/>
      <c r="K7" s="25"/>
      <c r="L7" s="25"/>
      <c r="M7" s="25"/>
      <c r="N7" s="25"/>
      <c r="O7" s="25"/>
    </row>
    <row r="8" spans="3:17" hidden="1" x14ac:dyDescent="0.3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hidden="1" x14ac:dyDescent="0.3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3">
      <c r="D10" t="s">
        <v>162</v>
      </c>
      <c r="F10" s="288">
        <f>'Benchmarking Calculations'!G121</f>
        <v>26228724.385026172</v>
      </c>
      <c r="G10" s="288">
        <f>'Benchmarking Calculations'!H121</f>
        <v>26271484.3748089</v>
      </c>
      <c r="H10" s="288">
        <f>'Benchmarking Calculations'!I121</f>
        <v>29210713.800433308</v>
      </c>
      <c r="I10" s="289">
        <f>IF(ISNUMBER(I12),'Benchmarking Calculations'!J121,"na")</f>
        <v>31668433.198113672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3">
      <c r="F11" s="288"/>
      <c r="G11" s="288"/>
      <c r="H11" s="288"/>
      <c r="I11" s="288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3">
      <c r="D12" t="s">
        <v>150</v>
      </c>
      <c r="F12" s="288">
        <f>'Benchmarking Calculations'!G257</f>
        <v>27448095.988174975</v>
      </c>
      <c r="G12" s="288">
        <f>'Benchmarking Calculations'!H257</f>
        <v>28308953.471186619</v>
      </c>
      <c r="H12" s="288">
        <f>'Benchmarking Calculations'!I257</f>
        <v>30923364.541875273</v>
      </c>
      <c r="I12" s="289">
        <f>IF(ISNUMBER('Benchmarking Calculations'!J257),'Benchmarking Calculations'!J257,"na")</f>
        <v>33022137.079511505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3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3">
      <c r="D14" t="s">
        <v>160</v>
      </c>
      <c r="F14" s="83">
        <f t="shared" ref="F14:H14" si="1">F10-F12</f>
        <v>-1219371.6031488031</v>
      </c>
      <c r="G14" s="83">
        <f t="shared" si="1"/>
        <v>-2037469.0963777192</v>
      </c>
      <c r="H14" s="83">
        <f t="shared" si="1"/>
        <v>-1712650.7414419651</v>
      </c>
      <c r="I14" s="88">
        <f>IF(ISNUMBER(I12),I10-I12,"na")</f>
        <v>-1353703.8813978322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3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3">
      <c r="D16" s="10" t="s">
        <v>184</v>
      </c>
      <c r="E16" s="10"/>
      <c r="F16" s="185">
        <f>LN(F10/F12)</f>
        <v>-4.5441641854622634E-2</v>
      </c>
      <c r="G16" s="185">
        <f t="shared" ref="G16" si="3">LN(G10/G12)</f>
        <v>-7.4694025024451369E-2</v>
      </c>
      <c r="H16" s="185">
        <f>LN(H10/H12)</f>
        <v>-5.6976479267039935E-2</v>
      </c>
      <c r="I16" s="185">
        <f>IF(ISNUMBER(I14),LN(I10/I12),"na")</f>
        <v>-4.1857770578093451E-2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90"/>
    </row>
    <row r="17" spans="4:15" ht="18.75" customHeight="1" x14ac:dyDescent="0.3">
      <c r="F17" s="147"/>
      <c r="G17" s="147"/>
      <c r="H17" s="147"/>
      <c r="I17" s="147"/>
      <c r="J17" s="85"/>
      <c r="K17" s="85"/>
      <c r="L17" s="25"/>
      <c r="M17" s="25"/>
      <c r="N17" s="25"/>
      <c r="O17" s="290"/>
    </row>
    <row r="18" spans="4:15" ht="18.75" customHeight="1" x14ac:dyDescent="0.3">
      <c r="D18" t="s">
        <v>181</v>
      </c>
      <c r="F18" s="148"/>
      <c r="G18" s="148"/>
      <c r="H18" s="148">
        <f>AVERAGE(F16:H16)</f>
        <v>-5.9037382048704651E-2</v>
      </c>
      <c r="I18" s="292">
        <f>IF(ISNUMBER(I16),AVERAGE(G16:I16),"na")</f>
        <v>-5.784275828986158E-2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3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6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4.5" x14ac:dyDescent="0.35">
      <c r="E22" t="s">
        <v>182</v>
      </c>
      <c r="F22" s="129">
        <f>IF(F16&lt;-0.25,1,IF(F16&lt;-0.1,2,IF(F16&lt;0.1,3,IF(F16&lt;0.25,4,5))))</f>
        <v>3</v>
      </c>
      <c r="G22" s="129">
        <f t="shared" ref="G22" si="6">IF(G16&lt;-0.25,1,IF(G16&lt;-0.1,2,IF(G16&lt;0.1,3,IF(G16&lt;0.25,4,5))))</f>
        <v>3</v>
      </c>
      <c r="H22" s="129">
        <f>IF($H$16&lt;-0.25,1,IF($H$16&lt;-0.1,2,IF($H$16&lt;0.1,3,IF($H$16&lt;0.25,4,5))))</f>
        <v>3</v>
      </c>
      <c r="I22" s="129">
        <f>IF(ISNUMBER(I16),IF(I16&lt;-0.25,1,IF(I16&lt;-0.1,2,IF(I16&lt;0.1,3,IF(I16&lt;0.25,4,5)))),"na")</f>
        <v>3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4.5" x14ac:dyDescent="0.35">
      <c r="E24" t="s">
        <v>155</v>
      </c>
      <c r="H24" s="129">
        <f>IF(H$18&lt;-0.25,1,IF(H$18&lt;-0.1,2,IF(H$18&lt;0.1,3,IF(H$18&lt;0.25,4,5))))</f>
        <v>3</v>
      </c>
      <c r="I24" s="129">
        <f t="shared" ref="I24:K24" si="8">IF(I$18&lt;-0.25,1,IF(I$18&lt;-0.1,2,IF(I$18&lt;0.1,3,IF(I$18&lt;0.25,4,5))))</f>
        <v>3</v>
      </c>
      <c r="J24" s="129">
        <f t="shared" si="8"/>
        <v>5</v>
      </c>
      <c r="K24" s="129">
        <f t="shared" si="8"/>
        <v>5</v>
      </c>
    </row>
    <row r="26" spans="4:15" x14ac:dyDescent="0.3">
      <c r="H26" s="271"/>
      <c r="I26" s="271"/>
    </row>
    <row r="27" spans="4:15" x14ac:dyDescent="0.3">
      <c r="D27" s="10"/>
    </row>
    <row r="28" spans="4:15" x14ac:dyDescent="0.3">
      <c r="F28" s="23"/>
      <c r="G28" s="23"/>
      <c r="H28" s="23"/>
      <c r="I28" s="23"/>
    </row>
    <row r="29" spans="4:15" x14ac:dyDescent="0.3">
      <c r="F29" s="122"/>
      <c r="G29" s="122"/>
      <c r="H29" s="122"/>
      <c r="I29" s="122"/>
    </row>
    <row r="31" spans="4:15" x14ac:dyDescent="0.3">
      <c r="I31" s="23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Leslie Dugas</cp:lastModifiedBy>
  <cp:lastPrinted>2018-07-25T01:09:59Z</cp:lastPrinted>
  <dcterms:created xsi:type="dcterms:W3CDTF">2016-07-20T15:58:10Z</dcterms:created>
  <dcterms:modified xsi:type="dcterms:W3CDTF">2022-10-21T14:11:36Z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