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DRO/Rates and Load Exhibits/"/>
    </mc:Choice>
  </mc:AlternateContent>
  <xr:revisionPtr revIDLastSave="4" documentId="13_ncr:1_{0E8B5B52-4830-4728-BAA4-9E8C4DF7239B}" xr6:coauthVersionLast="47" xr6:coauthVersionMax="47" xr10:uidLastSave="{032AB059-7349-40C1-8FEB-18E8A6654FE7}"/>
  <bookViews>
    <workbookView xWindow="-120" yWindow="-120" windowWidth="29040" windowHeight="15840" xr2:uid="{8DE5933E-0895-4C2A-9410-5F50CE2ED234}"/>
  </bookViews>
  <sheets>
    <sheet name="Summary" sheetId="1" r:id="rId1"/>
  </sheets>
  <definedNames>
    <definedName name="_xlnm._FilterDatabase" localSheetId="0" hidden="1">Summary!$A$13:$R$13</definedName>
    <definedName name="A">#REF!</definedName>
    <definedName name="B">#REF!</definedName>
    <definedName name="JUNE">#REF!</definedName>
    <definedName name="_xlnm.Print_Area" localSheetId="0">Summary!$A$1:$R$42</definedName>
    <definedName name="st_cdet">#REF!</definedName>
    <definedName name="TotST">#REF!</definedName>
    <definedName name="tx_line_stcpkw">#REF!</definedName>
    <definedName name="tx_network_stcpkw">#REF!</definedName>
    <definedName name="tx_trans_stcpk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E62" i="1"/>
  <c r="E61" i="1"/>
  <c r="E60" i="1"/>
  <c r="K16" i="1"/>
  <c r="L5" i="1"/>
  <c r="J16" i="1" s="1"/>
  <c r="K5" i="1"/>
  <c r="I16" i="1" s="1"/>
  <c r="J5" i="1"/>
  <c r="I18" i="1" l="1"/>
  <c r="P18" i="1" s="1"/>
  <c r="K18" i="1"/>
  <c r="R18" i="1" s="1"/>
  <c r="L16" i="1"/>
  <c r="J18" i="1"/>
  <c r="Q18" i="1" s="1"/>
  <c r="I20" i="1" l="1"/>
  <c r="I25" i="1" s="1"/>
  <c r="N25" i="1" s="1"/>
  <c r="K20" i="1"/>
  <c r="I26" i="1"/>
  <c r="N26" i="1" s="1"/>
  <c r="I31" i="1"/>
  <c r="N31" i="1" s="1"/>
  <c r="I27" i="1"/>
  <c r="N27" i="1" s="1"/>
  <c r="I29" i="1"/>
  <c r="N29" i="1" s="1"/>
  <c r="J20" i="1"/>
  <c r="L18" i="1"/>
  <c r="I28" i="1" l="1"/>
  <c r="P28" i="1" s="1"/>
  <c r="I33" i="1"/>
  <c r="N33" i="1" s="1"/>
  <c r="I37" i="1"/>
  <c r="P37" i="1" s="1"/>
  <c r="I35" i="1"/>
  <c r="N35" i="1" s="1"/>
  <c r="I36" i="1"/>
  <c r="N36" i="1" s="1"/>
  <c r="I34" i="1"/>
  <c r="N34" i="1" s="1"/>
  <c r="I40" i="1"/>
  <c r="P40" i="1" s="1"/>
  <c r="I30" i="1"/>
  <c r="P30" i="1" s="1"/>
  <c r="I32" i="1"/>
  <c r="P32" i="1" s="1"/>
  <c r="I24" i="1"/>
  <c r="N24" i="1" s="1"/>
  <c r="I38" i="1"/>
  <c r="N38" i="1" s="1"/>
  <c r="I39" i="1"/>
  <c r="N39" i="1" s="1"/>
  <c r="J34" i="1"/>
  <c r="O34" i="1" s="1"/>
  <c r="J32" i="1"/>
  <c r="Q32" i="1" s="1"/>
  <c r="J31" i="1"/>
  <c r="O31" i="1" s="1"/>
  <c r="J33" i="1"/>
  <c r="O33" i="1" s="1"/>
  <c r="J38" i="1"/>
  <c r="O38" i="1" s="1"/>
  <c r="J35" i="1"/>
  <c r="O35" i="1" s="1"/>
  <c r="J30" i="1"/>
  <c r="Q30" i="1" s="1"/>
  <c r="J29" i="1"/>
  <c r="O29" i="1" s="1"/>
  <c r="J24" i="1"/>
  <c r="O24" i="1" s="1"/>
  <c r="J26" i="1"/>
  <c r="O26" i="1" s="1"/>
  <c r="J40" i="1"/>
  <c r="Q40" i="1" s="1"/>
  <c r="J39" i="1"/>
  <c r="O39" i="1" s="1"/>
  <c r="J37" i="1"/>
  <c r="Q37" i="1" s="1"/>
  <c r="J36" i="1"/>
  <c r="O36" i="1" s="1"/>
  <c r="J28" i="1"/>
  <c r="Q28" i="1" s="1"/>
  <c r="J27" i="1"/>
  <c r="O27" i="1" s="1"/>
  <c r="J25" i="1"/>
  <c r="O25" i="1" s="1"/>
  <c r="L20" i="1"/>
</calcChain>
</file>

<file path=xl/sharedStrings.xml><?xml version="1.0" encoding="utf-8"?>
<sst xmlns="http://schemas.openxmlformats.org/spreadsheetml/2006/main" count="78" uniqueCount="51">
  <si>
    <t>UTR</t>
  </si>
  <si>
    <t>Proceeding</t>
  </si>
  <si>
    <t>Network</t>
  </si>
  <si>
    <t>Line Connection</t>
  </si>
  <si>
    <t>Transformation Connection</t>
  </si>
  <si>
    <t>$/kW</t>
  </si>
  <si>
    <t>2022 UTR</t>
  </si>
  <si>
    <t>2017 UTR</t>
  </si>
  <si>
    <t>EB-2016-0160</t>
  </si>
  <si>
    <t>2018 UTR</t>
  </si>
  <si>
    <t>EB-2017-0359</t>
  </si>
  <si>
    <t>2020 UTR INTERIM</t>
  </si>
  <si>
    <t>EB-2018-0326</t>
  </si>
  <si>
    <t>2021 UTR</t>
  </si>
  <si>
    <t>EB-2020-0251</t>
  </si>
  <si>
    <t>EB-2022-0084</t>
  </si>
  <si>
    <t>2023 Forecast Charge Determinants</t>
  </si>
  <si>
    <t>Allocators:  Sum of 2023 Individual Peaks, coincident with Tx DP Peak</t>
  </si>
  <si>
    <t>2023 Proposed Tx Charges</t>
  </si>
  <si>
    <t>2023 Proposed RTSR</t>
  </si>
  <si>
    <t>Total</t>
  </si>
  <si>
    <t>Energy Billed Classes</t>
  </si>
  <si>
    <t>Demand Billed Classes</t>
  </si>
  <si>
    <t>IESO Bill</t>
  </si>
  <si>
    <t>Original filing</t>
  </si>
  <si>
    <t>ST</t>
  </si>
  <si>
    <t>Non-ST Rate Classes</t>
  </si>
  <si>
    <t>kWh w loss</t>
  </si>
  <si>
    <t>kW w loss</t>
  </si>
  <si>
    <t>CP Tx</t>
  </si>
  <si>
    <t>CP Dx</t>
  </si>
  <si>
    <t>Connection</t>
  </si>
  <si>
    <t>%</t>
  </si>
  <si>
    <t>$/kWh</t>
  </si>
  <si>
    <t>UR</t>
  </si>
  <si>
    <t>R1</t>
  </si>
  <si>
    <t>R2</t>
  </si>
  <si>
    <t>GSe</t>
  </si>
  <si>
    <t>GSd</t>
  </si>
  <si>
    <t>UGe</t>
  </si>
  <si>
    <t>UGd</t>
  </si>
  <si>
    <t>USL</t>
  </si>
  <si>
    <t>Dgen</t>
  </si>
  <si>
    <t>STL</t>
  </si>
  <si>
    <t>Sen Lgt</t>
  </si>
  <si>
    <t>AUR</t>
  </si>
  <si>
    <t>AUGe</t>
  </si>
  <si>
    <t>AUGd</t>
  </si>
  <si>
    <t>AR</t>
  </si>
  <si>
    <t>AGSe</t>
  </si>
  <si>
    <t>AGSd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</si>
</sst>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0.0%"/>
  </numFmts>
  <fonts count="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4" xfId="0" applyFont="1" applyBorder="1"/>
    <xf numFmtId="9" fontId="2" fillId="0" borderId="0" xfId="3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4" fillId="0" borderId="0" xfId="0" applyFont="1"/>
    <xf numFmtId="44" fontId="4" fillId="0" borderId="0" xfId="2" applyFont="1" applyBorder="1"/>
    <xf numFmtId="44" fontId="4" fillId="0" borderId="5" xfId="2" applyFont="1" applyBorder="1"/>
    <xf numFmtId="44" fontId="4" fillId="0" borderId="0" xfId="2" applyFont="1" applyFill="1" applyBorder="1"/>
    <xf numFmtId="44" fontId="4" fillId="0" borderId="5" xfId="2" applyFont="1" applyFill="1" applyBorder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9" fontId="6" fillId="0" borderId="7" xfId="3" applyFont="1" applyBorder="1"/>
    <xf numFmtId="9" fontId="6" fillId="0" borderId="11" xfId="3" applyFont="1" applyBorder="1"/>
    <xf numFmtId="0" fontId="2" fillId="0" borderId="1" xfId="0" applyFont="1" applyBorder="1"/>
    <xf numFmtId="10" fontId="6" fillId="0" borderId="0" xfId="3" applyNumberFormat="1" applyFont="1" applyFill="1" applyBorder="1"/>
    <xf numFmtId="0" fontId="2" fillId="0" borderId="3" xfId="0" applyFont="1" applyBorder="1"/>
    <xf numFmtId="0" fontId="2" fillId="0" borderId="2" xfId="0" applyFont="1" applyBorder="1"/>
    <xf numFmtId="164" fontId="6" fillId="0" borderId="0" xfId="1" applyNumberFormat="1" applyFont="1" applyFill="1" applyBorder="1"/>
    <xf numFmtId="164" fontId="6" fillId="0" borderId="5" xfId="1" applyNumberFormat="1" applyFont="1" applyFill="1" applyBorder="1"/>
    <xf numFmtId="165" fontId="6" fillId="0" borderId="0" xfId="2" applyNumberFormat="1" applyFont="1" applyFill="1" applyBorder="1"/>
    <xf numFmtId="0" fontId="2" fillId="0" borderId="5" xfId="0" applyFont="1" applyBorder="1"/>
    <xf numFmtId="165" fontId="2" fillId="0" borderId="0" xfId="2" applyNumberFormat="1" applyFont="1" applyBorder="1"/>
    <xf numFmtId="165" fontId="2" fillId="0" borderId="0" xfId="0" applyNumberFormat="1" applyFont="1"/>
    <xf numFmtId="9" fontId="2" fillId="0" borderId="0" xfId="3" applyFont="1" applyBorder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2" applyNumberFormat="1" applyFont="1" applyBorder="1"/>
    <xf numFmtId="165" fontId="3" fillId="0" borderId="0" xfId="0" applyNumberFormat="1" applyFont="1"/>
    <xf numFmtId="0" fontId="3" fillId="0" borderId="0" xfId="0" applyFont="1"/>
    <xf numFmtId="167" fontId="2" fillId="0" borderId="0" xfId="3" applyNumberFormat="1" applyFont="1" applyBorder="1"/>
    <xf numFmtId="166" fontId="2" fillId="0" borderId="4" xfId="2" applyNumberFormat="1" applyFont="1" applyBorder="1"/>
    <xf numFmtId="166" fontId="2" fillId="0" borderId="5" xfId="2" applyNumberFormat="1" applyFont="1" applyBorder="1"/>
    <xf numFmtId="166" fontId="2" fillId="0" borderId="0" xfId="0" applyNumberFormat="1" applyFont="1"/>
    <xf numFmtId="3" fontId="4" fillId="0" borderId="0" xfId="1" applyNumberFormat="1" applyFont="1" applyFill="1" applyBorder="1"/>
    <xf numFmtId="3" fontId="4" fillId="0" borderId="5" xfId="1" applyNumberFormat="1" applyFont="1" applyFill="1" applyBorder="1"/>
    <xf numFmtId="167" fontId="3" fillId="0" borderId="0" xfId="3" applyNumberFormat="1" applyFont="1" applyBorder="1"/>
    <xf numFmtId="166" fontId="3" fillId="0" borderId="4" xfId="2" applyNumberFormat="1" applyFont="1" applyBorder="1"/>
    <xf numFmtId="166" fontId="3" fillId="0" borderId="5" xfId="2" applyNumberFormat="1" applyFont="1" applyBorder="1"/>
    <xf numFmtId="166" fontId="3" fillId="0" borderId="0" xfId="2" applyNumberFormat="1" applyFont="1" applyBorder="1"/>
    <xf numFmtId="0" fontId="3" fillId="0" borderId="5" xfId="0" applyFont="1" applyBorder="1"/>
    <xf numFmtId="9" fontId="4" fillId="0" borderId="0" xfId="3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0" fontId="4" fillId="0" borderId="5" xfId="0" applyFont="1" applyBorder="1"/>
    <xf numFmtId="166" fontId="4" fillId="0" borderId="4" xfId="0" applyNumberFormat="1" applyFont="1" applyBorder="1"/>
    <xf numFmtId="166" fontId="4" fillId="0" borderId="5" xfId="0" applyNumberFormat="1" applyFont="1" applyBorder="1"/>
    <xf numFmtId="166" fontId="4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7" xfId="2" applyNumberFormat="1" applyFont="1" applyBorder="1"/>
    <xf numFmtId="0" fontId="2" fillId="0" borderId="7" xfId="0" applyFont="1" applyBorder="1"/>
    <xf numFmtId="0" fontId="2" fillId="0" borderId="11" xfId="0" applyFont="1" applyBorder="1"/>
    <xf numFmtId="166" fontId="2" fillId="0" borderId="6" xfId="0" applyNumberFormat="1" applyFont="1" applyBorder="1"/>
    <xf numFmtId="166" fontId="2" fillId="0" borderId="11" xfId="0" applyNumberFormat="1" applyFont="1" applyBorder="1"/>
    <xf numFmtId="166" fontId="2" fillId="0" borderId="7" xfId="0" applyNumberFormat="1" applyFont="1" applyBorder="1"/>
    <xf numFmtId="43" fontId="2" fillId="0" borderId="0" xfId="1" applyFont="1"/>
    <xf numFmtId="43" fontId="2" fillId="0" borderId="0" xfId="0" applyNumberFormat="1" applyFont="1"/>
    <xf numFmtId="166" fontId="2" fillId="0" borderId="0" xfId="2" applyNumberFormat="1" applyFont="1" applyBorder="1"/>
    <xf numFmtId="166" fontId="2" fillId="0" borderId="4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0" fontId="6" fillId="0" borderId="1" xfId="3" applyNumberFormat="1" applyFont="1" applyFill="1" applyBorder="1"/>
    <xf numFmtId="10" fontId="6" fillId="0" borderId="2" xfId="3" applyNumberFormat="1" applyFont="1" applyFill="1" applyBorder="1"/>
    <xf numFmtId="10" fontId="6" fillId="0" borderId="3" xfId="3" applyNumberFormat="1" applyFont="1" applyFill="1" applyBorder="1"/>
    <xf numFmtId="164" fontId="6" fillId="0" borderId="4" xfId="1" applyNumberFormat="1" applyFont="1" applyFill="1" applyBorder="1"/>
    <xf numFmtId="3" fontId="4" fillId="0" borderId="4" xfId="1" applyNumberFormat="1" applyFont="1" applyFill="1" applyBorder="1"/>
    <xf numFmtId="164" fontId="2" fillId="0" borderId="4" xfId="1" applyNumberFormat="1" applyFont="1" applyFill="1" applyBorder="1"/>
    <xf numFmtId="165" fontId="2" fillId="0" borderId="0" xfId="2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9" fontId="2" fillId="0" borderId="0" xfId="3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44" fontId="5" fillId="0" borderId="0" xfId="2" applyFont="1" applyFill="1" applyBorder="1" applyAlignment="1">
      <alignment horizontal="center"/>
    </xf>
    <xf numFmtId="44" fontId="5" fillId="0" borderId="5" xfId="2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4" xfId="3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67" fontId="2" fillId="0" borderId="5" xfId="3" applyNumberFormat="1" applyFont="1" applyFill="1" applyBorder="1"/>
    <xf numFmtId="9" fontId="2" fillId="0" borderId="5" xfId="3" applyFont="1" applyFill="1" applyBorder="1"/>
    <xf numFmtId="3" fontId="2" fillId="0" borderId="6" xfId="0" applyNumberFormat="1" applyFont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6" fillId="0" borderId="11" xfId="1" applyNumberFormat="1" applyFont="1" applyFill="1" applyBorder="1"/>
    <xf numFmtId="10" fontId="2" fillId="0" borderId="6" xfId="3" applyNumberFormat="1" applyFont="1" applyFill="1" applyBorder="1" applyAlignment="1">
      <alignment horizontal="center"/>
    </xf>
    <xf numFmtId="10" fontId="2" fillId="0" borderId="7" xfId="3" applyNumberFormat="1" applyFont="1" applyFill="1" applyBorder="1" applyAlignment="1">
      <alignment horizontal="center"/>
    </xf>
    <xf numFmtId="9" fontId="2" fillId="0" borderId="11" xfId="3" applyFont="1" applyFill="1" applyBorder="1"/>
    <xf numFmtId="3" fontId="2" fillId="0" borderId="4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4708-15D3-4AA1-9F0A-000585049309}">
  <sheetPr>
    <pageSetUpPr fitToPage="1"/>
  </sheetPr>
  <dimension ref="A2:T62"/>
  <sheetViews>
    <sheetView tabSelected="1" zoomScaleNormal="100" workbookViewId="0">
      <selection activeCell="H56" sqref="H56"/>
    </sheetView>
  </sheetViews>
  <sheetFormatPr defaultRowHeight="12.75" x14ac:dyDescent="0.2"/>
  <cols>
    <col min="1" max="1" width="9.140625" style="7" customWidth="1"/>
    <col min="2" max="2" width="21.140625" style="7" customWidth="1"/>
    <col min="3" max="3" width="16.85546875" style="7" customWidth="1"/>
    <col min="4" max="4" width="14" style="7" customWidth="1"/>
    <col min="5" max="5" width="15.7109375" style="7" customWidth="1"/>
    <col min="6" max="6" width="12.140625" style="7" customWidth="1"/>
    <col min="7" max="7" width="12" style="7" customWidth="1"/>
    <col min="8" max="8" width="14.5703125" style="7" customWidth="1"/>
    <col min="9" max="9" width="17.140625" style="7" customWidth="1"/>
    <col min="10" max="11" width="16.5703125" style="7" customWidth="1"/>
    <col min="12" max="12" width="13.140625" style="7" customWidth="1"/>
    <col min="13" max="13" width="14.5703125" style="7" customWidth="1"/>
    <col min="14" max="14" width="10.5703125" style="7" customWidth="1"/>
    <col min="15" max="15" width="11.42578125" style="7" customWidth="1"/>
    <col min="16" max="16" width="10.42578125" style="7" customWidth="1"/>
    <col min="17" max="17" width="11.85546875" style="7" customWidth="1"/>
    <col min="18" max="18" width="14.42578125" style="7" bestFit="1" customWidth="1"/>
    <col min="19" max="16384" width="9.140625" style="7"/>
  </cols>
  <sheetData>
    <row r="2" spans="1:18" ht="13.5" thickBot="1" x14ac:dyDescent="0.25">
      <c r="I2" s="75"/>
      <c r="J2" s="72"/>
      <c r="K2" s="72"/>
      <c r="L2" s="72"/>
      <c r="M2" s="72"/>
    </row>
    <row r="3" spans="1:18" ht="25.5" x14ac:dyDescent="0.2">
      <c r="I3" s="76" t="s">
        <v>0</v>
      </c>
      <c r="J3" s="73" t="s">
        <v>1</v>
      </c>
      <c r="K3" s="73" t="s">
        <v>2</v>
      </c>
      <c r="L3" s="73" t="s">
        <v>3</v>
      </c>
      <c r="M3" s="74" t="s">
        <v>4</v>
      </c>
    </row>
    <row r="4" spans="1:18" x14ac:dyDescent="0.2">
      <c r="I4" s="69"/>
      <c r="J4" s="33"/>
      <c r="K4" s="70" t="s">
        <v>5</v>
      </c>
      <c r="L4" s="70" t="s">
        <v>5</v>
      </c>
      <c r="M4" s="71" t="s">
        <v>5</v>
      </c>
    </row>
    <row r="5" spans="1:18" x14ac:dyDescent="0.2">
      <c r="H5" s="8"/>
      <c r="I5" s="93" t="s">
        <v>6</v>
      </c>
      <c r="J5" s="94" t="str">
        <f>VLOOKUP(I5,I6:M11,2,FALSE)</f>
        <v>EB-2022-0084</v>
      </c>
      <c r="K5" s="95">
        <f>VLOOKUP(I5,I6:M11,3,0)</f>
        <v>5.46</v>
      </c>
      <c r="L5" s="95">
        <f>VLOOKUP(I5,I6:M11,4,0)</f>
        <v>0.88</v>
      </c>
      <c r="M5" s="96">
        <f>VLOOKUP(I5,I6:M11,5,0)</f>
        <v>2.81</v>
      </c>
      <c r="N5" s="9"/>
    </row>
    <row r="6" spans="1:18" hidden="1" x14ac:dyDescent="0.2">
      <c r="H6" s="8"/>
      <c r="I6" s="6" t="s">
        <v>7</v>
      </c>
      <c r="J6" s="10" t="s">
        <v>8</v>
      </c>
      <c r="K6" s="11">
        <v>3.52</v>
      </c>
      <c r="L6" s="11">
        <v>0.88</v>
      </c>
      <c r="M6" s="12">
        <v>2.13</v>
      </c>
    </row>
    <row r="7" spans="1:18" hidden="1" x14ac:dyDescent="0.2">
      <c r="H7" s="8"/>
      <c r="I7" s="6" t="s">
        <v>9</v>
      </c>
      <c r="J7" s="10" t="s">
        <v>10</v>
      </c>
      <c r="K7" s="11">
        <v>3.61</v>
      </c>
      <c r="L7" s="11">
        <v>0.95</v>
      </c>
      <c r="M7" s="12">
        <v>2.34</v>
      </c>
    </row>
    <row r="8" spans="1:18" hidden="1" x14ac:dyDescent="0.2">
      <c r="H8" s="8"/>
      <c r="I8" s="6" t="s">
        <v>11</v>
      </c>
      <c r="J8" s="10" t="s">
        <v>12</v>
      </c>
      <c r="K8" s="13">
        <v>3.92</v>
      </c>
      <c r="L8" s="13">
        <v>0.97</v>
      </c>
      <c r="M8" s="12">
        <v>2.33</v>
      </c>
    </row>
    <row r="9" spans="1:18" hidden="1" x14ac:dyDescent="0.2">
      <c r="H9" s="8"/>
      <c r="I9" s="6" t="s">
        <v>13</v>
      </c>
      <c r="J9" s="10" t="s">
        <v>14</v>
      </c>
      <c r="K9" s="13">
        <v>4.67</v>
      </c>
      <c r="L9" s="13">
        <v>0.77</v>
      </c>
      <c r="M9" s="14">
        <v>2.5299999999999998</v>
      </c>
    </row>
    <row r="10" spans="1:18" hidden="1" x14ac:dyDescent="0.2">
      <c r="H10" s="8"/>
      <c r="I10" s="6" t="s">
        <v>6</v>
      </c>
      <c r="J10" s="10" t="s">
        <v>15</v>
      </c>
      <c r="K10" s="13">
        <v>5.46</v>
      </c>
      <c r="L10" s="13">
        <v>0.88</v>
      </c>
      <c r="M10" s="14">
        <v>2.81</v>
      </c>
    </row>
    <row r="11" spans="1:18" ht="13.5" thickBot="1" x14ac:dyDescent="0.25">
      <c r="H11" s="15"/>
      <c r="I11" s="16"/>
      <c r="J11" s="17"/>
      <c r="K11" s="18"/>
      <c r="L11" s="18"/>
      <c r="M11" s="19"/>
    </row>
    <row r="12" spans="1:18" ht="42.95" customHeight="1" thickBot="1" x14ac:dyDescent="0.25">
      <c r="B12" s="20"/>
      <c r="C12" s="127" t="s">
        <v>16</v>
      </c>
      <c r="D12" s="128"/>
      <c r="E12" s="129"/>
      <c r="F12" s="130" t="s">
        <v>17</v>
      </c>
      <c r="G12" s="131"/>
      <c r="H12" s="132"/>
      <c r="I12" s="127" t="s">
        <v>18</v>
      </c>
      <c r="J12" s="128"/>
      <c r="K12" s="128"/>
      <c r="L12" s="128"/>
      <c r="M12" s="129"/>
      <c r="N12" s="133" t="s">
        <v>19</v>
      </c>
      <c r="O12" s="134"/>
      <c r="P12" s="134"/>
      <c r="Q12" s="134"/>
      <c r="R12" s="135"/>
    </row>
    <row r="13" spans="1:18" ht="39" customHeight="1" thickBot="1" x14ac:dyDescent="0.25">
      <c r="A13" s="1"/>
      <c r="B13" s="77"/>
      <c r="C13" s="81" t="s">
        <v>2</v>
      </c>
      <c r="D13" s="78" t="s">
        <v>3</v>
      </c>
      <c r="E13" s="82" t="s">
        <v>4</v>
      </c>
      <c r="F13" s="81" t="s">
        <v>2</v>
      </c>
      <c r="G13" s="78" t="s">
        <v>3</v>
      </c>
      <c r="H13" s="82" t="s">
        <v>4</v>
      </c>
      <c r="I13" s="81" t="s">
        <v>2</v>
      </c>
      <c r="J13" s="78" t="s">
        <v>3</v>
      </c>
      <c r="K13" s="78" t="s">
        <v>4</v>
      </c>
      <c r="L13" s="79" t="s">
        <v>20</v>
      </c>
      <c r="M13" s="80"/>
      <c r="N13" s="136" t="s">
        <v>21</v>
      </c>
      <c r="O13" s="137"/>
      <c r="P13" s="136" t="s">
        <v>22</v>
      </c>
      <c r="Q13" s="138"/>
      <c r="R13" s="137"/>
    </row>
    <row r="14" spans="1:18" x14ac:dyDescent="0.2">
      <c r="B14" s="1"/>
      <c r="C14" s="20"/>
      <c r="D14" s="23"/>
      <c r="E14" s="22"/>
      <c r="F14" s="83"/>
      <c r="G14" s="84"/>
      <c r="H14" s="85"/>
      <c r="I14" s="21"/>
      <c r="J14" s="21"/>
      <c r="K14" s="21"/>
      <c r="L14" s="21"/>
      <c r="N14" s="20"/>
      <c r="O14" s="22"/>
      <c r="P14" s="20"/>
      <c r="Q14" s="23"/>
      <c r="R14" s="22"/>
    </row>
    <row r="15" spans="1:18" x14ac:dyDescent="0.2">
      <c r="B15" s="1"/>
      <c r="C15" s="1"/>
      <c r="E15" s="27"/>
      <c r="F15" s="86"/>
      <c r="G15" s="24"/>
      <c r="H15" s="25"/>
      <c r="I15" s="26"/>
      <c r="J15" s="26"/>
      <c r="K15" s="26"/>
      <c r="L15" s="26"/>
      <c r="N15" s="1"/>
      <c r="O15" s="27"/>
      <c r="P15" s="1"/>
      <c r="R15" s="27"/>
    </row>
    <row r="16" spans="1:18" s="75" customFormat="1" ht="25.5" x14ac:dyDescent="0.2">
      <c r="B16" s="3" t="s">
        <v>23</v>
      </c>
      <c r="C16" s="110"/>
      <c r="D16" s="111"/>
      <c r="E16" s="112"/>
      <c r="F16" s="113">
        <v>63562089.692896128</v>
      </c>
      <c r="G16" s="114">
        <v>57994415.813704558</v>
      </c>
      <c r="H16" s="115">
        <v>65129506.068383425</v>
      </c>
      <c r="I16" s="89">
        <f t="shared" ref="I16" si="0">K$5*F16</f>
        <v>347049009.72321284</v>
      </c>
      <c r="J16" s="89">
        <f>L$5*G16</f>
        <v>51035085.916060008</v>
      </c>
      <c r="K16" s="89">
        <f>M$5*H16</f>
        <v>183013912.05215743</v>
      </c>
      <c r="L16" s="90">
        <f>SUM(I16:K16)</f>
        <v>581098007.69143033</v>
      </c>
      <c r="M16" s="91"/>
      <c r="N16" s="3"/>
      <c r="O16" s="92"/>
      <c r="P16" s="66" t="s">
        <v>2</v>
      </c>
      <c r="Q16" s="67" t="s">
        <v>3</v>
      </c>
      <c r="R16" s="68" t="s">
        <v>4</v>
      </c>
    </row>
    <row r="17" spans="1:20" s="36" customFormat="1" x14ac:dyDescent="0.2">
      <c r="A17" s="5"/>
      <c r="B17" s="5" t="s">
        <v>24</v>
      </c>
      <c r="C17" s="116"/>
      <c r="D17" s="117"/>
      <c r="E17" s="118"/>
      <c r="F17" s="119"/>
      <c r="G17" s="120"/>
      <c r="H17" s="121"/>
      <c r="I17" s="34"/>
      <c r="J17" s="34"/>
      <c r="K17" s="34"/>
      <c r="L17" s="35"/>
      <c r="N17" s="5"/>
      <c r="O17" s="47"/>
      <c r="P17" s="31" t="s">
        <v>5</v>
      </c>
      <c r="Q17" s="55" t="s">
        <v>5</v>
      </c>
      <c r="R17" s="32" t="s">
        <v>5</v>
      </c>
    </row>
    <row r="18" spans="1:20" x14ac:dyDescent="0.2">
      <c r="A18" s="1"/>
      <c r="B18" s="1" t="s">
        <v>25</v>
      </c>
      <c r="C18" s="122">
        <v>30688263.349625111</v>
      </c>
      <c r="D18" s="123">
        <v>30291295.935370781</v>
      </c>
      <c r="E18" s="124">
        <v>24553112.216566592</v>
      </c>
      <c r="F18" s="125">
        <v>26161166.017003205</v>
      </c>
      <c r="G18" s="99">
        <v>20845116.855544731</v>
      </c>
      <c r="H18" s="126">
        <v>25272700.349510688</v>
      </c>
      <c r="I18" s="28">
        <f>(F18/F16)*I16</f>
        <v>142839966.4528375</v>
      </c>
      <c r="J18" s="28">
        <f>(G18/G16)*J16</f>
        <v>18343702.832879361</v>
      </c>
      <c r="K18" s="28">
        <f>(H18/H16)*K16</f>
        <v>71016287.982125029</v>
      </c>
      <c r="L18" s="29">
        <f>SUM(I18:K18)</f>
        <v>232199957.26784188</v>
      </c>
      <c r="M18" s="37"/>
      <c r="N18" s="1"/>
      <c r="O18" s="27"/>
      <c r="P18" s="38">
        <f>ROUND(I18/C18,4)</f>
        <v>4.6544999999999996</v>
      </c>
      <c r="Q18" s="65">
        <f>ROUND(J18/D18,4)</f>
        <v>0.60560000000000003</v>
      </c>
      <c r="R18" s="39">
        <f>ROUND(K18/E18,4)</f>
        <v>2.8923999999999999</v>
      </c>
      <c r="S18" s="30"/>
      <c r="T18" s="30"/>
    </row>
    <row r="19" spans="1:20" s="36" customFormat="1" x14ac:dyDescent="0.2">
      <c r="A19" s="5"/>
      <c r="B19" s="6"/>
      <c r="C19" s="87"/>
      <c r="D19" s="41"/>
      <c r="E19" s="42"/>
      <c r="F19" s="87"/>
      <c r="G19" s="41"/>
      <c r="H19" s="42"/>
      <c r="I19" s="34"/>
      <c r="J19" s="34"/>
      <c r="K19" s="34"/>
      <c r="L19" s="35"/>
      <c r="M19" s="43"/>
      <c r="N19" s="44"/>
      <c r="O19" s="45"/>
      <c r="P19" s="44"/>
      <c r="Q19" s="46"/>
      <c r="R19" s="47"/>
      <c r="S19" s="48"/>
      <c r="T19" s="48"/>
    </row>
    <row r="20" spans="1:20" x14ac:dyDescent="0.2">
      <c r="A20" s="1"/>
      <c r="B20" s="1" t="s">
        <v>26</v>
      </c>
      <c r="C20" s="88"/>
      <c r="E20" s="27"/>
      <c r="F20" s="1"/>
      <c r="H20" s="27"/>
      <c r="I20" s="28">
        <f>I16-I18</f>
        <v>204209043.27037534</v>
      </c>
      <c r="J20" s="28">
        <f>J16-J18</f>
        <v>32691383.083180647</v>
      </c>
      <c r="K20" s="28">
        <f>K16-K18</f>
        <v>111997624.0700324</v>
      </c>
      <c r="L20" s="29">
        <f>SUM(I20:K20)</f>
        <v>348898050.4235884</v>
      </c>
      <c r="M20" s="37"/>
      <c r="N20" s="49"/>
      <c r="O20" s="50"/>
      <c r="P20" s="49"/>
      <c r="Q20" s="40"/>
      <c r="R20" s="27"/>
      <c r="S20" s="30"/>
      <c r="T20" s="30"/>
    </row>
    <row r="21" spans="1:20" s="10" customFormat="1" x14ac:dyDescent="0.2">
      <c r="A21" s="6"/>
      <c r="B21" s="5"/>
      <c r="C21" s="6"/>
      <c r="E21" s="51"/>
      <c r="F21" s="6"/>
      <c r="H21" s="51"/>
      <c r="I21" s="34"/>
      <c r="J21" s="34"/>
      <c r="K21" s="34"/>
      <c r="L21" s="35"/>
      <c r="M21" s="43"/>
      <c r="N21" s="52"/>
      <c r="O21" s="53"/>
      <c r="P21" s="52"/>
      <c r="Q21" s="54"/>
      <c r="R21" s="51"/>
      <c r="S21" s="30"/>
      <c r="T21" s="30"/>
    </row>
    <row r="22" spans="1:20" x14ac:dyDescent="0.2">
      <c r="B22" s="1"/>
      <c r="C22" s="69" t="s">
        <v>27</v>
      </c>
      <c r="D22" s="33" t="s">
        <v>28</v>
      </c>
      <c r="E22" s="97"/>
      <c r="F22" s="69" t="s">
        <v>29</v>
      </c>
      <c r="G22" s="33" t="s">
        <v>30</v>
      </c>
      <c r="H22" s="97"/>
      <c r="I22" s="33"/>
      <c r="J22" s="33"/>
      <c r="K22" s="33"/>
      <c r="N22" s="31" t="s">
        <v>2</v>
      </c>
      <c r="O22" s="32" t="s">
        <v>31</v>
      </c>
      <c r="P22" s="31" t="s">
        <v>2</v>
      </c>
      <c r="Q22" s="55" t="s">
        <v>31</v>
      </c>
      <c r="R22" s="32"/>
      <c r="S22" s="30"/>
      <c r="T22" s="30"/>
    </row>
    <row r="23" spans="1:20" x14ac:dyDescent="0.2">
      <c r="B23" s="1"/>
      <c r="C23" s="69"/>
      <c r="D23" s="33"/>
      <c r="E23" s="97"/>
      <c r="F23" s="69" t="s">
        <v>32</v>
      </c>
      <c r="G23" s="33" t="s">
        <v>32</v>
      </c>
      <c r="H23" s="97"/>
      <c r="I23" s="33" t="s">
        <v>2</v>
      </c>
      <c r="J23" s="33" t="s">
        <v>31</v>
      </c>
      <c r="K23" s="33"/>
      <c r="N23" s="31" t="s">
        <v>33</v>
      </c>
      <c r="O23" s="32" t="s">
        <v>33</v>
      </c>
      <c r="P23" s="31" t="s">
        <v>5</v>
      </c>
      <c r="Q23" s="55" t="s">
        <v>5</v>
      </c>
      <c r="R23" s="32"/>
      <c r="S23" s="30"/>
      <c r="T23" s="30"/>
    </row>
    <row r="24" spans="1:20" x14ac:dyDescent="0.2">
      <c r="A24" s="2"/>
      <c r="B24" s="3" t="s">
        <v>34</v>
      </c>
      <c r="C24" s="98">
        <v>2140355382.9623051</v>
      </c>
      <c r="D24" s="99"/>
      <c r="E24" s="25"/>
      <c r="F24" s="100">
        <v>0.1244466806105696</v>
      </c>
      <c r="G24" s="101">
        <v>0.12107897185091218</v>
      </c>
      <c r="H24" s="102"/>
      <c r="I24" s="28">
        <f>I$20*F24</f>
        <v>25413137.585658386</v>
      </c>
      <c r="J24" s="28">
        <f>(J$20+K$20)*G24</f>
        <v>17518796.224240314</v>
      </c>
      <c r="L24" s="9"/>
      <c r="M24" s="9"/>
      <c r="N24" s="49">
        <f>ROUND((I24/$C24),4)</f>
        <v>1.1900000000000001E-2</v>
      </c>
      <c r="O24" s="50">
        <f>ROUND((J24/$C24),4)</f>
        <v>8.2000000000000007E-3</v>
      </c>
      <c r="P24" s="49"/>
      <c r="Q24" s="40"/>
      <c r="R24" s="27"/>
      <c r="S24" s="30"/>
      <c r="T24" s="30"/>
    </row>
    <row r="25" spans="1:20" x14ac:dyDescent="0.2">
      <c r="A25" s="2"/>
      <c r="B25" s="3" t="s">
        <v>35</v>
      </c>
      <c r="C25" s="98">
        <v>5469787191.7678976</v>
      </c>
      <c r="D25" s="99"/>
      <c r="E25" s="25"/>
      <c r="F25" s="100">
        <v>0.29556902164240317</v>
      </c>
      <c r="G25" s="101">
        <v>0.29032675572946515</v>
      </c>
      <c r="H25" s="102"/>
      <c r="I25" s="28">
        <f t="shared" ref="I25:I40" si="1">I$20*F25</f>
        <v>60357867.129956014</v>
      </c>
      <c r="J25" s="28">
        <f t="shared" ref="J25:J40" si="2">(J$20+K$20)*G25</f>
        <v>42007090.036509722</v>
      </c>
      <c r="L25" s="9"/>
      <c r="M25" s="9"/>
      <c r="N25" s="49">
        <f t="shared" ref="N25:N39" si="3">ROUND((I25/$C25),4)</f>
        <v>1.0999999999999999E-2</v>
      </c>
      <c r="O25" s="50">
        <f>ROUND((J25/$C25),4)</f>
        <v>7.7000000000000002E-3</v>
      </c>
      <c r="P25" s="49"/>
      <c r="Q25" s="40"/>
      <c r="R25" s="27"/>
      <c r="S25" s="30"/>
      <c r="T25" s="30"/>
    </row>
    <row r="26" spans="1:20" x14ac:dyDescent="0.2">
      <c r="A26" s="2"/>
      <c r="B26" s="3" t="s">
        <v>36</v>
      </c>
      <c r="C26" s="98">
        <v>5335315616.3714352</v>
      </c>
      <c r="D26" s="99"/>
      <c r="E26" s="25"/>
      <c r="F26" s="100">
        <v>0.26622875583534616</v>
      </c>
      <c r="G26" s="101">
        <v>0.2652565138031362</v>
      </c>
      <c r="H26" s="102"/>
      <c r="I26" s="28">
        <f t="shared" si="1"/>
        <v>54366319.520198397</v>
      </c>
      <c r="J26" s="28">
        <f t="shared" si="2"/>
        <v>38379701.623098329</v>
      </c>
      <c r="L26" s="9"/>
      <c r="M26" s="9"/>
      <c r="N26" s="49">
        <f t="shared" si="3"/>
        <v>1.0200000000000001E-2</v>
      </c>
      <c r="O26" s="50">
        <f>ROUND((J26/$C26),4)</f>
        <v>7.1999999999999998E-3</v>
      </c>
      <c r="P26" s="49"/>
      <c r="Q26" s="40"/>
      <c r="R26" s="27"/>
      <c r="S26" s="30"/>
      <c r="T26" s="30"/>
    </row>
    <row r="27" spans="1:20" x14ac:dyDescent="0.2">
      <c r="A27" s="2"/>
      <c r="B27" s="3" t="s">
        <v>37</v>
      </c>
      <c r="C27" s="98">
        <v>2186349294.1342893</v>
      </c>
      <c r="D27" s="99"/>
      <c r="E27" s="25"/>
      <c r="F27" s="100">
        <v>9.3417471675062314E-2</v>
      </c>
      <c r="G27" s="101">
        <v>9.8059830164167264E-2</v>
      </c>
      <c r="H27" s="102"/>
      <c r="I27" s="28">
        <f t="shared" si="1"/>
        <v>19076692.515501864</v>
      </c>
      <c r="J27" s="28">
        <f t="shared" si="2"/>
        <v>14188179.468066055</v>
      </c>
      <c r="L27" s="9"/>
      <c r="M27" s="9"/>
      <c r="N27" s="49">
        <f t="shared" si="3"/>
        <v>8.6999999999999994E-3</v>
      </c>
      <c r="O27" s="50">
        <f>ROUND((J27/$C27),4)</f>
        <v>6.4999999999999997E-3</v>
      </c>
      <c r="P27" s="49"/>
      <c r="Q27" s="40"/>
      <c r="R27" s="27"/>
      <c r="S27" s="30"/>
      <c r="T27" s="30"/>
    </row>
    <row r="28" spans="1:20" x14ac:dyDescent="0.2">
      <c r="A28" s="2"/>
      <c r="B28" s="3" t="s">
        <v>38</v>
      </c>
      <c r="C28" s="98">
        <v>2315785596.9830804</v>
      </c>
      <c r="D28" s="99">
        <v>7422451.5953692002</v>
      </c>
      <c r="E28" s="25"/>
      <c r="F28" s="100">
        <v>9.6997945617622802E-2</v>
      </c>
      <c r="G28" s="101">
        <v>0.10030533859014472</v>
      </c>
      <c r="H28" s="102"/>
      <c r="I28" s="28">
        <f t="shared" si="1"/>
        <v>19807857.67376665</v>
      </c>
      <c r="J28" s="28">
        <f t="shared" si="2"/>
        <v>14513079.852774907</v>
      </c>
      <c r="L28" s="9"/>
      <c r="M28" s="9"/>
      <c r="N28" s="49"/>
      <c r="O28" s="50"/>
      <c r="P28" s="49">
        <f>ROUND((I28/$D28),4)</f>
        <v>2.6686000000000001</v>
      </c>
      <c r="Q28" s="40">
        <f>ROUND((J28/$D28),4)</f>
        <v>1.9553</v>
      </c>
      <c r="R28" s="27"/>
      <c r="S28" s="30"/>
      <c r="T28" s="30"/>
    </row>
    <row r="29" spans="1:20" x14ac:dyDescent="0.2">
      <c r="A29" s="2"/>
      <c r="B29" s="3" t="s">
        <v>39</v>
      </c>
      <c r="C29" s="98">
        <v>583937731.81827831</v>
      </c>
      <c r="D29" s="99"/>
      <c r="E29" s="25"/>
      <c r="F29" s="100">
        <v>2.6676023508898753E-2</v>
      </c>
      <c r="G29" s="101">
        <v>2.7729848121516187E-2</v>
      </c>
      <c r="H29" s="102"/>
      <c r="I29" s="28">
        <f t="shared" si="1"/>
        <v>5447485.2390102549</v>
      </c>
      <c r="J29" s="28">
        <f t="shared" si="2"/>
        <v>4012204.1932115671</v>
      </c>
      <c r="L29" s="9"/>
      <c r="M29" s="9"/>
      <c r="N29" s="49">
        <f t="shared" si="3"/>
        <v>9.2999999999999992E-3</v>
      </c>
      <c r="O29" s="50">
        <f>ROUND((J29/$C29),4)</f>
        <v>6.8999999999999999E-3</v>
      </c>
      <c r="P29" s="49"/>
      <c r="Q29" s="40"/>
      <c r="R29" s="27"/>
      <c r="S29" s="30"/>
      <c r="T29" s="30"/>
    </row>
    <row r="30" spans="1:20" x14ac:dyDescent="0.2">
      <c r="A30" s="2"/>
      <c r="B30" s="3" t="s">
        <v>40</v>
      </c>
      <c r="C30" s="98">
        <v>927660940.4155792</v>
      </c>
      <c r="D30" s="99">
        <v>2419325.2557169907</v>
      </c>
      <c r="E30" s="25"/>
      <c r="F30" s="100">
        <v>4.0835560784384994E-2</v>
      </c>
      <c r="G30" s="101">
        <v>4.1503433883144675E-2</v>
      </c>
      <c r="H30" s="102"/>
      <c r="I30" s="28">
        <f t="shared" si="1"/>
        <v>8338990.799188518</v>
      </c>
      <c r="J30" s="28">
        <f t="shared" si="2"/>
        <v>6005090.6420012247</v>
      </c>
      <c r="L30" s="9"/>
      <c r="M30" s="9"/>
      <c r="N30" s="49"/>
      <c r="O30" s="50"/>
      <c r="P30" s="49">
        <f t="shared" ref="P30:Q37" si="4">ROUND((I30/$D30),4)</f>
        <v>3.4468000000000001</v>
      </c>
      <c r="Q30" s="40">
        <f t="shared" si="4"/>
        <v>2.4821</v>
      </c>
      <c r="R30" s="27"/>
      <c r="S30" s="30"/>
      <c r="T30" s="30"/>
    </row>
    <row r="31" spans="1:20" x14ac:dyDescent="0.2">
      <c r="A31" s="2"/>
      <c r="B31" s="3" t="s">
        <v>41</v>
      </c>
      <c r="C31" s="98">
        <v>35643332.265570484</v>
      </c>
      <c r="D31" s="99"/>
      <c r="E31" s="25"/>
      <c r="F31" s="100">
        <v>1.2882878362542921E-3</v>
      </c>
      <c r="G31" s="101">
        <v>1.2733764411705585E-3</v>
      </c>
      <c r="H31" s="102"/>
      <c r="I31" s="28">
        <f t="shared" si="1"/>
        <v>263080.02649835096</v>
      </c>
      <c r="J31" s="28">
        <f t="shared" si="2"/>
        <v>184243.57300525991</v>
      </c>
      <c r="L31" s="9"/>
      <c r="M31" s="9"/>
      <c r="N31" s="49">
        <f t="shared" si="3"/>
        <v>7.4000000000000003E-3</v>
      </c>
      <c r="O31" s="50">
        <f>ROUND((J31/$C31),4)</f>
        <v>5.1999999999999998E-3</v>
      </c>
      <c r="P31" s="49"/>
      <c r="Q31" s="40"/>
      <c r="R31" s="27"/>
      <c r="S31" s="30"/>
      <c r="T31" s="30"/>
    </row>
    <row r="32" spans="1:20" x14ac:dyDescent="0.2">
      <c r="A32" s="56"/>
      <c r="B32" s="3" t="s">
        <v>42</v>
      </c>
      <c r="C32" s="98">
        <v>32139683.863700029</v>
      </c>
      <c r="D32" s="99">
        <v>223299.69687808384</v>
      </c>
      <c r="E32" s="25"/>
      <c r="F32" s="100">
        <v>1.6014695366219902E-3</v>
      </c>
      <c r="G32" s="101">
        <v>1.2948075309476674E-3</v>
      </c>
      <c r="H32" s="102"/>
      <c r="I32" s="28">
        <f t="shared" si="1"/>
        <v>327034.56190022797</v>
      </c>
      <c r="J32" s="28">
        <f t="shared" si="2"/>
        <v>187344.41610732119</v>
      </c>
      <c r="L32" s="9"/>
      <c r="M32" s="9"/>
      <c r="N32" s="49"/>
      <c r="O32" s="50"/>
      <c r="P32" s="49">
        <f t="shared" si="4"/>
        <v>1.4645999999999999</v>
      </c>
      <c r="Q32" s="40">
        <f t="shared" si="4"/>
        <v>0.83899999999999997</v>
      </c>
      <c r="R32" s="27"/>
      <c r="S32" s="30"/>
      <c r="T32" s="30"/>
    </row>
    <row r="33" spans="1:20" x14ac:dyDescent="0.2">
      <c r="A33" s="56"/>
      <c r="B33" s="3" t="s">
        <v>43</v>
      </c>
      <c r="C33" s="98">
        <v>91055645.858663902</v>
      </c>
      <c r="D33" s="99"/>
      <c r="E33" s="25"/>
      <c r="F33" s="100">
        <v>2.8479415805666435E-3</v>
      </c>
      <c r="G33" s="101">
        <v>2.9979437281685739E-3</v>
      </c>
      <c r="H33" s="102"/>
      <c r="I33" s="28">
        <f t="shared" si="1"/>
        <v>581575.42545743485</v>
      </c>
      <c r="J33" s="28">
        <f t="shared" si="2"/>
        <v>433769.50152991299</v>
      </c>
      <c r="K33" s="40"/>
      <c r="L33" s="9"/>
      <c r="M33" s="9"/>
      <c r="N33" s="49">
        <f t="shared" si="3"/>
        <v>6.4000000000000003E-3</v>
      </c>
      <c r="O33" s="50">
        <f>ROUND((J33/$C33),4)</f>
        <v>4.7999999999999996E-3</v>
      </c>
      <c r="P33" s="49"/>
      <c r="Q33" s="40"/>
      <c r="R33" s="27"/>
      <c r="S33" s="30"/>
      <c r="T33" s="30"/>
    </row>
    <row r="34" spans="1:20" x14ac:dyDescent="0.2">
      <c r="A34" s="56"/>
      <c r="B34" s="3" t="s">
        <v>44</v>
      </c>
      <c r="C34" s="98">
        <v>12432985.936525216</v>
      </c>
      <c r="D34" s="99"/>
      <c r="E34" s="25"/>
      <c r="F34" s="100">
        <v>3.9084616435015239E-4</v>
      </c>
      <c r="G34" s="101">
        <v>4.0965236982100665E-4</v>
      </c>
      <c r="H34" s="102"/>
      <c r="I34" s="28">
        <f t="shared" si="1"/>
        <v>79814.321287840503</v>
      </c>
      <c r="J34" s="28">
        <f t="shared" si="2"/>
        <v>59272.19466736231</v>
      </c>
      <c r="L34" s="9"/>
      <c r="M34" s="9"/>
      <c r="N34" s="49">
        <f t="shared" si="3"/>
        <v>6.4000000000000003E-3</v>
      </c>
      <c r="O34" s="50">
        <f>ROUND((J34/$C34),4)</f>
        <v>4.7999999999999996E-3</v>
      </c>
      <c r="P34" s="49"/>
      <c r="Q34" s="40"/>
      <c r="R34" s="27"/>
      <c r="S34" s="30"/>
      <c r="T34" s="30"/>
    </row>
    <row r="35" spans="1:20" x14ac:dyDescent="0.2">
      <c r="A35" s="56"/>
      <c r="B35" s="3" t="s">
        <v>45</v>
      </c>
      <c r="C35" s="98">
        <v>123206495.58779468</v>
      </c>
      <c r="D35" s="99"/>
      <c r="E35" s="25"/>
      <c r="F35" s="100">
        <v>7.3494526000513457E-3</v>
      </c>
      <c r="G35" s="101">
        <v>7.1332073365697416E-3</v>
      </c>
      <c r="H35" s="103"/>
      <c r="I35" s="28">
        <f t="shared" si="1"/>
        <v>1500824.6840174578</v>
      </c>
      <c r="J35" s="28">
        <f t="shared" si="2"/>
        <v>1032096.6873462911</v>
      </c>
      <c r="L35" s="9"/>
      <c r="M35" s="9"/>
      <c r="N35" s="49">
        <f t="shared" si="3"/>
        <v>1.2200000000000001E-2</v>
      </c>
      <c r="O35" s="50">
        <f>ROUND((J35/$C35),4)</f>
        <v>8.3999999999999995E-3</v>
      </c>
      <c r="P35" s="49"/>
      <c r="Q35" s="40"/>
      <c r="R35" s="27"/>
      <c r="S35" s="30"/>
      <c r="T35" s="30"/>
    </row>
    <row r="36" spans="1:20" x14ac:dyDescent="0.2">
      <c r="A36" s="56"/>
      <c r="B36" s="3" t="s">
        <v>46</v>
      </c>
      <c r="C36" s="98">
        <v>42685254.588755839</v>
      </c>
      <c r="D36" s="99"/>
      <c r="E36" s="25"/>
      <c r="F36" s="100">
        <v>1.9575506890283003E-3</v>
      </c>
      <c r="G36" s="101">
        <v>2.0153295413912406E-3</v>
      </c>
      <c r="H36" s="103"/>
      <c r="I36" s="28">
        <f t="shared" si="1"/>
        <v>399749.55335973325</v>
      </c>
      <c r="J36" s="28">
        <f t="shared" si="2"/>
        <v>291596.03043043881</v>
      </c>
      <c r="L36" s="9"/>
      <c r="M36" s="9"/>
      <c r="N36" s="49">
        <f t="shared" si="3"/>
        <v>9.4000000000000004E-3</v>
      </c>
      <c r="O36" s="50">
        <f>ROUND((J36/$C36),4)</f>
        <v>6.7999999999999996E-3</v>
      </c>
      <c r="P36" s="49"/>
      <c r="Q36" s="40"/>
      <c r="R36" s="27"/>
      <c r="S36" s="30"/>
      <c r="T36" s="30"/>
    </row>
    <row r="37" spans="1:20" x14ac:dyDescent="0.2">
      <c r="A37" s="56"/>
      <c r="B37" s="3" t="s">
        <v>47</v>
      </c>
      <c r="C37" s="98">
        <v>122408614.28660879</v>
      </c>
      <c r="D37" s="99">
        <v>345061.98054757132</v>
      </c>
      <c r="E37" s="25"/>
      <c r="F37" s="100">
        <v>5.3429559610113347E-3</v>
      </c>
      <c r="G37" s="101">
        <v>5.4132155058701607E-3</v>
      </c>
      <c r="H37" s="103"/>
      <c r="I37" s="28">
        <f t="shared" si="1"/>
        <v>1091079.9250338734</v>
      </c>
      <c r="J37" s="28">
        <f t="shared" si="2"/>
        <v>783232.77705073147</v>
      </c>
      <c r="L37" s="9"/>
      <c r="M37" s="9"/>
      <c r="N37" s="49"/>
      <c r="O37" s="50"/>
      <c r="P37" s="49">
        <f t="shared" si="4"/>
        <v>3.1619999999999999</v>
      </c>
      <c r="Q37" s="40">
        <f t="shared" si="4"/>
        <v>2.2698</v>
      </c>
      <c r="R37" s="27"/>
      <c r="S37" s="30"/>
      <c r="T37" s="30"/>
    </row>
    <row r="38" spans="1:20" x14ac:dyDescent="0.2">
      <c r="A38" s="56"/>
      <c r="B38" s="3" t="s">
        <v>48</v>
      </c>
      <c r="C38" s="98">
        <v>357623068.74825633</v>
      </c>
      <c r="D38" s="99"/>
      <c r="E38" s="25"/>
      <c r="F38" s="100">
        <v>2.0345006967408711E-2</v>
      </c>
      <c r="G38" s="101">
        <v>1.9999699048707284E-2</v>
      </c>
      <c r="H38" s="103"/>
      <c r="I38" s="28">
        <f t="shared" si="1"/>
        <v>4154634.4081436531</v>
      </c>
      <c r="J38" s="28">
        <f t="shared" si="2"/>
        <v>2893736.5987205165</v>
      </c>
      <c r="L38" s="9"/>
      <c r="M38" s="9"/>
      <c r="N38" s="49">
        <f t="shared" si="3"/>
        <v>1.1599999999999999E-2</v>
      </c>
      <c r="O38" s="50">
        <f>ROUND((J38/$C38),4)</f>
        <v>8.0999999999999996E-3</v>
      </c>
      <c r="P38" s="49"/>
      <c r="Q38" s="40"/>
      <c r="R38" s="27"/>
      <c r="S38" s="30"/>
      <c r="T38" s="30"/>
    </row>
    <row r="39" spans="1:20" x14ac:dyDescent="0.2">
      <c r="A39" s="56"/>
      <c r="B39" s="3" t="s">
        <v>49</v>
      </c>
      <c r="C39" s="98">
        <v>124866497.45385723</v>
      </c>
      <c r="D39" s="99"/>
      <c r="E39" s="25"/>
      <c r="F39" s="100">
        <v>5.6242158051080264E-3</v>
      </c>
      <c r="G39" s="101">
        <v>5.770506389851434E-3</v>
      </c>
      <c r="H39" s="103"/>
      <c r="I39" s="28">
        <f t="shared" si="1"/>
        <v>1148515.7287072339</v>
      </c>
      <c r="J39" s="28">
        <f t="shared" si="2"/>
        <v>834928.84031887574</v>
      </c>
      <c r="N39" s="49">
        <f t="shared" si="3"/>
        <v>9.1999999999999998E-3</v>
      </c>
      <c r="O39" s="50">
        <f>ROUND((J39/$C39),4)</f>
        <v>6.7000000000000002E-3</v>
      </c>
      <c r="P39" s="49"/>
      <c r="Q39" s="40"/>
      <c r="R39" s="27"/>
      <c r="S39" s="30"/>
      <c r="T39" s="30"/>
    </row>
    <row r="40" spans="1:20" ht="13.5" thickBot="1" x14ac:dyDescent="0.25">
      <c r="A40" s="56"/>
      <c r="B40" s="4" t="s">
        <v>50</v>
      </c>
      <c r="C40" s="104">
        <v>243714249.98855177</v>
      </c>
      <c r="D40" s="105">
        <v>680965.96810456121</v>
      </c>
      <c r="E40" s="106"/>
      <c r="F40" s="107">
        <v>9.0808131853113705E-3</v>
      </c>
      <c r="G40" s="108">
        <v>9.4315699650159377E-3</v>
      </c>
      <c r="H40" s="109"/>
      <c r="I40" s="57">
        <f t="shared" si="1"/>
        <v>1854384.1726894446</v>
      </c>
      <c r="J40" s="57">
        <f t="shared" si="2"/>
        <v>1364644.4941342203</v>
      </c>
      <c r="K40" s="58"/>
      <c r="L40" s="58"/>
      <c r="M40" s="58"/>
      <c r="N40" s="60"/>
      <c r="O40" s="61"/>
      <c r="P40" s="60">
        <f>ROUND((I40/$D40),4)</f>
        <v>2.7231999999999998</v>
      </c>
      <c r="Q40" s="62">
        <f>ROUND((J40/$D40),4)</f>
        <v>2.004</v>
      </c>
      <c r="R40" s="59"/>
      <c r="S40" s="30"/>
      <c r="T40" s="30"/>
    </row>
    <row r="41" spans="1:20" x14ac:dyDescent="0.2">
      <c r="C41" s="63"/>
    </row>
    <row r="42" spans="1:20" x14ac:dyDescent="0.2">
      <c r="C42" s="63"/>
    </row>
    <row r="43" spans="1:20" x14ac:dyDescent="0.2">
      <c r="C43" s="63"/>
    </row>
    <row r="44" spans="1:20" x14ac:dyDescent="0.2">
      <c r="C44" s="63"/>
    </row>
    <row r="45" spans="1:20" x14ac:dyDescent="0.2">
      <c r="C45" s="63"/>
    </row>
    <row r="60" spans="5:5" x14ac:dyDescent="0.2">
      <c r="E60" s="64" t="e">
        <f>C41/#REF!</f>
        <v>#REF!</v>
      </c>
    </row>
    <row r="61" spans="5:5" x14ac:dyDescent="0.2">
      <c r="E61" s="64" t="e">
        <f>C42/#REF!</f>
        <v>#REF!</v>
      </c>
    </row>
    <row r="62" spans="5:5" x14ac:dyDescent="0.2">
      <c r="E62" s="64" t="e">
        <f>C43/#REF!</f>
        <v>#REF!</v>
      </c>
    </row>
  </sheetData>
  <autoFilter ref="A13:R13" xr:uid="{00000000-0009-0000-0000-000009000000}"/>
  <mergeCells count="6">
    <mergeCell ref="C12:E12"/>
    <mergeCell ref="I12:M12"/>
    <mergeCell ref="F12:H12"/>
    <mergeCell ref="N12:R12"/>
    <mergeCell ref="N13:O13"/>
    <mergeCell ref="P13:R13"/>
  </mergeCells>
  <dataValidations count="1">
    <dataValidation type="list" allowBlank="1" showInputMessage="1" showErrorMessage="1" sqref="I5" xr:uid="{48610614-7F41-49A0-975D-815BD99DF3B2}">
      <formula1>$I$6:$I$11</formula1>
    </dataValidation>
  </dataValidations>
  <printOptions horizontalCentered="1"/>
  <pageMargins left="0.45" right="0.45" top="1.25" bottom="1" header="0.5" footer="0.5"/>
  <pageSetup paperSize="17"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130A0D-807E-4A96-A378-074F2E5F0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97C02B-492D-412D-9915-8AFE147EC974}">
  <ds:schemaRefs>
    <ds:schemaRef ds:uri="http://purl.org/dc/terms/"/>
    <ds:schemaRef ds:uri="00b55595-d4eb-41d0-b489-5e4082844449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55d006e-4328-435c-8eaf-eb0f0d39f0e2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F45858F-BF6D-4A66-B5AD-75ACA3F41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LEE Julie(Qiu Ling)</cp:lastModifiedBy>
  <cp:revision/>
  <cp:lastPrinted>2022-10-11T19:49:56Z</cp:lastPrinted>
  <dcterms:created xsi:type="dcterms:W3CDTF">2022-10-01T02:51:43Z</dcterms:created>
  <dcterms:modified xsi:type="dcterms:W3CDTF">2022-10-11T19:50:07Z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