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 documentId="6_{0CAD8389-A550-478F-8B8F-EE11C675AE9A}" xr6:coauthVersionLast="47" xr6:coauthVersionMax="47" xr10:uidLastSave="{3575B155-AEC8-48D9-877E-6E9A61326116}"/>
  <bookViews>
    <workbookView xWindow="8805" yWindow="2940" windowWidth="19185" windowHeight="10380" xr2:uid="{33E0B723-9362-4510-9B72-F6CE02DE48A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K37" i="1"/>
  <c r="J37" i="1"/>
  <c r="I37" i="1"/>
  <c r="H37" i="1"/>
  <c r="H39" i="1" s="1"/>
  <c r="G37" i="1"/>
  <c r="L37" i="1" s="1"/>
  <c r="K32" i="1"/>
  <c r="J32" i="1"/>
  <c r="I32" i="1"/>
  <c r="H32" i="1"/>
  <c r="G32" i="1"/>
  <c r="G31" i="1"/>
  <c r="G33" i="1" s="1"/>
  <c r="L27" i="1"/>
  <c r="J27" i="1"/>
  <c r="G25" i="1"/>
  <c r="L24" i="1"/>
  <c r="K24" i="1"/>
  <c r="J24" i="1"/>
  <c r="I24" i="1"/>
  <c r="H24" i="1"/>
  <c r="H25" i="1" s="1"/>
  <c r="K23" i="1"/>
  <c r="K25" i="1" s="1"/>
  <c r="K29" i="1" s="1"/>
  <c r="J23" i="1"/>
  <c r="J25" i="1" s="1"/>
  <c r="I23" i="1"/>
  <c r="I25" i="1" s="1"/>
  <c r="H23" i="1"/>
  <c r="K21" i="1"/>
  <c r="J21" i="1"/>
  <c r="I21" i="1"/>
  <c r="H21" i="1"/>
  <c r="G21" i="1"/>
  <c r="L21" i="1" s="1"/>
  <c r="J19" i="1"/>
  <c r="H19" i="1"/>
  <c r="K18" i="1"/>
  <c r="I18" i="1"/>
  <c r="L18" i="1" s="1"/>
  <c r="H18" i="1"/>
  <c r="G18" i="1"/>
  <c r="K17" i="1"/>
  <c r="K19" i="1" s="1"/>
  <c r="I17" i="1"/>
  <c r="I19" i="1" s="1"/>
  <c r="H17" i="1"/>
  <c r="G17" i="1"/>
  <c r="L17" i="1" s="1"/>
  <c r="L19" i="1" s="1"/>
  <c r="G15" i="1"/>
  <c r="K14" i="1"/>
  <c r="J14" i="1"/>
  <c r="L14" i="1" s="1"/>
  <c r="I14" i="1"/>
  <c r="H14" i="1"/>
  <c r="G14" i="1"/>
  <c r="K13" i="1"/>
  <c r="K15" i="1" s="1"/>
  <c r="J13" i="1"/>
  <c r="J15" i="1" s="1"/>
  <c r="I13" i="1"/>
  <c r="I15" i="1" s="1"/>
  <c r="H13" i="1"/>
  <c r="L13" i="1" s="1"/>
  <c r="G13" i="1"/>
  <c r="H31" i="1" l="1"/>
  <c r="H33" i="1" s="1"/>
  <c r="I31" i="1" s="1"/>
  <c r="I33" i="1" s="1"/>
  <c r="J31" i="1" s="1"/>
  <c r="J33" i="1" s="1"/>
  <c r="K31" i="1" s="1"/>
  <c r="K33" i="1" s="1"/>
  <c r="L31" i="1" s="1"/>
  <c r="L33" i="1" s="1"/>
  <c r="L35" i="1" s="1"/>
  <c r="L41" i="1" s="1"/>
  <c r="J29" i="1"/>
  <c r="H29" i="1"/>
  <c r="I39" i="1"/>
  <c r="J39" i="1" s="1"/>
  <c r="K39" i="1" s="1"/>
  <c r="L39" i="1" s="1"/>
  <c r="I29" i="1"/>
  <c r="L15" i="1"/>
  <c r="G19" i="1"/>
  <c r="G29" i="1" s="1"/>
  <c r="L23" i="1"/>
  <c r="L25" i="1" s="1"/>
  <c r="L29" i="1" s="1"/>
  <c r="H15" i="1"/>
  <c r="G35" i="1" l="1"/>
  <c r="H35" i="1" l="1"/>
  <c r="G41" i="1"/>
  <c r="H41" i="1" l="1"/>
  <c r="I35" i="1"/>
  <c r="I41" i="1" l="1"/>
  <c r="J35" i="1"/>
  <c r="K35" i="1" l="1"/>
  <c r="K41" i="1" s="1"/>
  <c r="J41" i="1"/>
</calcChain>
</file>

<file path=xl/sharedStrings.xml><?xml version="1.0" encoding="utf-8"?>
<sst xmlns="http://schemas.openxmlformats.org/spreadsheetml/2006/main" count="80" uniqueCount="73">
  <si>
    <t>Proposed for Clearance</t>
  </si>
  <si>
    <t>Accounting Policy Changes Deferral Account</t>
  </si>
  <si>
    <t>Summary of Cumulative 2023 Revenue Requirement Impact</t>
  </si>
  <si>
    <t>Line No.</t>
  </si>
  <si>
    <t>Particulars ($ millions)</t>
  </si>
  <si>
    <t>Rate Zone</t>
  </si>
  <si>
    <t>2019 Actual</t>
  </si>
  <si>
    <t>2020 Actual</t>
  </si>
  <si>
    <t>2021 Actual</t>
  </si>
  <si>
    <t>2022 Estimate</t>
  </si>
  <si>
    <t>2023 Bridge Year</t>
  </si>
  <si>
    <t>Cumulative Total</t>
  </si>
  <si>
    <t>(a)</t>
  </si>
  <si>
    <t>(b)</t>
  </si>
  <si>
    <t>(c)</t>
  </si>
  <si>
    <t>(d)</t>
  </si>
  <si>
    <t>(e)</t>
  </si>
  <si>
    <t>(f)</t>
  </si>
  <si>
    <t>1</t>
  </si>
  <si>
    <t>Change from Capital to O&amp;M (1)</t>
  </si>
  <si>
    <t>EGD</t>
  </si>
  <si>
    <t>2</t>
  </si>
  <si>
    <t>Change from O&amp;M to Capital (2)</t>
  </si>
  <si>
    <t>Union</t>
  </si>
  <si>
    <t>3</t>
  </si>
  <si>
    <t>Total Capitalization vs. Expense</t>
  </si>
  <si>
    <t>4</t>
  </si>
  <si>
    <t>Change in IDC Rate from WACD to CWIP (3) (4)</t>
  </si>
  <si>
    <t>5</t>
  </si>
  <si>
    <t>Removal of IDC Threshold (5)</t>
  </si>
  <si>
    <t>6</t>
  </si>
  <si>
    <t>Total IDC</t>
  </si>
  <si>
    <t>7</t>
  </si>
  <si>
    <t>Depreciation Expense (change from half-year rule) (6)</t>
  </si>
  <si>
    <t>8</t>
  </si>
  <si>
    <t>Overhead Capitalization Changes (7)</t>
  </si>
  <si>
    <t>9</t>
  </si>
  <si>
    <t>Overhead Capitalization Changes (8)</t>
  </si>
  <si>
    <t>10</t>
  </si>
  <si>
    <t>Total Overhead Capitalization Changes</t>
  </si>
  <si>
    <t>11</t>
  </si>
  <si>
    <t>Amortized Gas Supply Storage and Transportation Costs</t>
  </si>
  <si>
    <t>12</t>
  </si>
  <si>
    <t>Total of APCDA - Other (non-pension related balances)</t>
  </si>
  <si>
    <t>Opening Balance of Pre-17 Pension Actuarial Losses</t>
  </si>
  <si>
    <t>Continued Amortization of Pre-17 Pension Actuarial Losses</t>
  </si>
  <si>
    <t>Ending Pension &amp; OPEB (Unamortized Pre-17 Pension Actuarial Losses) (9)</t>
  </si>
  <si>
    <t>Total Cumulative Revenue Requirement Impact</t>
  </si>
  <si>
    <t>Annual Interest (10)</t>
  </si>
  <si>
    <t>Total Cumulative Interest</t>
  </si>
  <si>
    <t>Total APCDA Impact with Interest</t>
  </si>
  <si>
    <t>Notes:</t>
  </si>
  <si>
    <t>(1)</t>
  </si>
  <si>
    <t>Exhibit 9, Tab 2, Schedule 1, Attachment 4, page 1.</t>
  </si>
  <si>
    <t>(2)</t>
  </si>
  <si>
    <t>Exhibit 9, Tab 2, Schedule 1, Attachment 4, page 2.</t>
  </si>
  <si>
    <t>(3)</t>
  </si>
  <si>
    <t xml:space="preserve">2020 revenue requirement includes a true-up of $0.249 booked in the 2021 APCDA. There was a change in the weighted average cost of debt (WACD) rate that wasn't captured until after 2020 results had already been filed with the OEB in the 2020 Earnings Sharing and Deferrals Disposition proceeding (EB-2021-0149). 
</t>
  </si>
  <si>
    <t>(4)</t>
  </si>
  <si>
    <t>Exhibit 9, Tab 2, Schedule 1, Attachment 4, page 3.</t>
  </si>
  <si>
    <t>(5)</t>
  </si>
  <si>
    <t>Exhibit 9, Tab 2, Schedule 1, Attachment 4, page 4.</t>
  </si>
  <si>
    <t>(6)</t>
  </si>
  <si>
    <t>Exhibit 9, Tab 2, Schedule 1, Attachment 4, page 5.</t>
  </si>
  <si>
    <t>(7)</t>
  </si>
  <si>
    <t>Exhibit 9, Tab 2, Schedule 1, Attachment 4, page 6.</t>
  </si>
  <si>
    <t>(8)</t>
  </si>
  <si>
    <t>Exhibit 9, Tab 2, Schedule 1, Attachment 4, page 7.</t>
  </si>
  <si>
    <t>(9)</t>
  </si>
  <si>
    <t>Exhibit 9, Tab 2, Schedule 1, Attachment 4, page 8.</t>
  </si>
  <si>
    <t>(10)</t>
  </si>
  <si>
    <t>Interest is not calculated on unamortized pre-17 pension actuarial losses.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</si>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</sst>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0."/>
    <numFmt numFmtId="166" formatCode="_(* #,##0.0_);_(* \(#,##0.0\);_(* &quot;-&quot;??_);_(@_)"/>
    <numFmt numFmtId="167" formatCode="#,##0.0_);\(#,##0.0\)"/>
    <numFmt numFmtId="168" formatCode="#,##0.0_);\(#,##0.0\);\-"/>
  </numFmts>
  <fonts count="6" x14ac:knownFonts="1">
    <font>
      <sz val="11"/>
      <color theme="1"/>
      <name val="Calibri"/>
      <family val="2"/>
      <scheme val="minor"/>
    </font>
    <font>
      <sz val="11"/>
      <color theme="1"/>
      <name val="Calibri"/>
      <family val="2"/>
      <scheme val="minor"/>
    </font>
    <font>
      <sz val="10"/>
      <color theme="1"/>
      <name val="Arial"/>
      <family val="2"/>
    </font>
    <font>
      <sz val="10"/>
      <name val="Arial"/>
      <family val="2"/>
    </font>
    <font>
      <u/>
      <sz val="10"/>
      <name val="Arial"/>
      <family val="2"/>
    </font>
    <font>
      <u/>
      <sz val="10"/>
      <color theme="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3" fillId="0" borderId="0"/>
    <xf numFmtId="0" fontId="3" fillId="0" borderId="0"/>
  </cellStyleXfs>
  <cellXfs count="4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right" vertical="center"/>
    </xf>
    <xf numFmtId="0" fontId="3" fillId="0" borderId="0" xfId="2" applyAlignment="1">
      <alignment horizontal="center"/>
    </xf>
    <xf numFmtId="0" fontId="3" fillId="0" borderId="0" xfId="2"/>
    <xf numFmtId="164" fontId="3" fillId="0" borderId="0" xfId="2" applyNumberFormat="1" applyAlignment="1">
      <alignment horizontal="center"/>
    </xf>
    <xf numFmtId="0" fontId="3" fillId="0" borderId="1" xfId="2" applyBorder="1" applyAlignment="1">
      <alignment horizontal="center" wrapText="1"/>
    </xf>
    <xf numFmtId="0" fontId="3" fillId="0" borderId="0" xfId="2" applyAlignment="1">
      <alignment horizontal="center" wrapText="1"/>
    </xf>
    <xf numFmtId="0" fontId="3" fillId="0" borderId="1" xfId="2" applyBorder="1" applyAlignment="1">
      <alignment horizontal="left"/>
    </xf>
    <xf numFmtId="0" fontId="3" fillId="0" borderId="0" xfId="2" applyAlignment="1">
      <alignment horizontal="left"/>
    </xf>
    <xf numFmtId="0" fontId="3" fillId="0" borderId="1" xfId="2" applyBorder="1" applyAlignment="1">
      <alignment horizontal="center"/>
    </xf>
    <xf numFmtId="164" fontId="3" fillId="0" borderId="0" xfId="2" quotePrefix="1" applyNumberFormat="1" applyAlignment="1">
      <alignment horizontal="center"/>
    </xf>
    <xf numFmtId="165" fontId="3" fillId="0" borderId="0" xfId="2" applyNumberFormat="1" applyAlignment="1">
      <alignment horizontal="center"/>
    </xf>
    <xf numFmtId="0" fontId="5" fillId="0" borderId="0" xfId="0" applyFont="1"/>
    <xf numFmtId="0" fontId="5" fillId="0" borderId="0" xfId="0" applyFont="1" applyAlignment="1">
      <alignment horizontal="center"/>
    </xf>
    <xf numFmtId="166" fontId="2" fillId="0" borderId="0" xfId="0" applyNumberFormat="1" applyFont="1" applyAlignment="1">
      <alignment horizontal="center" wrapText="1"/>
    </xf>
    <xf numFmtId="166" fontId="2" fillId="0" borderId="0" xfId="0" applyNumberFormat="1" applyFont="1" applyAlignment="1">
      <alignment wrapText="1"/>
    </xf>
    <xf numFmtId="165" fontId="3" fillId="0" borderId="0" xfId="2" quotePrefix="1" applyNumberFormat="1" applyAlignment="1">
      <alignment horizontal="center"/>
    </xf>
    <xf numFmtId="167" fontId="2" fillId="0" borderId="0" xfId="0" applyNumberFormat="1" applyFont="1" applyAlignment="1">
      <alignment horizontal="center" wrapText="1"/>
    </xf>
    <xf numFmtId="167" fontId="2" fillId="0" borderId="1" xfId="0" applyNumberFormat="1" applyFont="1" applyBorder="1" applyAlignment="1">
      <alignment horizontal="center" wrapText="1"/>
    </xf>
    <xf numFmtId="0" fontId="3" fillId="0" borderId="0" xfId="2" applyAlignment="1">
      <alignment horizontal="left" indent="2"/>
    </xf>
    <xf numFmtId="168" fontId="2" fillId="0" borderId="0" xfId="0" applyNumberFormat="1" applyFont="1" applyAlignment="1">
      <alignment horizontal="center" wrapText="1"/>
    </xf>
    <xf numFmtId="168" fontId="2" fillId="0" borderId="1" xfId="0" applyNumberFormat="1" applyFont="1" applyBorder="1" applyAlignment="1">
      <alignment horizontal="center" wrapText="1"/>
    </xf>
    <xf numFmtId="165" fontId="3" fillId="0" borderId="0" xfId="2" applyNumberFormat="1" applyAlignment="1">
      <alignment horizontal="center" vertical="top"/>
    </xf>
    <xf numFmtId="165" fontId="3" fillId="0" borderId="0" xfId="2" applyNumberFormat="1" applyAlignment="1">
      <alignment horizontal="left" vertical="top"/>
    </xf>
    <xf numFmtId="43" fontId="2" fillId="0" borderId="0" xfId="1" applyFont="1" applyBorder="1" applyAlignment="1">
      <alignment horizontal="center"/>
    </xf>
    <xf numFmtId="167" fontId="3" fillId="0" borderId="1" xfId="3" applyNumberFormat="1" applyBorder="1" applyAlignment="1">
      <alignment horizontal="center"/>
    </xf>
    <xf numFmtId="1" fontId="3" fillId="0" borderId="0" xfId="2" quotePrefix="1" applyNumberFormat="1" applyAlignment="1">
      <alignment horizontal="center"/>
    </xf>
    <xf numFmtId="0" fontId="3" fillId="0" borderId="0" xfId="2" applyAlignment="1">
      <alignment horizontal="left" wrapText="1" indent="3"/>
    </xf>
    <xf numFmtId="167" fontId="3" fillId="0" borderId="2" xfId="3" applyNumberFormat="1" applyBorder="1" applyAlignment="1">
      <alignment horizontal="center"/>
    </xf>
    <xf numFmtId="43" fontId="3" fillId="0" borderId="0" xfId="2" applyNumberFormat="1" applyAlignment="1">
      <alignment horizontal="center"/>
    </xf>
    <xf numFmtId="43" fontId="3" fillId="0" borderId="0" xfId="2" applyNumberFormat="1" applyAlignment="1">
      <alignment horizontal="left"/>
    </xf>
    <xf numFmtId="0" fontId="2" fillId="0" borderId="0" xfId="0" quotePrefix="1" applyFont="1" applyAlignment="1">
      <alignment horizontal="center" vertical="top"/>
    </xf>
    <xf numFmtId="0" fontId="2" fillId="0" borderId="0" xfId="0" quotePrefix="1" applyFont="1" applyAlignment="1">
      <alignment horizontal="center"/>
    </xf>
    <xf numFmtId="0" fontId="3" fillId="0" borderId="0" xfId="2" applyAlignment="1">
      <alignment horizontal="left" vertical="top" wrapText="1"/>
    </xf>
    <xf numFmtId="166" fontId="3" fillId="0" borderId="0" xfId="2" applyNumberFormat="1" applyAlignment="1">
      <alignment horizontal="center"/>
    </xf>
    <xf numFmtId="166" fontId="3" fillId="0" borderId="0" xfId="2" applyNumberFormat="1" applyAlignment="1">
      <alignment horizontal="left"/>
    </xf>
    <xf numFmtId="43" fontId="2" fillId="0" borderId="0" xfId="0" applyNumberFormat="1" applyFont="1" applyAlignment="1">
      <alignment horizontal="center"/>
    </xf>
    <xf numFmtId="43" fontId="2" fillId="0" borderId="0" xfId="0" applyNumberFormat="1" applyFont="1"/>
    <xf numFmtId="0" fontId="4" fillId="0" borderId="0" xfId="2" applyFont="1" applyAlignment="1">
      <alignment horizontal="center"/>
    </xf>
    <xf numFmtId="0" fontId="3" fillId="0" borderId="0" xfId="2" applyAlignment="1">
      <alignment horizontal="left" vertical="top" wrapText="1"/>
    </xf>
  </cellXfs>
  <cellStyles count="4">
    <cellStyle name="Comma" xfId="1" builtinId="3"/>
    <cellStyle name="Normal" xfId="0" builtinId="0"/>
    <cellStyle name="Normal 7" xfId="2" xr:uid="{6D449C0F-8456-40E1-A1CD-96D1C92EFE8F}"/>
    <cellStyle name="Normal 7 2" xfId="3" xr:uid="{F0D7CD9A-86AD-412C-82C7-39E19B7AB3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DFF5-7949-4166-8ED6-AB74A3C6415F}">
  <sheetPr>
    <pageSetUpPr fitToPage="1"/>
  </sheetPr>
  <dimension ref="A1:L56"/>
  <sheetViews>
    <sheetView tabSelected="1" view="pageLayout" zoomScaleNormal="100" workbookViewId="0">
      <selection activeCell="C3" sqref="C3"/>
    </sheetView>
  </sheetViews>
  <sheetFormatPr defaultRowHeight="15" x14ac:dyDescent="0.25"/>
  <cols>
    <col min="1" max="1" width="6.5703125" style="1" customWidth="1"/>
    <col min="2" max="2" width="1.28515625" style="1" customWidth="1"/>
    <col min="3" max="3" width="65.28515625" style="1" customWidth="1"/>
    <col min="4" max="4" width="1.140625" style="1" customWidth="1"/>
    <col min="5" max="5" width="11.5703125" style="1" bestFit="1" customWidth="1"/>
    <col min="6" max="6" width="1.28515625" style="1" customWidth="1"/>
    <col min="7" max="7" width="12.28515625" style="2" customWidth="1"/>
    <col min="8" max="9" width="12.28515625" style="2" bestFit="1" customWidth="1"/>
    <col min="10" max="10" width="13.85546875" style="2" bestFit="1" customWidth="1"/>
    <col min="11" max="11" width="17" style="1" bestFit="1" customWidth="1"/>
    <col min="12" max="12" width="15.7109375" style="1" bestFit="1" customWidth="1"/>
  </cols>
  <sheetData>
    <row r="1" spans="1:12" x14ac:dyDescent="0.25">
      <c r="L1" s="3"/>
    </row>
    <row r="2" spans="1:12" x14ac:dyDescent="0.25">
      <c r="L2" s="3"/>
    </row>
    <row r="3" spans="1:12" x14ac:dyDescent="0.25">
      <c r="L3" s="3"/>
    </row>
    <row r="4" spans="1:12" x14ac:dyDescent="0.25">
      <c r="L4" s="3"/>
    </row>
    <row r="5" spans="1:12" x14ac:dyDescent="0.25">
      <c r="L5" s="3"/>
    </row>
    <row r="6" spans="1:12" x14ac:dyDescent="0.25">
      <c r="A6" s="40" t="s">
        <v>0</v>
      </c>
      <c r="B6" s="40"/>
      <c r="C6" s="40"/>
      <c r="D6" s="40"/>
      <c r="E6" s="40"/>
      <c r="F6" s="40"/>
      <c r="G6" s="40"/>
      <c r="H6" s="40"/>
      <c r="I6" s="40"/>
      <c r="J6" s="40"/>
      <c r="K6" s="40"/>
      <c r="L6" s="40"/>
    </row>
    <row r="7" spans="1:12" x14ac:dyDescent="0.25">
      <c r="A7" s="40" t="s">
        <v>1</v>
      </c>
      <c r="B7" s="40"/>
      <c r="C7" s="40"/>
      <c r="D7" s="40"/>
      <c r="E7" s="40"/>
      <c r="F7" s="40"/>
      <c r="G7" s="40"/>
      <c r="H7" s="40"/>
      <c r="I7" s="40"/>
      <c r="J7" s="40"/>
      <c r="K7" s="40"/>
      <c r="L7" s="40"/>
    </row>
    <row r="8" spans="1:12" x14ac:dyDescent="0.25">
      <c r="A8" s="40" t="s">
        <v>2</v>
      </c>
      <c r="B8" s="40"/>
      <c r="C8" s="40"/>
      <c r="D8" s="40"/>
      <c r="E8" s="40"/>
      <c r="F8" s="40"/>
      <c r="G8" s="40"/>
      <c r="H8" s="40"/>
      <c r="I8" s="40"/>
      <c r="J8" s="40"/>
      <c r="K8" s="40"/>
      <c r="L8" s="40"/>
    </row>
    <row r="9" spans="1:12" x14ac:dyDescent="0.25">
      <c r="A9" s="4"/>
      <c r="B9" s="4"/>
      <c r="C9" s="5"/>
      <c r="D9" s="5"/>
      <c r="E9" s="5"/>
      <c r="F9" s="5"/>
      <c r="G9" s="4"/>
      <c r="H9" s="4"/>
      <c r="I9" s="4"/>
      <c r="J9" s="4"/>
      <c r="K9" s="5"/>
      <c r="L9" s="6"/>
    </row>
    <row r="10" spans="1:12" ht="26.25" x14ac:dyDescent="0.25">
      <c r="A10" s="7" t="s">
        <v>3</v>
      </c>
      <c r="B10" s="8"/>
      <c r="C10" s="9" t="s">
        <v>4</v>
      </c>
      <c r="D10" s="10"/>
      <c r="E10" s="11" t="s">
        <v>5</v>
      </c>
      <c r="F10" s="10"/>
      <c r="G10" s="7" t="s">
        <v>6</v>
      </c>
      <c r="H10" s="7" t="s">
        <v>7</v>
      </c>
      <c r="I10" s="7" t="s">
        <v>8</v>
      </c>
      <c r="J10" s="7" t="s">
        <v>9</v>
      </c>
      <c r="K10" s="7" t="s">
        <v>10</v>
      </c>
      <c r="L10" s="7" t="s">
        <v>11</v>
      </c>
    </row>
    <row r="11" spans="1:12" x14ac:dyDescent="0.25">
      <c r="A11" s="5"/>
      <c r="B11" s="5"/>
      <c r="C11" s="4"/>
      <c r="D11" s="4"/>
      <c r="E11" s="4"/>
      <c r="F11" s="4"/>
      <c r="G11" s="12" t="s">
        <v>12</v>
      </c>
      <c r="H11" s="12" t="s">
        <v>13</v>
      </c>
      <c r="I11" s="12" t="s">
        <v>14</v>
      </c>
      <c r="J11" s="12" t="s">
        <v>15</v>
      </c>
      <c r="K11" s="12" t="s">
        <v>16</v>
      </c>
      <c r="L11" s="12" t="s">
        <v>17</v>
      </c>
    </row>
    <row r="12" spans="1:12" x14ac:dyDescent="0.25">
      <c r="A12" s="13"/>
      <c r="B12" s="13"/>
      <c r="C12" s="14"/>
      <c r="D12" s="14"/>
      <c r="E12" s="15"/>
      <c r="F12" s="14"/>
      <c r="G12" s="16"/>
      <c r="H12" s="16"/>
      <c r="I12" s="16"/>
      <c r="J12" s="16"/>
      <c r="K12" s="17"/>
    </row>
    <row r="13" spans="1:12" x14ac:dyDescent="0.25">
      <c r="A13" s="18" t="s">
        <v>18</v>
      </c>
      <c r="B13" s="18"/>
      <c r="C13" s="10" t="s">
        <v>19</v>
      </c>
      <c r="D13" s="10"/>
      <c r="E13" s="4" t="s">
        <v>20</v>
      </c>
      <c r="F13" s="10"/>
      <c r="G13" s="19">
        <f>5798.2234595/1000</f>
        <v>5.7982234595</v>
      </c>
      <c r="H13" s="19">
        <f>640.4/1000</f>
        <v>0.64039999999999997</v>
      </c>
      <c r="I13" s="19">
        <f>360/1000</f>
        <v>0.36</v>
      </c>
      <c r="J13" s="19">
        <f>778.4/1000</f>
        <v>0.77839999999999998</v>
      </c>
      <c r="K13" s="19">
        <f>322.3/1000</f>
        <v>0.32230000000000003</v>
      </c>
      <c r="L13" s="19">
        <f>SUM(G13:K13)</f>
        <v>7.8993234594999997</v>
      </c>
    </row>
    <row r="14" spans="1:12" x14ac:dyDescent="0.25">
      <c r="A14" s="18" t="s">
        <v>21</v>
      </c>
      <c r="B14" s="18"/>
      <c r="C14" s="5" t="s">
        <v>22</v>
      </c>
      <c r="D14" s="5"/>
      <c r="E14" s="4" t="s">
        <v>23</v>
      </c>
      <c r="F14" s="5"/>
      <c r="G14" s="20">
        <f>-1395.87342051416/1000</f>
        <v>-1.3958734205141601</v>
      </c>
      <c r="H14" s="20">
        <f>-5828.272/1000</f>
        <v>-5.8282720000000001</v>
      </c>
      <c r="I14" s="20">
        <f>-3983.7/1000</f>
        <v>-3.9836999999999998</v>
      </c>
      <c r="J14" s="20">
        <f>-2645.7/1000</f>
        <v>-2.6456999999999997</v>
      </c>
      <c r="K14" s="20">
        <f>-5711.3/1000</f>
        <v>-5.7113000000000005</v>
      </c>
      <c r="L14" s="20">
        <f>SUM(G14:K14)</f>
        <v>-19.56484542051416</v>
      </c>
    </row>
    <row r="15" spans="1:12" x14ac:dyDescent="0.25">
      <c r="A15" s="18" t="s">
        <v>24</v>
      </c>
      <c r="B15" s="18"/>
      <c r="C15" s="21" t="s">
        <v>25</v>
      </c>
      <c r="D15" s="21"/>
      <c r="E15" s="4"/>
      <c r="F15" s="5"/>
      <c r="G15" s="19">
        <f>SUM(G13:G14)</f>
        <v>4.4023500389858397</v>
      </c>
      <c r="H15" s="19">
        <f t="shared" ref="H15:L15" si="0">SUM(H13:H14)</f>
        <v>-5.1878720000000005</v>
      </c>
      <c r="I15" s="19">
        <f t="shared" si="0"/>
        <v>-3.6236999999999999</v>
      </c>
      <c r="J15" s="19">
        <f t="shared" si="0"/>
        <v>-1.8672999999999997</v>
      </c>
      <c r="K15" s="19">
        <f t="shared" si="0"/>
        <v>-5.3890000000000002</v>
      </c>
      <c r="L15" s="19">
        <f t="shared" si="0"/>
        <v>-11.665521961014161</v>
      </c>
    </row>
    <row r="16" spans="1:12" x14ac:dyDescent="0.25">
      <c r="A16" s="13"/>
      <c r="B16" s="13"/>
      <c r="C16" s="5"/>
      <c r="D16" s="5"/>
      <c r="E16" s="4"/>
      <c r="F16" s="5"/>
      <c r="G16" s="16"/>
      <c r="H16" s="16"/>
      <c r="I16" s="16"/>
      <c r="J16" s="16"/>
      <c r="K16" s="17"/>
      <c r="L16" s="17"/>
    </row>
    <row r="17" spans="1:12" x14ac:dyDescent="0.25">
      <c r="A17" s="18" t="s">
        <v>26</v>
      </c>
      <c r="B17" s="18"/>
      <c r="C17" s="10" t="s">
        <v>27</v>
      </c>
      <c r="D17" s="10"/>
      <c r="E17" s="4" t="s">
        <v>20</v>
      </c>
      <c r="F17" s="10"/>
      <c r="G17" s="19">
        <f>538.8/1000</f>
        <v>0.53879999999999995</v>
      </c>
      <c r="H17" s="19">
        <f>1034.6/1000</f>
        <v>1.0346</v>
      </c>
      <c r="I17" s="19">
        <f>785.3/1000</f>
        <v>0.7853</v>
      </c>
      <c r="J17" s="22">
        <v>0</v>
      </c>
      <c r="K17" s="19">
        <f>1/1000</f>
        <v>1E-3</v>
      </c>
      <c r="L17" s="19">
        <f t="shared" ref="L17:L27" si="1">SUM(G17:K17)</f>
        <v>2.3596999999999997</v>
      </c>
    </row>
    <row r="18" spans="1:12" x14ac:dyDescent="0.25">
      <c r="A18" s="18" t="s">
        <v>28</v>
      </c>
      <c r="B18" s="18"/>
      <c r="C18" s="5" t="s">
        <v>29</v>
      </c>
      <c r="D18" s="5"/>
      <c r="E18" s="4" t="s">
        <v>23</v>
      </c>
      <c r="F18" s="5"/>
      <c r="G18" s="20">
        <f>-608.3/1000</f>
        <v>-0.60829999999999995</v>
      </c>
      <c r="H18" s="20">
        <f>-77.7/1000</f>
        <v>-7.7700000000000005E-2</v>
      </c>
      <c r="I18" s="20">
        <f>-323.7/1000</f>
        <v>-0.32369999999999999</v>
      </c>
      <c r="J18" s="23">
        <v>0</v>
      </c>
      <c r="K18" s="20">
        <f>182.3/1000</f>
        <v>0.18230000000000002</v>
      </c>
      <c r="L18" s="20">
        <f>SUM(G18:K18)</f>
        <v>-0.82740000000000002</v>
      </c>
    </row>
    <row r="19" spans="1:12" x14ac:dyDescent="0.25">
      <c r="A19" s="18" t="s">
        <v>30</v>
      </c>
      <c r="B19" s="18"/>
      <c r="C19" s="21" t="s">
        <v>31</v>
      </c>
      <c r="D19" s="21"/>
      <c r="E19" s="4"/>
      <c r="F19" s="5"/>
      <c r="G19" s="19">
        <f>SUM(G17:G18)</f>
        <v>-6.9500000000000006E-2</v>
      </c>
      <c r="H19" s="19">
        <f t="shared" ref="H19:L19" si="2">SUM(H17:H18)</f>
        <v>0.95689999999999997</v>
      </c>
      <c r="I19" s="19">
        <f t="shared" si="2"/>
        <v>0.46160000000000001</v>
      </c>
      <c r="J19" s="22">
        <f t="shared" si="2"/>
        <v>0</v>
      </c>
      <c r="K19" s="19">
        <f t="shared" si="2"/>
        <v>0.18330000000000002</v>
      </c>
      <c r="L19" s="19">
        <f t="shared" si="2"/>
        <v>1.5322999999999998</v>
      </c>
    </row>
    <row r="20" spans="1:12" x14ac:dyDescent="0.25">
      <c r="A20" s="13"/>
      <c r="B20" s="13"/>
      <c r="C20" s="5"/>
      <c r="D20" s="5"/>
      <c r="E20" s="4"/>
      <c r="F20" s="5"/>
      <c r="G20" s="16"/>
      <c r="H20" s="16"/>
      <c r="I20" s="16"/>
      <c r="J20" s="16"/>
      <c r="K20" s="17"/>
      <c r="L20" s="17"/>
    </row>
    <row r="21" spans="1:12" x14ac:dyDescent="0.25">
      <c r="A21" s="18" t="s">
        <v>32</v>
      </c>
      <c r="B21" s="18"/>
      <c r="C21" s="5" t="s">
        <v>33</v>
      </c>
      <c r="D21" s="5"/>
      <c r="E21" s="4" t="s">
        <v>23</v>
      </c>
      <c r="F21" s="5"/>
      <c r="G21" s="20">
        <f>-6082.4294/1000</f>
        <v>-6.0824293999999997</v>
      </c>
      <c r="H21" s="20">
        <f>-4131.6225414966/1000</f>
        <v>-4.1316225414966006</v>
      </c>
      <c r="I21" s="20">
        <f>-5842/1000</f>
        <v>-5.8419999999999996</v>
      </c>
      <c r="J21" s="20">
        <f>-4359.5/1000</f>
        <v>-4.3594999999999997</v>
      </c>
      <c r="K21" s="20">
        <f>-10813.9/1000</f>
        <v>-10.8139</v>
      </c>
      <c r="L21" s="20">
        <f>SUM(G21:K21)</f>
        <v>-31.229451941496599</v>
      </c>
    </row>
    <row r="22" spans="1:12" x14ac:dyDescent="0.25">
      <c r="A22" s="13"/>
      <c r="B22" s="13"/>
      <c r="C22" s="5"/>
      <c r="D22" s="5"/>
      <c r="E22" s="4"/>
      <c r="F22" s="5"/>
      <c r="G22" s="16"/>
      <c r="H22" s="16"/>
      <c r="I22" s="16"/>
      <c r="J22" s="16"/>
      <c r="K22" s="17"/>
      <c r="L22" s="17"/>
    </row>
    <row r="23" spans="1:12" x14ac:dyDescent="0.25">
      <c r="A23" s="18" t="s">
        <v>34</v>
      </c>
      <c r="B23" s="18"/>
      <c r="C23" s="5" t="s">
        <v>35</v>
      </c>
      <c r="D23" s="5"/>
      <c r="E23" s="4" t="s">
        <v>20</v>
      </c>
      <c r="F23" s="5"/>
      <c r="G23" s="22">
        <v>0</v>
      </c>
      <c r="H23" s="19">
        <f>3426.9/1000</f>
        <v>3.4269000000000003</v>
      </c>
      <c r="I23" s="19">
        <f>5101.423/1000</f>
        <v>5.1014229999999996</v>
      </c>
      <c r="J23" s="19">
        <f>5595.2/1000</f>
        <v>5.5952000000000002</v>
      </c>
      <c r="K23" s="19">
        <f>8503/1000</f>
        <v>8.5030000000000001</v>
      </c>
      <c r="L23" s="19">
        <f>SUM(G23:K23)</f>
        <v>22.626522999999999</v>
      </c>
    </row>
    <row r="24" spans="1:12" x14ac:dyDescent="0.25">
      <c r="A24" s="18" t="s">
        <v>36</v>
      </c>
      <c r="B24" s="18"/>
      <c r="C24" s="5" t="s">
        <v>37</v>
      </c>
      <c r="D24" s="5"/>
      <c r="E24" s="4" t="s">
        <v>23</v>
      </c>
      <c r="F24" s="5"/>
      <c r="G24" s="23">
        <v>0</v>
      </c>
      <c r="H24" s="20">
        <f>-9853.697/1000</f>
        <v>-9.8536970000000004</v>
      </c>
      <c r="I24" s="20">
        <f>-9961.939/1000</f>
        <v>-9.961939000000001</v>
      </c>
      <c r="J24" s="20">
        <f>-13429.4/1000</f>
        <v>-13.429399999999999</v>
      </c>
      <c r="K24" s="20">
        <f>-25876.1/1000</f>
        <v>-25.876099999999997</v>
      </c>
      <c r="L24" s="20">
        <f t="shared" ref="L24" si="3">SUM(G24:K24)</f>
        <v>-59.121135999999993</v>
      </c>
    </row>
    <row r="25" spans="1:12" x14ac:dyDescent="0.25">
      <c r="A25" s="18" t="s">
        <v>38</v>
      </c>
      <c r="B25" s="18"/>
      <c r="C25" s="21" t="s">
        <v>39</v>
      </c>
      <c r="D25" s="21"/>
      <c r="E25" s="4"/>
      <c r="F25" s="5"/>
      <c r="G25" s="22">
        <f>SUM(G23:G24)</f>
        <v>0</v>
      </c>
      <c r="H25" s="19">
        <f t="shared" ref="H25:L25" si="4">SUM(H23:H24)</f>
        <v>-6.4267970000000005</v>
      </c>
      <c r="I25" s="19">
        <f t="shared" si="4"/>
        <v>-4.8605160000000014</v>
      </c>
      <c r="J25" s="19">
        <f t="shared" si="4"/>
        <v>-7.8341999999999992</v>
      </c>
      <c r="K25" s="19">
        <f t="shared" si="4"/>
        <v>-17.373099999999997</v>
      </c>
      <c r="L25" s="19">
        <f t="shared" si="4"/>
        <v>-36.494612999999994</v>
      </c>
    </row>
    <row r="26" spans="1:12" x14ac:dyDescent="0.25">
      <c r="A26" s="13"/>
      <c r="B26" s="13"/>
      <c r="C26" s="5"/>
      <c r="D26" s="5"/>
      <c r="E26" s="4"/>
      <c r="F26" s="5"/>
      <c r="G26" s="16"/>
      <c r="H26" s="16"/>
      <c r="I26" s="16"/>
      <c r="J26" s="16"/>
      <c r="K26" s="17"/>
      <c r="L26" s="17"/>
    </row>
    <row r="27" spans="1:12" x14ac:dyDescent="0.25">
      <c r="A27" s="18" t="s">
        <v>40</v>
      </c>
      <c r="B27" s="18"/>
      <c r="C27" s="5" t="s">
        <v>41</v>
      </c>
      <c r="D27" s="5"/>
      <c r="E27" s="24" t="s">
        <v>20</v>
      </c>
      <c r="F27" s="25"/>
      <c r="G27" s="23">
        <v>0</v>
      </c>
      <c r="H27" s="23">
        <v>0</v>
      </c>
      <c r="I27" s="23">
        <v>0</v>
      </c>
      <c r="J27" s="20">
        <f>64900/1000</f>
        <v>64.900000000000006</v>
      </c>
      <c r="K27" s="23">
        <v>0</v>
      </c>
      <c r="L27" s="20">
        <f t="shared" si="1"/>
        <v>64.900000000000006</v>
      </c>
    </row>
    <row r="28" spans="1:12" x14ac:dyDescent="0.25">
      <c r="A28" s="13"/>
      <c r="B28" s="13"/>
      <c r="C28" s="10"/>
      <c r="D28" s="10"/>
      <c r="E28" s="10"/>
      <c r="F28" s="10"/>
      <c r="G28" s="26"/>
      <c r="H28" s="16"/>
      <c r="I28" s="16"/>
      <c r="J28" s="16"/>
      <c r="K28" s="17"/>
      <c r="L28" s="17"/>
    </row>
    <row r="29" spans="1:12" x14ac:dyDescent="0.25">
      <c r="A29" s="18" t="s">
        <v>42</v>
      </c>
      <c r="B29" s="18"/>
      <c r="C29" s="10" t="s">
        <v>43</v>
      </c>
      <c r="D29" s="10"/>
      <c r="E29" s="10"/>
      <c r="F29" s="10"/>
      <c r="G29" s="27">
        <f>SUM(G27,G25,G21,G19,G15)</f>
        <v>-1.7495793610141597</v>
      </c>
      <c r="H29" s="27">
        <f t="shared" ref="H29:L29" si="5">SUM(H27,H25,H21,H19,H15)</f>
        <v>-14.789391541496602</v>
      </c>
      <c r="I29" s="27">
        <f t="shared" si="5"/>
        <v>-13.864616</v>
      </c>
      <c r="J29" s="27">
        <f t="shared" si="5"/>
        <v>50.839000000000013</v>
      </c>
      <c r="K29" s="27">
        <f t="shared" si="5"/>
        <v>-33.392699999999998</v>
      </c>
      <c r="L29" s="27">
        <f t="shared" si="5"/>
        <v>-12.957286902510749</v>
      </c>
    </row>
    <row r="30" spans="1:12" x14ac:dyDescent="0.25">
      <c r="A30" s="13"/>
      <c r="B30" s="13"/>
      <c r="C30" s="10"/>
      <c r="D30" s="10"/>
      <c r="E30" s="10"/>
      <c r="F30" s="10"/>
      <c r="G30" s="26"/>
      <c r="H30" s="16"/>
      <c r="I30" s="16"/>
      <c r="J30" s="16"/>
      <c r="K30" s="17"/>
      <c r="L30" s="17"/>
    </row>
    <row r="31" spans="1:12" x14ac:dyDescent="0.25">
      <c r="A31" s="28">
        <v>13</v>
      </c>
      <c r="B31" s="28"/>
      <c r="C31" s="10" t="s">
        <v>44</v>
      </c>
      <c r="D31" s="10"/>
      <c r="E31" s="10"/>
      <c r="F31" s="10"/>
      <c r="G31" s="19">
        <f>(211262396/1000)/1000</f>
        <v>211.262396</v>
      </c>
      <c r="H31" s="19">
        <f>G33</f>
        <v>193.75309999999999</v>
      </c>
      <c r="I31" s="19">
        <f t="shared" ref="I31:L31" si="6">H33</f>
        <v>181.4652000800001</v>
      </c>
      <c r="J31" s="19">
        <f t="shared" si="6"/>
        <v>169.4318000800001</v>
      </c>
      <c r="K31" s="19">
        <f t="shared" si="6"/>
        <v>157.3984000800001</v>
      </c>
      <c r="L31" s="19">
        <f t="shared" si="6"/>
        <v>155.16440008000009</v>
      </c>
    </row>
    <row r="32" spans="1:12" x14ac:dyDescent="0.25">
      <c r="A32" s="28">
        <v>14</v>
      </c>
      <c r="B32" s="28"/>
      <c r="C32" s="10" t="s">
        <v>45</v>
      </c>
      <c r="D32" s="10"/>
      <c r="E32" s="10"/>
      <c r="F32" s="10"/>
      <c r="G32" s="20">
        <f>(-17509296/1000)/1000</f>
        <v>-17.509295999999999</v>
      </c>
      <c r="H32" s="20">
        <f>(-12287.8999199999/1000)</f>
        <v>-12.2878999199999</v>
      </c>
      <c r="I32" s="20">
        <f>-12033.4/1000</f>
        <v>-12.0334</v>
      </c>
      <c r="J32" s="20">
        <f>-12033.4/1000</f>
        <v>-12.0334</v>
      </c>
      <c r="K32" s="20">
        <f>-2234/1000</f>
        <v>-2.234</v>
      </c>
      <c r="L32" s="23">
        <v>0</v>
      </c>
    </row>
    <row r="33" spans="1:12" x14ac:dyDescent="0.25">
      <c r="A33" s="28">
        <v>15</v>
      </c>
      <c r="B33" s="28"/>
      <c r="C33" s="21" t="s">
        <v>46</v>
      </c>
      <c r="D33" s="29"/>
      <c r="E33" s="4" t="s">
        <v>23</v>
      </c>
      <c r="F33" s="10"/>
      <c r="G33" s="19">
        <f>SUM(G31:G32)</f>
        <v>193.75309999999999</v>
      </c>
      <c r="H33" s="19">
        <f t="shared" ref="H33:K33" si="7">SUM(H31:H32)</f>
        <v>181.4652000800001</v>
      </c>
      <c r="I33" s="19">
        <f t="shared" si="7"/>
        <v>169.4318000800001</v>
      </c>
      <c r="J33" s="19">
        <f t="shared" si="7"/>
        <v>157.3984000800001</v>
      </c>
      <c r="K33" s="19">
        <f t="shared" si="7"/>
        <v>155.16440008000009</v>
      </c>
      <c r="L33" s="19">
        <f>SUM(L31:L32)</f>
        <v>155.16440008000009</v>
      </c>
    </row>
    <row r="34" spans="1:12" x14ac:dyDescent="0.25">
      <c r="A34" s="28"/>
      <c r="B34" s="28"/>
      <c r="C34" s="5"/>
      <c r="D34" s="5"/>
      <c r="E34" s="5"/>
      <c r="F34" s="5"/>
      <c r="G34" s="16"/>
      <c r="H34" s="16"/>
      <c r="I34" s="16"/>
      <c r="J34" s="16"/>
      <c r="K34" s="17"/>
      <c r="L34" s="17"/>
    </row>
    <row r="35" spans="1:12" x14ac:dyDescent="0.25">
      <c r="A35" s="28">
        <v>16</v>
      </c>
      <c r="B35" s="28"/>
      <c r="C35" s="10" t="s">
        <v>47</v>
      </c>
      <c r="D35" s="10"/>
      <c r="E35" s="10"/>
      <c r="F35" s="10"/>
      <c r="G35" s="27">
        <f>SUM(G33,G27,G25,G21,G19,G15)</f>
        <v>192.00352063898583</v>
      </c>
      <c r="H35" s="27">
        <f>SUM(H32,H27,H25,H21,H19,H15)+G35</f>
        <v>164.92622917748935</v>
      </c>
      <c r="I35" s="27">
        <f>SUM(I32,I27,I25,I21,I19,I15)+H35</f>
        <v>139.02821317748936</v>
      </c>
      <c r="J35" s="27">
        <f>SUM(J32,J27,J25,J21,J19,J15)+I35</f>
        <v>177.83381317748939</v>
      </c>
      <c r="K35" s="27">
        <f>SUM(K32,K27,K25,K21,K19,K15)+J35</f>
        <v>142.20711317748939</v>
      </c>
      <c r="L35" s="27">
        <f>SUM(L33,L27,L25,L21,L19,L15)</f>
        <v>142.20711317748936</v>
      </c>
    </row>
    <row r="36" spans="1:12" x14ac:dyDescent="0.25">
      <c r="A36" s="28"/>
      <c r="B36" s="28"/>
    </row>
    <row r="37" spans="1:12" x14ac:dyDescent="0.25">
      <c r="A37" s="28">
        <v>17</v>
      </c>
      <c r="B37" s="28"/>
      <c r="C37" s="10" t="s">
        <v>48</v>
      </c>
      <c r="D37" s="10"/>
      <c r="E37" s="10"/>
      <c r="F37" s="10"/>
      <c r="G37" s="19">
        <f>-101.61019/1000</f>
        <v>-0.10161019</v>
      </c>
      <c r="H37" s="19">
        <f>-662.09112/1000</f>
        <v>-0.66209112000000003</v>
      </c>
      <c r="I37" s="19">
        <f>-555.56274/1000</f>
        <v>-0.55556273999999994</v>
      </c>
      <c r="J37" s="19">
        <f>1663.23996/1000</f>
        <v>1.6632399600000001</v>
      </c>
      <c r="K37" s="19">
        <f>-367.3197/1000</f>
        <v>-0.36731970000000003</v>
      </c>
      <c r="L37" s="19">
        <f t="shared" ref="L37" si="8">SUM(G37:K37)</f>
        <v>-2.3343790000000086E-2</v>
      </c>
    </row>
    <row r="38" spans="1:12" x14ac:dyDescent="0.25">
      <c r="A38" s="28"/>
      <c r="B38" s="28"/>
    </row>
    <row r="39" spans="1:12" x14ac:dyDescent="0.25">
      <c r="A39" s="28">
        <v>18</v>
      </c>
      <c r="B39" s="28"/>
      <c r="C39" s="10" t="s">
        <v>49</v>
      </c>
      <c r="D39" s="10"/>
      <c r="E39" s="10"/>
      <c r="F39" s="10"/>
      <c r="G39" s="27">
        <f>G37</f>
        <v>-0.10161019</v>
      </c>
      <c r="H39" s="27">
        <f>H37+G39</f>
        <v>-0.76370131000000008</v>
      </c>
      <c r="I39" s="27">
        <f>I37+H39</f>
        <v>-1.3192640500000001</v>
      </c>
      <c r="J39" s="27">
        <f>J37+I39</f>
        <v>0.34397590999999994</v>
      </c>
      <c r="K39" s="27">
        <f>K37+J39</f>
        <v>-2.3343790000000086E-2</v>
      </c>
      <c r="L39" s="27">
        <f>K39</f>
        <v>-2.3343790000000086E-2</v>
      </c>
    </row>
    <row r="40" spans="1:12" x14ac:dyDescent="0.25">
      <c r="A40" s="28"/>
      <c r="B40" s="28"/>
      <c r="C40" s="10"/>
      <c r="D40" s="10"/>
      <c r="E40" s="10"/>
      <c r="F40" s="10"/>
      <c r="G40" s="16"/>
      <c r="H40" s="16"/>
      <c r="I40" s="16"/>
      <c r="J40" s="16"/>
      <c r="K40" s="17"/>
      <c r="L40" s="17"/>
    </row>
    <row r="41" spans="1:12" ht="15.75" thickBot="1" x14ac:dyDescent="0.3">
      <c r="A41" s="28">
        <v>19</v>
      </c>
      <c r="B41" s="28"/>
      <c r="C41" s="10" t="s">
        <v>50</v>
      </c>
      <c r="D41" s="10"/>
      <c r="E41" s="10"/>
      <c r="F41" s="10"/>
      <c r="G41" s="30">
        <f>SUM(G35,G37)</f>
        <v>191.90191044898583</v>
      </c>
      <c r="H41" s="30">
        <f t="shared" ref="H41:L41" si="9">SUM(H35,H37)</f>
        <v>164.26413805748933</v>
      </c>
      <c r="I41" s="30">
        <f t="shared" si="9"/>
        <v>138.47265043748936</v>
      </c>
      <c r="J41" s="30">
        <f t="shared" si="9"/>
        <v>179.49705313748939</v>
      </c>
      <c r="K41" s="30">
        <f t="shared" si="9"/>
        <v>141.83979347748939</v>
      </c>
      <c r="L41" s="30">
        <f t="shared" si="9"/>
        <v>142.18376938748935</v>
      </c>
    </row>
    <row r="42" spans="1:12" ht="15.75" thickTop="1" x14ac:dyDescent="0.25"/>
    <row r="43" spans="1:12" x14ac:dyDescent="0.25">
      <c r="A43" s="14" t="s">
        <v>51</v>
      </c>
      <c r="B43" s="14"/>
      <c r="C43" s="10"/>
      <c r="D43" s="10"/>
      <c r="E43" s="10"/>
      <c r="F43" s="10"/>
      <c r="J43" s="31"/>
      <c r="K43" s="32"/>
    </row>
    <row r="44" spans="1:12" x14ac:dyDescent="0.25">
      <c r="A44" s="33" t="s">
        <v>52</v>
      </c>
      <c r="B44" s="14"/>
      <c r="C44" s="10" t="s">
        <v>53</v>
      </c>
      <c r="D44" s="10"/>
      <c r="E44" s="10"/>
      <c r="F44" s="10"/>
      <c r="J44" s="31"/>
      <c r="K44" s="32"/>
    </row>
    <row r="45" spans="1:12" x14ac:dyDescent="0.25">
      <c r="A45" s="34" t="s">
        <v>54</v>
      </c>
      <c r="B45" s="14"/>
      <c r="C45" s="10" t="s">
        <v>55</v>
      </c>
      <c r="D45" s="10"/>
      <c r="E45" s="10"/>
      <c r="F45" s="10"/>
      <c r="J45" s="31"/>
      <c r="K45" s="32"/>
    </row>
    <row r="46" spans="1:12" x14ac:dyDescent="0.25">
      <c r="A46" s="33" t="s">
        <v>56</v>
      </c>
      <c r="C46" s="41" t="s">
        <v>57</v>
      </c>
      <c r="D46" s="41"/>
      <c r="E46" s="41"/>
      <c r="F46" s="41"/>
      <c r="G46" s="41"/>
      <c r="H46" s="41"/>
      <c r="I46" s="41"/>
      <c r="J46" s="41"/>
      <c r="K46" s="41"/>
      <c r="L46" s="41"/>
    </row>
    <row r="47" spans="1:12" x14ac:dyDescent="0.25">
      <c r="A47" s="33" t="s">
        <v>58</v>
      </c>
      <c r="C47" s="10" t="s">
        <v>59</v>
      </c>
      <c r="D47" s="35"/>
      <c r="E47" s="35"/>
      <c r="F47" s="35"/>
      <c r="G47" s="35"/>
      <c r="H47" s="35"/>
      <c r="I47" s="35"/>
      <c r="J47" s="35"/>
      <c r="K47" s="35"/>
      <c r="L47" s="35"/>
    </row>
    <row r="48" spans="1:12" x14ac:dyDescent="0.25">
      <c r="A48" s="34" t="s">
        <v>60</v>
      </c>
      <c r="C48" s="10" t="s">
        <v>61</v>
      </c>
      <c r="D48" s="35"/>
      <c r="E48" s="35"/>
      <c r="F48" s="35"/>
      <c r="G48" s="35"/>
      <c r="H48" s="35"/>
      <c r="I48" s="35"/>
      <c r="J48" s="35"/>
      <c r="K48" s="35"/>
      <c r="L48" s="35"/>
    </row>
    <row r="49" spans="1:12" x14ac:dyDescent="0.25">
      <c r="A49" s="33" t="s">
        <v>62</v>
      </c>
      <c r="C49" s="10" t="s">
        <v>63</v>
      </c>
      <c r="D49" s="35"/>
      <c r="E49" s="35"/>
      <c r="F49" s="35"/>
      <c r="G49" s="35"/>
      <c r="H49" s="35"/>
      <c r="I49" s="35"/>
      <c r="J49" s="35"/>
      <c r="K49" s="35"/>
      <c r="L49" s="35"/>
    </row>
    <row r="50" spans="1:12" x14ac:dyDescent="0.25">
      <c r="A50" s="33" t="s">
        <v>64</v>
      </c>
      <c r="C50" s="10" t="s">
        <v>65</v>
      </c>
      <c r="D50" s="35"/>
      <c r="E50" s="35"/>
      <c r="F50" s="35"/>
      <c r="G50" s="35"/>
      <c r="H50" s="35"/>
      <c r="I50" s="35"/>
      <c r="J50" s="35"/>
      <c r="K50" s="35"/>
      <c r="L50" s="35"/>
    </row>
    <row r="51" spans="1:12" x14ac:dyDescent="0.25">
      <c r="A51" s="33" t="s">
        <v>66</v>
      </c>
      <c r="C51" s="10" t="s">
        <v>67</v>
      </c>
      <c r="D51" s="35"/>
      <c r="E51" s="35"/>
      <c r="F51" s="35"/>
      <c r="G51" s="35"/>
      <c r="H51" s="35"/>
      <c r="I51" s="35"/>
      <c r="J51" s="35"/>
      <c r="K51" s="35"/>
      <c r="L51" s="35"/>
    </row>
    <row r="52" spans="1:12" x14ac:dyDescent="0.25">
      <c r="A52" s="33" t="s">
        <v>68</v>
      </c>
      <c r="C52" s="10" t="s">
        <v>69</v>
      </c>
      <c r="D52" s="35"/>
      <c r="E52" s="35"/>
      <c r="F52" s="35"/>
      <c r="G52" s="35"/>
      <c r="H52" s="35"/>
      <c r="I52" s="35"/>
      <c r="J52" s="35"/>
      <c r="K52" s="35"/>
      <c r="L52" s="35"/>
    </row>
    <row r="53" spans="1:12" x14ac:dyDescent="0.25">
      <c r="A53" s="34" t="s">
        <v>70</v>
      </c>
      <c r="C53" s="5" t="s">
        <v>71</v>
      </c>
      <c r="D53" s="10"/>
      <c r="E53" s="10"/>
      <c r="F53" s="10"/>
      <c r="G53" s="36"/>
      <c r="H53" s="36"/>
      <c r="I53" s="36"/>
      <c r="J53" s="36"/>
      <c r="K53" s="37"/>
      <c r="L53" s="37"/>
    </row>
    <row r="54" spans="1:12" x14ac:dyDescent="0.25">
      <c r="B54" s="10"/>
      <c r="C54" s="10"/>
      <c r="D54" s="10"/>
      <c r="E54" s="10"/>
      <c r="F54" s="10"/>
      <c r="G54" s="36"/>
      <c r="H54" s="36"/>
      <c r="I54" s="36"/>
      <c r="J54" s="36"/>
      <c r="K54" s="37"/>
      <c r="L54" s="37"/>
    </row>
    <row r="55" spans="1:12" x14ac:dyDescent="0.25">
      <c r="B55" s="10"/>
      <c r="C55" s="10"/>
      <c r="D55" s="10"/>
      <c r="E55" s="10"/>
      <c r="F55" s="10"/>
      <c r="G55" s="36"/>
      <c r="H55" s="36"/>
      <c r="I55" s="36"/>
      <c r="J55" s="36"/>
      <c r="K55" s="37"/>
      <c r="L55" s="37"/>
    </row>
    <row r="56" spans="1:12" x14ac:dyDescent="0.25">
      <c r="E56" s="1" t="s">
        <v>72</v>
      </c>
      <c r="G56" s="38"/>
      <c r="H56" s="38"/>
      <c r="I56" s="38"/>
      <c r="J56" s="38"/>
      <c r="K56" s="39"/>
      <c r="L56" s="39"/>
    </row>
  </sheetData>
  <mergeCells count="4">
    <mergeCell ref="A6:L6"/>
    <mergeCell ref="A7:L7"/>
    <mergeCell ref="A8:L8"/>
    <mergeCell ref="C46:L46"/>
  </mergeCells>
  <pageMargins left="0.7" right="0.7" top="0.75" bottom="0.75" header="0.3" footer="0.3"/>
  <pageSetup scale="61" orientation="landscape" r:id="rId1"/>
  <headerFooter>
    <oddHeader>&amp;R&amp;"Arial,Regular"&amp;10Filed: 2022-10-31
EB-2022-0200
Exhibit 9
Tab 2
Schedule 1
Attachment 2
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2022-11-01T21:02:13Z</dcterms:created>
  <dcterms:modified xsi:type="dcterms:W3CDTF">2022-11-01T21:02:20Z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2022-11-01T21:02:20Z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cc8c2773-12b6-45a3-9830-b77cac36c216</vt:lpwstr>
  </property>
  <property fmtid="{D5CDD505-2E9C-101B-9397-08002B2CF9AE}" pid="8" name="MSIP_Label_67694783-de61-499c-97f7-53d7c605e6e9_ContentBits">
    <vt:lpwstr>0</vt:lpwstr>
  </property>
</Properties>
</file>