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42AE6E1C-EFEE-4CBC-AB0D-26594F12B7DF}" xr6:coauthVersionLast="47" xr6:coauthVersionMax="47" xr10:uidLastSave="{BB65A22F-C2F9-40A1-BD0D-32F53467E561}"/>
  <bookViews>
    <workbookView xWindow="-28920" yWindow="0" windowWidth="29040" windowHeight="15840" xr2:uid="{3F740F1C-0DA7-4512-BFA0-20A6557663DD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C11" i="4"/>
  <c r="C11" i="3"/>
  <c r="C11" i="2"/>
  <c r="L39" i="5"/>
  <c r="K39" i="5"/>
  <c r="O38" i="5"/>
  <c r="O39" i="5" s="1"/>
  <c r="N38" i="5"/>
  <c r="N39" i="5" s="1"/>
  <c r="L38" i="5"/>
  <c r="K38" i="5"/>
  <c r="J38" i="5"/>
  <c r="J39" i="5" s="1"/>
  <c r="J41" i="5" s="1"/>
  <c r="J50" i="5" s="1"/>
  <c r="I38" i="5"/>
  <c r="I39" i="5" s="1"/>
  <c r="I41" i="5" s="1"/>
  <c r="I50" i="5" s="1"/>
  <c r="H38" i="5"/>
  <c r="H39" i="5" s="1"/>
  <c r="G38" i="5"/>
  <c r="F38" i="5"/>
  <c r="F39" i="5" s="1"/>
  <c r="E38" i="5"/>
  <c r="E39" i="5" s="1"/>
  <c r="O37" i="5"/>
  <c r="N37" i="5"/>
  <c r="L37" i="5"/>
  <c r="K37" i="5"/>
  <c r="J37" i="5"/>
  <c r="I37" i="5"/>
  <c r="H37" i="5"/>
  <c r="G37" i="5"/>
  <c r="G39" i="5" s="1"/>
  <c r="F37" i="5"/>
  <c r="E37" i="5"/>
  <c r="I34" i="5"/>
  <c r="O33" i="5"/>
  <c r="L33" i="5"/>
  <c r="K33" i="5"/>
  <c r="K34" i="5" s="1"/>
  <c r="J33" i="5"/>
  <c r="J34" i="5" s="1"/>
  <c r="I33" i="5"/>
  <c r="H33" i="5"/>
  <c r="G33" i="5"/>
  <c r="F33" i="5"/>
  <c r="E33" i="5"/>
  <c r="O32" i="5"/>
  <c r="O34" i="5" s="1"/>
  <c r="N32" i="5"/>
  <c r="N34" i="5" s="1"/>
  <c r="L32" i="5"/>
  <c r="L34" i="5" s="1"/>
  <c r="K32" i="5"/>
  <c r="J32" i="5"/>
  <c r="H32" i="5"/>
  <c r="H34" i="5" s="1"/>
  <c r="G32" i="5"/>
  <c r="G34" i="5" s="1"/>
  <c r="F32" i="5"/>
  <c r="F34" i="5" s="1"/>
  <c r="E32" i="5"/>
  <c r="E34" i="5" s="1"/>
  <c r="O24" i="5"/>
  <c r="N24" i="5"/>
  <c r="I24" i="5"/>
  <c r="O22" i="5"/>
  <c r="L22" i="5"/>
  <c r="K22" i="5"/>
  <c r="J22" i="5"/>
  <c r="I22" i="5"/>
  <c r="H22" i="5"/>
  <c r="H24" i="5" s="1"/>
  <c r="G22" i="5"/>
  <c r="G24" i="5" s="1"/>
  <c r="F22" i="5"/>
  <c r="E22" i="5"/>
  <c r="O21" i="5"/>
  <c r="N21" i="5"/>
  <c r="L21" i="5"/>
  <c r="L24" i="5" s="1"/>
  <c r="K21" i="5"/>
  <c r="K24" i="5" s="1"/>
  <c r="J21" i="5"/>
  <c r="J24" i="5" s="1"/>
  <c r="F21" i="5"/>
  <c r="F24" i="5" s="1"/>
  <c r="E21" i="5"/>
  <c r="E24" i="5" s="1"/>
  <c r="O17" i="5"/>
  <c r="L17" i="5"/>
  <c r="K17" i="5"/>
  <c r="J17" i="5"/>
  <c r="I17" i="5"/>
  <c r="H17" i="5"/>
  <c r="G17" i="5"/>
  <c r="F17" i="5"/>
  <c r="E17" i="5"/>
  <c r="O15" i="5"/>
  <c r="L15" i="5"/>
  <c r="K15" i="5"/>
  <c r="J15" i="5"/>
  <c r="I15" i="5"/>
  <c r="H15" i="5"/>
  <c r="G15" i="5"/>
  <c r="F15" i="5"/>
  <c r="E15" i="5"/>
  <c r="O38" i="4"/>
  <c r="O39" i="4" s="1"/>
  <c r="N38" i="4"/>
  <c r="N39" i="4" s="1"/>
  <c r="N41" i="4" s="1"/>
  <c r="N50" i="4" s="1"/>
  <c r="K38" i="4"/>
  <c r="K39" i="4" s="1"/>
  <c r="K41" i="4" s="1"/>
  <c r="K50" i="4" s="1"/>
  <c r="J38" i="4"/>
  <c r="J39" i="4" s="1"/>
  <c r="I38" i="4"/>
  <c r="I39" i="4" s="1"/>
  <c r="I41" i="4" s="1"/>
  <c r="I50" i="4" s="1"/>
  <c r="F38" i="4"/>
  <c r="F39" i="4" s="1"/>
  <c r="F41" i="4" s="1"/>
  <c r="F50" i="4" s="1"/>
  <c r="E38" i="4"/>
  <c r="L38" i="4" s="1"/>
  <c r="O37" i="4"/>
  <c r="N37" i="4"/>
  <c r="K37" i="4"/>
  <c r="J37" i="4"/>
  <c r="I37" i="4"/>
  <c r="F37" i="4"/>
  <c r="E37" i="4"/>
  <c r="L37" i="4" s="1"/>
  <c r="N34" i="4"/>
  <c r="K34" i="4"/>
  <c r="J34" i="4"/>
  <c r="I34" i="4"/>
  <c r="O33" i="4"/>
  <c r="O34" i="4" s="1"/>
  <c r="L33" i="4"/>
  <c r="K33" i="4"/>
  <c r="J33" i="4"/>
  <c r="I33" i="4"/>
  <c r="F33" i="4"/>
  <c r="E33" i="4"/>
  <c r="O32" i="4"/>
  <c r="N32" i="4"/>
  <c r="L32" i="4"/>
  <c r="L34" i="4" s="1"/>
  <c r="K32" i="4"/>
  <c r="J32" i="4"/>
  <c r="F32" i="4"/>
  <c r="F34" i="4" s="1"/>
  <c r="E32" i="4"/>
  <c r="E34" i="4" s="1"/>
  <c r="N24" i="4"/>
  <c r="L24" i="4"/>
  <c r="K24" i="4"/>
  <c r="I24" i="4"/>
  <c r="F24" i="4"/>
  <c r="E24" i="4"/>
  <c r="O22" i="4"/>
  <c r="L22" i="4"/>
  <c r="K22" i="4"/>
  <c r="J22" i="4"/>
  <c r="I22" i="4"/>
  <c r="F22" i="4"/>
  <c r="E22" i="4"/>
  <c r="O21" i="4"/>
  <c r="O24" i="4" s="1"/>
  <c r="N21" i="4"/>
  <c r="L21" i="4"/>
  <c r="K21" i="4"/>
  <c r="J21" i="4"/>
  <c r="J24" i="4" s="1"/>
  <c r="F21" i="4"/>
  <c r="E21" i="4"/>
  <c r="O17" i="4"/>
  <c r="J17" i="4"/>
  <c r="I17" i="4"/>
  <c r="F17" i="4"/>
  <c r="E17" i="4"/>
  <c r="O15" i="4"/>
  <c r="L15" i="4"/>
  <c r="K15" i="4"/>
  <c r="K17" i="4" s="1"/>
  <c r="J15" i="4"/>
  <c r="I15" i="4"/>
  <c r="F15" i="4"/>
  <c r="E15" i="4"/>
  <c r="O43" i="3"/>
  <c r="L43" i="3"/>
  <c r="G43" i="3"/>
  <c r="N39" i="3"/>
  <c r="L39" i="3"/>
  <c r="G39" i="3"/>
  <c r="E39" i="3"/>
  <c r="O38" i="3"/>
  <c r="O39" i="3" s="1"/>
  <c r="O41" i="3" s="1"/>
  <c r="O52" i="3" s="1"/>
  <c r="N38" i="3"/>
  <c r="L38" i="3"/>
  <c r="K38" i="3"/>
  <c r="K39" i="3" s="1"/>
  <c r="J38" i="3"/>
  <c r="J39" i="3" s="1"/>
  <c r="I38" i="3"/>
  <c r="I39" i="3" s="1"/>
  <c r="H38" i="3"/>
  <c r="H39" i="3" s="1"/>
  <c r="G38" i="3"/>
  <c r="F38" i="3"/>
  <c r="F39" i="3" s="1"/>
  <c r="E38" i="3"/>
  <c r="O37" i="3"/>
  <c r="N37" i="3"/>
  <c r="L37" i="3"/>
  <c r="K37" i="3"/>
  <c r="J37" i="3"/>
  <c r="I37" i="3"/>
  <c r="H37" i="3"/>
  <c r="G37" i="3"/>
  <c r="F37" i="3"/>
  <c r="E37" i="3"/>
  <c r="J34" i="3"/>
  <c r="E34" i="3"/>
  <c r="O33" i="3"/>
  <c r="L33" i="3"/>
  <c r="L34" i="3" s="1"/>
  <c r="K33" i="3"/>
  <c r="K34" i="3" s="1"/>
  <c r="J33" i="3"/>
  <c r="I33" i="3"/>
  <c r="I34" i="3" s="1"/>
  <c r="H33" i="3"/>
  <c r="G33" i="3"/>
  <c r="F33" i="3"/>
  <c r="E33" i="3"/>
  <c r="O32" i="3"/>
  <c r="O34" i="3" s="1"/>
  <c r="N32" i="3"/>
  <c r="N34" i="3" s="1"/>
  <c r="N41" i="3" s="1"/>
  <c r="N52" i="3" s="1"/>
  <c r="L32" i="3"/>
  <c r="K32" i="3"/>
  <c r="J32" i="3"/>
  <c r="H32" i="3"/>
  <c r="H34" i="3" s="1"/>
  <c r="G32" i="3"/>
  <c r="G34" i="3" s="1"/>
  <c r="F32" i="3"/>
  <c r="F34" i="3" s="1"/>
  <c r="E32" i="3"/>
  <c r="O24" i="3"/>
  <c r="I24" i="3"/>
  <c r="O22" i="3"/>
  <c r="L22" i="3"/>
  <c r="K22" i="3"/>
  <c r="J22" i="3"/>
  <c r="I22" i="3"/>
  <c r="H22" i="3"/>
  <c r="H24" i="3" s="1"/>
  <c r="G22" i="3"/>
  <c r="G24" i="3" s="1"/>
  <c r="F22" i="3"/>
  <c r="E22" i="3"/>
  <c r="O21" i="3"/>
  <c r="N21" i="3"/>
  <c r="N24" i="3" s="1"/>
  <c r="L21" i="3"/>
  <c r="L24" i="3" s="1"/>
  <c r="K21" i="3"/>
  <c r="K24" i="3" s="1"/>
  <c r="J21" i="3"/>
  <c r="J24" i="3" s="1"/>
  <c r="F21" i="3"/>
  <c r="F24" i="3" s="1"/>
  <c r="E21" i="3"/>
  <c r="E24" i="3" s="1"/>
  <c r="O17" i="3"/>
  <c r="L17" i="3"/>
  <c r="K17" i="3"/>
  <c r="J17" i="3"/>
  <c r="I17" i="3"/>
  <c r="H17" i="3"/>
  <c r="G17" i="3"/>
  <c r="F17" i="3"/>
  <c r="E17" i="3"/>
  <c r="O15" i="3"/>
  <c r="L15" i="3"/>
  <c r="K15" i="3"/>
  <c r="J15" i="3"/>
  <c r="I15" i="3"/>
  <c r="H15" i="3"/>
  <c r="G15" i="3"/>
  <c r="F15" i="3"/>
  <c r="E15" i="3"/>
  <c r="O39" i="2"/>
  <c r="N39" i="2"/>
  <c r="K39" i="2"/>
  <c r="F39" i="2"/>
  <c r="E39" i="2"/>
  <c r="O38" i="2"/>
  <c r="N38" i="2"/>
  <c r="L38" i="2"/>
  <c r="L39" i="2" s="1"/>
  <c r="K38" i="2"/>
  <c r="J38" i="2"/>
  <c r="J39" i="2" s="1"/>
  <c r="I38" i="2"/>
  <c r="I39" i="2" s="1"/>
  <c r="H38" i="2"/>
  <c r="H39" i="2" s="1"/>
  <c r="G38" i="2"/>
  <c r="G39" i="2" s="1"/>
  <c r="G41" i="2" s="1"/>
  <c r="G50" i="2" s="1"/>
  <c r="F38" i="2"/>
  <c r="E38" i="2"/>
  <c r="O37" i="2"/>
  <c r="N37" i="2"/>
  <c r="L37" i="2"/>
  <c r="K37" i="2"/>
  <c r="J37" i="2"/>
  <c r="I37" i="2"/>
  <c r="H37" i="2"/>
  <c r="G37" i="2"/>
  <c r="F37" i="2"/>
  <c r="E37" i="2"/>
  <c r="K34" i="2"/>
  <c r="I34" i="2"/>
  <c r="O33" i="2"/>
  <c r="L33" i="2"/>
  <c r="K33" i="2"/>
  <c r="J33" i="2"/>
  <c r="I33" i="2"/>
  <c r="H33" i="2"/>
  <c r="G33" i="2"/>
  <c r="F33" i="2"/>
  <c r="E33" i="2"/>
  <c r="O32" i="2"/>
  <c r="O34" i="2" s="1"/>
  <c r="N32" i="2"/>
  <c r="N34" i="2" s="1"/>
  <c r="L32" i="2"/>
  <c r="L34" i="2" s="1"/>
  <c r="K32" i="2"/>
  <c r="J32" i="2"/>
  <c r="J34" i="2" s="1"/>
  <c r="H32" i="2"/>
  <c r="H34" i="2" s="1"/>
  <c r="G32" i="2"/>
  <c r="G34" i="2" s="1"/>
  <c r="F32" i="2"/>
  <c r="F34" i="2" s="1"/>
  <c r="E32" i="2"/>
  <c r="E34" i="2" s="1"/>
  <c r="N24" i="2"/>
  <c r="G24" i="2"/>
  <c r="O22" i="2"/>
  <c r="L22" i="2"/>
  <c r="K22" i="2"/>
  <c r="J22" i="2"/>
  <c r="I22" i="2"/>
  <c r="I24" i="2" s="1"/>
  <c r="H22" i="2"/>
  <c r="H24" i="2" s="1"/>
  <c r="G22" i="2"/>
  <c r="F22" i="2"/>
  <c r="E22" i="2"/>
  <c r="O21" i="2"/>
  <c r="O24" i="2" s="1"/>
  <c r="N21" i="2"/>
  <c r="L21" i="2"/>
  <c r="L24" i="2" s="1"/>
  <c r="K21" i="2"/>
  <c r="K24" i="2" s="1"/>
  <c r="J21" i="2"/>
  <c r="J24" i="2" s="1"/>
  <c r="F21" i="2"/>
  <c r="F24" i="2" s="1"/>
  <c r="E21" i="2"/>
  <c r="E24" i="2" s="1"/>
  <c r="K17" i="2"/>
  <c r="J17" i="2"/>
  <c r="I17" i="2"/>
  <c r="H17" i="2"/>
  <c r="G17" i="2"/>
  <c r="F17" i="2"/>
  <c r="E17" i="2"/>
  <c r="L17" i="2" s="1"/>
  <c r="O17" i="2" s="1"/>
  <c r="K15" i="2"/>
  <c r="J15" i="2"/>
  <c r="I15" i="2"/>
  <c r="H15" i="2"/>
  <c r="G15" i="2"/>
  <c r="F15" i="2"/>
  <c r="E15" i="2"/>
  <c r="L15" i="2" s="1"/>
  <c r="O15" i="2" s="1"/>
  <c r="M38" i="1"/>
  <c r="M39" i="1" s="1"/>
  <c r="M41" i="1" s="1"/>
  <c r="M50" i="1" s="1"/>
  <c r="L38" i="1"/>
  <c r="L39" i="1" s="1"/>
  <c r="L41" i="1" s="1"/>
  <c r="L50" i="1" s="1"/>
  <c r="J38" i="1"/>
  <c r="J39" i="1" s="1"/>
  <c r="I38" i="1"/>
  <c r="I39" i="1" s="1"/>
  <c r="H38" i="1"/>
  <c r="H39" i="1" s="1"/>
  <c r="H41" i="1" s="1"/>
  <c r="H50" i="1" s="1"/>
  <c r="G38" i="1"/>
  <c r="G39" i="1" s="1"/>
  <c r="G41" i="1" s="1"/>
  <c r="G50" i="1" s="1"/>
  <c r="F38" i="1"/>
  <c r="F39" i="1" s="1"/>
  <c r="E38" i="1"/>
  <c r="E39" i="1" s="1"/>
  <c r="M37" i="1"/>
  <c r="L37" i="1"/>
  <c r="J37" i="1"/>
  <c r="I37" i="1"/>
  <c r="H37" i="1"/>
  <c r="G37" i="1"/>
  <c r="F37" i="1"/>
  <c r="E37" i="1"/>
  <c r="J34" i="1"/>
  <c r="I34" i="1"/>
  <c r="H34" i="1"/>
  <c r="G34" i="1"/>
  <c r="F34" i="1"/>
  <c r="E34" i="1"/>
  <c r="M33" i="1"/>
  <c r="J33" i="1"/>
  <c r="I33" i="1"/>
  <c r="H33" i="1"/>
  <c r="G33" i="1"/>
  <c r="F33" i="1"/>
  <c r="E33" i="1"/>
  <c r="M32" i="1"/>
  <c r="M34" i="1" s="1"/>
  <c r="L32" i="1"/>
  <c r="L34" i="1" s="1"/>
  <c r="J32" i="1"/>
  <c r="H32" i="1"/>
  <c r="G32" i="1"/>
  <c r="F32" i="1"/>
  <c r="E32" i="1"/>
  <c r="L24" i="1"/>
  <c r="H24" i="1"/>
  <c r="G24" i="1"/>
  <c r="M22" i="1"/>
  <c r="M24" i="1" s="1"/>
  <c r="J22" i="1"/>
  <c r="I22" i="1"/>
  <c r="I24" i="1" s="1"/>
  <c r="H22" i="1"/>
  <c r="G22" i="1"/>
  <c r="M21" i="1"/>
  <c r="L21" i="1"/>
  <c r="J21" i="1"/>
  <c r="J24" i="1" s="1"/>
  <c r="F21" i="1"/>
  <c r="F24" i="1" s="1"/>
  <c r="E21" i="1"/>
  <c r="E24" i="1" s="1"/>
  <c r="M17" i="1"/>
  <c r="J17" i="1"/>
  <c r="I17" i="1"/>
  <c r="H17" i="1"/>
  <c r="G17" i="1"/>
  <c r="F17" i="1"/>
  <c r="E17" i="1"/>
  <c r="M15" i="1"/>
  <c r="J15" i="1"/>
  <c r="I15" i="1"/>
  <c r="H15" i="1"/>
  <c r="G15" i="1"/>
  <c r="F15" i="1"/>
  <c r="E15" i="1"/>
  <c r="G41" i="5" l="1"/>
  <c r="G50" i="5" s="1"/>
  <c r="E41" i="5"/>
  <c r="E50" i="5" s="1"/>
  <c r="N41" i="5"/>
  <c r="N50" i="5" s="1"/>
  <c r="F41" i="5"/>
  <c r="F50" i="5" s="1"/>
  <c r="O41" i="5"/>
  <c r="O50" i="5" s="1"/>
  <c r="K41" i="5"/>
  <c r="K50" i="5" s="1"/>
  <c r="H41" i="5"/>
  <c r="H50" i="5" s="1"/>
  <c r="L41" i="5"/>
  <c r="L50" i="5" s="1"/>
  <c r="L17" i="4"/>
  <c r="L39" i="4"/>
  <c r="L41" i="4" s="1"/>
  <c r="L50" i="4" s="1"/>
  <c r="J41" i="4"/>
  <c r="J50" i="4" s="1"/>
  <c r="O41" i="4"/>
  <c r="O50" i="4" s="1"/>
  <c r="E39" i="4"/>
  <c r="E41" i="4" s="1"/>
  <c r="E50" i="4" s="1"/>
  <c r="F41" i="3"/>
  <c r="F52" i="3" s="1"/>
  <c r="H41" i="3"/>
  <c r="H52" i="3" s="1"/>
  <c r="G41" i="3"/>
  <c r="G52" i="3" s="1"/>
  <c r="E41" i="3"/>
  <c r="E52" i="3" s="1"/>
  <c r="I41" i="3"/>
  <c r="I52" i="3" s="1"/>
  <c r="L41" i="3"/>
  <c r="J41" i="3"/>
  <c r="J52" i="3" s="1"/>
  <c r="K41" i="3"/>
  <c r="K52" i="3" s="1"/>
  <c r="L52" i="3"/>
  <c r="L41" i="2"/>
  <c r="L50" i="2" s="1"/>
  <c r="E41" i="2"/>
  <c r="E50" i="2" s="1"/>
  <c r="H41" i="2"/>
  <c r="H50" i="2" s="1"/>
  <c r="F41" i="2"/>
  <c r="F50" i="2" s="1"/>
  <c r="I41" i="2"/>
  <c r="I50" i="2" s="1"/>
  <c r="K41" i="2"/>
  <c r="K50" i="2" s="1"/>
  <c r="J41" i="2"/>
  <c r="J50" i="2" s="1"/>
  <c r="N41" i="2"/>
  <c r="N50" i="2" s="1"/>
  <c r="O41" i="2"/>
  <c r="O50" i="2" s="1"/>
  <c r="E41" i="1"/>
  <c r="E50" i="1" s="1"/>
  <c r="F41" i="1"/>
  <c r="F50" i="1" s="1"/>
  <c r="I41" i="1"/>
  <c r="I50" i="1" s="1"/>
  <c r="J41" i="1"/>
  <c r="J50" i="1" s="1"/>
</calcChain>
</file>

<file path=xl/sharedStrings.xml><?xml version="1.0" encoding="utf-8"?>
<sst xmlns="http://schemas.openxmlformats.org/spreadsheetml/2006/main" count="295" uniqueCount="70">
  <si>
    <t>Proposed for Clearance</t>
  </si>
  <si>
    <t>Accounting Policy Changes Deferral Account</t>
  </si>
  <si>
    <t>Itemized Revenue Requirement at December 31, 2019</t>
  </si>
  <si>
    <t>Capitalization vs. Expense</t>
  </si>
  <si>
    <t>Interest During Construction</t>
  </si>
  <si>
    <t>Depreciation</t>
  </si>
  <si>
    <t>Pension &amp; OPEB</t>
  </si>
  <si>
    <t>Line
No.</t>
  </si>
  <si>
    <t>Particulars ($ millions)</t>
  </si>
  <si>
    <t>EGD - Change from Capital to
O&amp;M</t>
  </si>
  <si>
    <t>Union - Change from O&amp;M to Capital</t>
  </si>
  <si>
    <t>EGD - Change in IDC Rate</t>
  </si>
  <si>
    <t xml:space="preserve">Union - Removal of IDC Threshold </t>
  </si>
  <si>
    <t>Union - Change from Half-year Depreciation</t>
  </si>
  <si>
    <t>Total</t>
  </si>
  <si>
    <t>Union - Continued Amort. of Pre-17 Actuarial Loss</t>
  </si>
  <si>
    <t>Final APCDA Total</t>
  </si>
  <si>
    <t>(a)</t>
  </si>
  <si>
    <t>(b)</t>
  </si>
  <si>
    <t>(c)</t>
  </si>
  <si>
    <t>(d)</t>
  </si>
  <si>
    <t>(e)</t>
  </si>
  <si>
    <t>(f)</t>
  </si>
  <si>
    <t>(g)</t>
  </si>
  <si>
    <t>(h)</t>
  </si>
  <si>
    <t>Cost of Capital</t>
  </si>
  <si>
    <t>Rate base</t>
  </si>
  <si>
    <t xml:space="preserve">Required rate of return </t>
  </si>
  <si>
    <t>Cost of capital</t>
  </si>
  <si>
    <t>Cost of Service</t>
  </si>
  <si>
    <t>Gas costs</t>
  </si>
  <si>
    <t>Operation and Maintenance</t>
  </si>
  <si>
    <t>Depreciation and amortization</t>
  </si>
  <si>
    <t>Municipal and other taxes</t>
  </si>
  <si>
    <t>Cost of service</t>
  </si>
  <si>
    <t>Misc. &amp; Non-Operating Revenue</t>
  </si>
  <si>
    <t>Other operating revenue</t>
  </si>
  <si>
    <t>Other income</t>
  </si>
  <si>
    <t>Misc. &amp; non-operating revenue</t>
  </si>
  <si>
    <t>Income Taxes on Earnings</t>
  </si>
  <si>
    <t>Excluding tax shield</t>
  </si>
  <si>
    <t>Tax shield provided by interest expense</t>
  </si>
  <si>
    <t>Income taxes on earnings</t>
  </si>
  <si>
    <t>Taxes on (Deficiency) / Sufficiency</t>
  </si>
  <si>
    <t>Gross (deficiency) / sufficiency</t>
  </si>
  <si>
    <t>Net (deficiency) / sufficiency</t>
  </si>
  <si>
    <t>Taxes on (deficiency) / sufficiency</t>
  </si>
  <si>
    <t>Revenue requirement</t>
  </si>
  <si>
    <t>Revenue at Existing Rates</t>
  </si>
  <si>
    <t>Gas sales</t>
  </si>
  <si>
    <t>Transportation service</t>
  </si>
  <si>
    <t>Transmission, compression and storage</t>
  </si>
  <si>
    <t>Rounding adjustment</t>
  </si>
  <si>
    <t>Revenue at existing rates</t>
  </si>
  <si>
    <t>Gross revenue (deficiency) / sufficiency</t>
  </si>
  <si>
    <t>Itemized Revenue Requirement at December 31, 2020</t>
  </si>
  <si>
    <t xml:space="preserve">Overhead Capitalization </t>
  </si>
  <si>
    <t>EGD - OH Capitalization Changes</t>
  </si>
  <si>
    <t>Union - OH Capitalization Changes</t>
  </si>
  <si>
    <t>(i)</t>
  </si>
  <si>
    <t>(j)</t>
  </si>
  <si>
    <t>Itemized Revenue Requirement at December 31, 2021</t>
  </si>
  <si>
    <t>True-Up to 2020 WACD Rate</t>
  </si>
  <si>
    <t>Itemized Revenue Requirement Forecast at December 31, 2022</t>
  </si>
  <si>
    <t>Final APCDA Total (1)</t>
  </si>
  <si>
    <t>Note:</t>
  </si>
  <si>
    <t>(1)</t>
  </si>
  <si>
    <t>This balance excludes the balance sheet reclass of the amortized gas supply storage and transportation costs.</t>
  </si>
  <si>
    <t>Itemized Revenue Requirement Forecast at December 31, 2023</t>
  </si>
  <si>
    <t>Final 
APCDA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</si>
</sst>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#,##0.0_);\(#,##0.0\)"/>
    <numFmt numFmtId="166" formatCode="_(* #,##0.0_);_(* \(#,##0.0\);_(* &quot;-&quot;?_);_(@_)"/>
    <numFmt numFmtId="167" formatCode="0."/>
    <numFmt numFmtId="168" formatCode="#,##0.0_);\(#,##0.0\);\-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0"/>
      <color indexed="8"/>
      <name val="Arial"/>
      <family val="2"/>
    </font>
    <font>
      <sz val="8"/>
      <name val="MS Sans Serif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color indexed="8"/>
      <name val="Arial"/>
      <family val="2"/>
    </font>
    <font>
      <u val="singleAccounting"/>
      <sz val="10"/>
      <name val="Arial"/>
      <family val="2"/>
    </font>
    <font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/>
    <xf numFmtId="0" fontId="3" fillId="0" borderId="0"/>
    <xf numFmtId="164" fontId="3" fillId="0" borderId="0"/>
    <xf numFmtId="0" fontId="9" fillId="0" borderId="0"/>
    <xf numFmtId="165" fontId="3" fillId="0" borderId="0"/>
  </cellStyleXfs>
  <cellXfs count="83">
    <xf numFmtId="0" fontId="0" fillId="0" borderId="0" xfId="0"/>
    <xf numFmtId="164" fontId="2" fillId="0" borderId="0" xfId="1" quotePrefix="1" applyFont="1" applyAlignment="1" applyProtection="1">
      <alignment horizontal="centerContinuous"/>
      <protection locked="0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164" fontId="5" fillId="0" borderId="0" xfId="1" applyFont="1" applyAlignment="1">
      <alignment horizontal="center"/>
    </xf>
    <xf numFmtId="164" fontId="5" fillId="0" borderId="0" xfId="1" applyFont="1"/>
    <xf numFmtId="164" fontId="6" fillId="0" borderId="0" xfId="3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1" applyFont="1"/>
    <xf numFmtId="0" fontId="9" fillId="0" borderId="0" xfId="2" applyFont="1" applyAlignment="1">
      <alignment horizontal="centerContinuous"/>
    </xf>
    <xf numFmtId="0" fontId="9" fillId="0" borderId="0" xfId="2" applyFont="1" applyAlignment="1">
      <alignment horizontal="center"/>
    </xf>
    <xf numFmtId="164" fontId="2" fillId="0" borderId="0" xfId="1" applyFont="1" applyAlignment="1" applyProtection="1">
      <alignment horizontal="center"/>
      <protection locked="0"/>
    </xf>
    <xf numFmtId="164" fontId="2" fillId="0" borderId="0" xfId="1" applyFont="1" applyAlignment="1" applyProtection="1">
      <alignment horizontal="centerContinuous"/>
      <protection locked="0"/>
    </xf>
    <xf numFmtId="164" fontId="9" fillId="0" borderId="0" xfId="1" applyFont="1" applyAlignment="1">
      <alignment horizontal="center"/>
    </xf>
    <xf numFmtId="164" fontId="6" fillId="0" borderId="0" xfId="3" applyFont="1"/>
    <xf numFmtId="0" fontId="4" fillId="0" borderId="0" xfId="2" applyFont="1" applyAlignment="1" applyProtection="1">
      <alignment horizontal="centerContinuous"/>
      <protection locked="0"/>
    </xf>
    <xf numFmtId="0" fontId="9" fillId="0" borderId="0" xfId="2" applyFont="1" applyAlignment="1">
      <alignment horizontal="left"/>
    </xf>
    <xf numFmtId="0" fontId="4" fillId="0" borderId="0" xfId="2" applyFont="1" applyAlignment="1" applyProtection="1">
      <alignment horizontal="left"/>
      <protection locked="0"/>
    </xf>
    <xf numFmtId="165" fontId="9" fillId="0" borderId="0" xfId="5" applyFont="1"/>
    <xf numFmtId="165" fontId="10" fillId="0" borderId="0" xfId="5" applyFont="1" applyAlignment="1">
      <alignment horizontal="center"/>
    </xf>
    <xf numFmtId="165" fontId="9" fillId="0" borderId="0" xfId="5" applyFont="1" applyAlignment="1">
      <alignment horizontal="center" wrapText="1"/>
    </xf>
    <xf numFmtId="165" fontId="9" fillId="0" borderId="0" xfId="5" applyFont="1" applyAlignment="1">
      <alignment horizontal="center"/>
    </xf>
    <xf numFmtId="0" fontId="9" fillId="0" borderId="1" xfId="4" applyBorder="1" applyAlignment="1">
      <alignment horizontal="center" wrapText="1"/>
    </xf>
    <xf numFmtId="0" fontId="9" fillId="0" borderId="0" xfId="4" applyAlignment="1">
      <alignment horizontal="center" wrapText="1"/>
    </xf>
    <xf numFmtId="0" fontId="9" fillId="0" borderId="1" xfId="4" applyBorder="1" applyAlignment="1">
      <alignment horizontal="left"/>
    </xf>
    <xf numFmtId="0" fontId="9" fillId="0" borderId="0" xfId="4" applyAlignment="1">
      <alignment horizontal="left"/>
    </xf>
    <xf numFmtId="166" fontId="9" fillId="0" borderId="1" xfId="4" applyNumberFormat="1" applyBorder="1" applyAlignment="1">
      <alignment horizontal="center" wrapText="1"/>
    </xf>
    <xf numFmtId="0" fontId="5" fillId="0" borderId="0" xfId="2" applyFont="1"/>
    <xf numFmtId="0" fontId="2" fillId="0" borderId="0" xfId="2" applyFont="1" applyProtection="1">
      <protection locked="0"/>
    </xf>
    <xf numFmtId="0" fontId="4" fillId="0" borderId="0" xfId="2" quotePrefix="1" applyFont="1" applyAlignment="1" applyProtection="1">
      <alignment horizontal="center"/>
      <protection locked="0"/>
    </xf>
    <xf numFmtId="164" fontId="9" fillId="0" borderId="0" xfId="3" applyFont="1" applyAlignment="1">
      <alignment horizontal="center"/>
    </xf>
    <xf numFmtId="167" fontId="9" fillId="0" borderId="0" xfId="2" applyNumberFormat="1" applyFont="1"/>
    <xf numFmtId="0" fontId="11" fillId="0" borderId="0" xfId="2" applyFont="1" applyAlignment="1" applyProtection="1">
      <alignment horizontal="left"/>
      <protection locked="0"/>
    </xf>
    <xf numFmtId="165" fontId="4" fillId="0" borderId="0" xfId="2" applyNumberFormat="1" applyFont="1" applyAlignment="1" applyProtection="1">
      <alignment horizontal="center"/>
      <protection locked="0"/>
    </xf>
    <xf numFmtId="167" fontId="4" fillId="0" borderId="0" xfId="2" applyNumberFormat="1" applyFont="1" applyAlignment="1" applyProtection="1">
      <alignment horizontal="center"/>
      <protection locked="0"/>
    </xf>
    <xf numFmtId="165" fontId="4" fillId="0" borderId="0" xfId="2" applyNumberFormat="1" applyFont="1" applyAlignment="1" applyProtection="1">
      <alignment horizontal="right"/>
      <protection locked="0"/>
    </xf>
    <xf numFmtId="10" fontId="4" fillId="0" borderId="1" xfId="2" applyNumberFormat="1" applyFont="1" applyBorder="1" applyAlignment="1" applyProtection="1">
      <alignment horizontal="center"/>
      <protection locked="0"/>
    </xf>
    <xf numFmtId="10" fontId="4" fillId="0" borderId="0" xfId="2" applyNumberFormat="1" applyFont="1" applyAlignment="1" applyProtection="1">
      <alignment horizontal="right"/>
      <protection locked="0"/>
    </xf>
    <xf numFmtId="165" fontId="9" fillId="0" borderId="0" xfId="2" applyNumberFormat="1" applyFont="1" applyAlignment="1">
      <alignment horizontal="center"/>
    </xf>
    <xf numFmtId="165" fontId="9" fillId="0" borderId="0" xfId="2" applyNumberFormat="1" applyFont="1"/>
    <xf numFmtId="0" fontId="9" fillId="0" borderId="0" xfId="1" applyNumberFormat="1" applyFont="1" applyAlignment="1">
      <alignment horizontal="center"/>
    </xf>
    <xf numFmtId="167" fontId="9" fillId="0" borderId="0" xfId="1" applyNumberFormat="1" applyFont="1" applyAlignment="1">
      <alignment horizontal="center"/>
    </xf>
    <xf numFmtId="0" fontId="4" fillId="0" borderId="0" xfId="2" applyFont="1" applyAlignment="1" applyProtection="1">
      <alignment horizontal="right"/>
      <protection locked="0"/>
    </xf>
    <xf numFmtId="168" fontId="9" fillId="0" borderId="0" xfId="2" applyNumberFormat="1" applyFont="1" applyAlignment="1">
      <alignment horizontal="center"/>
    </xf>
    <xf numFmtId="169" fontId="9" fillId="0" borderId="0" xfId="2" applyNumberFormat="1" applyFont="1"/>
    <xf numFmtId="49" fontId="9" fillId="0" borderId="0" xfId="3" applyNumberFormat="1" applyFont="1" applyAlignment="1">
      <alignment horizontal="left"/>
    </xf>
    <xf numFmtId="168" fontId="9" fillId="0" borderId="1" xfId="2" applyNumberFormat="1" applyFont="1" applyBorder="1" applyAlignment="1">
      <alignment horizontal="center"/>
    </xf>
    <xf numFmtId="169" fontId="12" fillId="0" borderId="0" xfId="2" applyNumberFormat="1" applyFont="1"/>
    <xf numFmtId="169" fontId="9" fillId="0" borderId="0" xfId="1" applyNumberFormat="1" applyFont="1" applyAlignment="1">
      <alignment horizontal="center"/>
    </xf>
    <xf numFmtId="169" fontId="9" fillId="0" borderId="0" xfId="1" applyNumberFormat="1" applyFont="1"/>
    <xf numFmtId="169" fontId="9" fillId="0" borderId="0" xfId="2" applyNumberFormat="1" applyFont="1" applyAlignment="1">
      <alignment horizontal="center"/>
    </xf>
    <xf numFmtId="167" fontId="9" fillId="0" borderId="0" xfId="2" applyNumberFormat="1" applyFont="1" applyAlignment="1">
      <alignment horizontal="center"/>
    </xf>
    <xf numFmtId="169" fontId="4" fillId="0" borderId="0" xfId="2" applyNumberFormat="1" applyFont="1" applyAlignment="1" applyProtection="1">
      <alignment horizontal="center"/>
      <protection locked="0"/>
    </xf>
    <xf numFmtId="169" fontId="4" fillId="0" borderId="0" xfId="2" applyNumberFormat="1" applyFont="1" applyAlignment="1" applyProtection="1">
      <alignment horizontal="right"/>
      <protection locked="0"/>
    </xf>
    <xf numFmtId="165" fontId="9" fillId="0" borderId="1" xfId="2" applyNumberFormat="1" applyFont="1" applyBorder="1" applyAlignment="1">
      <alignment horizontal="center"/>
    </xf>
    <xf numFmtId="0" fontId="11" fillId="0" borderId="0" xfId="2" applyFont="1" applyProtection="1">
      <protection locked="0"/>
    </xf>
    <xf numFmtId="165" fontId="4" fillId="0" borderId="1" xfId="2" applyNumberFormat="1" applyFont="1" applyBorder="1" applyAlignment="1" applyProtection="1">
      <alignment horizontal="center"/>
      <protection locked="0"/>
    </xf>
    <xf numFmtId="165" fontId="9" fillId="0" borderId="0" xfId="1" applyNumberFormat="1" applyFont="1" applyAlignment="1">
      <alignment horizontal="center"/>
    </xf>
    <xf numFmtId="165" fontId="9" fillId="0" borderId="0" xfId="1" applyNumberFormat="1" applyFont="1"/>
    <xf numFmtId="165" fontId="9" fillId="0" borderId="2" xfId="2" applyNumberFormat="1" applyFont="1" applyBorder="1" applyAlignment="1">
      <alignment horizontal="center"/>
    </xf>
    <xf numFmtId="0" fontId="13" fillId="0" borderId="0" xfId="0" applyFont="1"/>
    <xf numFmtId="0" fontId="7" fillId="0" borderId="0" xfId="0" applyFont="1"/>
    <xf numFmtId="1" fontId="9" fillId="0" borderId="0" xfId="2" applyNumberFormat="1" applyFont="1"/>
    <xf numFmtId="0" fontId="14" fillId="0" borderId="0" xfId="2" applyFont="1" applyAlignment="1" applyProtection="1">
      <alignment horizontal="left"/>
      <protection locked="0"/>
    </xf>
    <xf numFmtId="1" fontId="4" fillId="0" borderId="0" xfId="2" applyNumberFormat="1" applyFont="1" applyAlignment="1" applyProtection="1">
      <alignment horizontal="center"/>
      <protection locked="0"/>
    </xf>
    <xf numFmtId="1" fontId="9" fillId="0" borderId="0" xfId="1" applyNumberFormat="1" applyFont="1" applyAlignment="1">
      <alignment horizontal="center"/>
    </xf>
    <xf numFmtId="1" fontId="9" fillId="0" borderId="0" xfId="2" applyNumberFormat="1" applyFont="1" applyAlignment="1">
      <alignment horizontal="center"/>
    </xf>
    <xf numFmtId="0" fontId="9" fillId="0" borderId="0" xfId="2" applyFont="1"/>
    <xf numFmtId="165" fontId="9" fillId="0" borderId="0" xfId="3" applyNumberFormat="1" applyFont="1" applyAlignment="1">
      <alignment horizontal="center"/>
    </xf>
    <xf numFmtId="164" fontId="9" fillId="0" borderId="0" xfId="3" applyFont="1"/>
    <xf numFmtId="0" fontId="2" fillId="0" borderId="0" xfId="2" applyFont="1" applyAlignment="1" applyProtection="1">
      <alignment horizontal="centerContinuous"/>
      <protection locked="0"/>
    </xf>
    <xf numFmtId="0" fontId="15" fillId="0" borderId="0" xfId="2" applyFont="1" applyAlignment="1">
      <alignment horizontal="centerContinuous"/>
    </xf>
    <xf numFmtId="10" fontId="4" fillId="0" borderId="1" xfId="2" applyNumberFormat="1" applyFont="1" applyBorder="1" applyAlignment="1" applyProtection="1">
      <alignment horizontal="right"/>
      <protection locked="0"/>
    </xf>
    <xf numFmtId="168" fontId="9" fillId="0" borderId="2" xfId="2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165" fontId="9" fillId="0" borderId="0" xfId="5" quotePrefix="1" applyFont="1" applyAlignment="1">
      <alignment horizontal="center" wrapText="1"/>
    </xf>
    <xf numFmtId="164" fontId="9" fillId="0" borderId="0" xfId="3" quotePrefix="1" applyFont="1" applyAlignment="1">
      <alignment horizontal="center" wrapText="1"/>
    </xf>
    <xf numFmtId="0" fontId="10" fillId="0" borderId="0" xfId="4" applyFont="1" applyAlignment="1">
      <alignment horizontal="center"/>
    </xf>
    <xf numFmtId="165" fontId="10" fillId="0" borderId="0" xfId="5" applyFont="1" applyAlignment="1">
      <alignment horizontal="center"/>
    </xf>
  </cellXfs>
  <cellStyles count="6">
    <cellStyle name="Normal" xfId="0" builtinId="0"/>
    <cellStyle name="Normal 5" xfId="3" xr:uid="{88A3C84A-1B07-4DE9-866A-27126C6788AF}"/>
    <cellStyle name="Normal 7" xfId="4" xr:uid="{5E648E57-7426-44CB-A809-2844D98A8262}"/>
    <cellStyle name="Normal_97REINTX" xfId="5" xr:uid="{B37C0D15-238B-41A6-AD0C-A777827FC1E7}"/>
    <cellStyle name="Normal_Revreq - CIS (2)" xfId="1" xr:uid="{78FB2A36-EE8A-4364-80E8-6CA7CBAFB5C1}"/>
    <cellStyle name="Normal_Unnormalized" xfId="2" xr:uid="{91808683-1B50-444A-9305-7153630FAF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8A5E-7C68-432F-A16E-32939A75A128}">
  <sheetPr>
    <pageSetUpPr fitToPage="1"/>
  </sheetPr>
  <dimension ref="A1:M97"/>
  <sheetViews>
    <sheetView tabSelected="1" view="pageLayout" zoomScaleNormal="100" workbookViewId="0"/>
  </sheetViews>
  <sheetFormatPr defaultRowHeight="15" x14ac:dyDescent="0.25"/>
  <cols>
    <col min="1" max="1" width="4.7109375" style="62" customWidth="1"/>
    <col min="2" max="2" width="1.140625" style="62" customWidth="1"/>
    <col min="3" max="3" width="34.85546875" style="62" bestFit="1" customWidth="1"/>
    <col min="4" max="4" width="1.28515625" style="62" customWidth="1"/>
    <col min="5" max="7" width="16.85546875" style="7" customWidth="1"/>
    <col min="8" max="8" width="18.7109375" style="7" customWidth="1"/>
    <col min="9" max="9" width="20.140625" style="7" customWidth="1"/>
    <col min="10" max="10" width="11.42578125" style="7" customWidth="1"/>
    <col min="11" max="11" width="1.28515625" style="62" customWidth="1"/>
    <col min="12" max="12" width="18.28515625" style="7" customWidth="1"/>
    <col min="13" max="13" width="13.5703125" style="7" customWidth="1"/>
  </cols>
  <sheetData>
    <row r="1" spans="1:13" x14ac:dyDescent="0.25">
      <c r="A1" s="1"/>
      <c r="B1" s="1"/>
      <c r="C1" s="2"/>
      <c r="D1" s="2"/>
      <c r="E1" s="3"/>
      <c r="F1" s="3"/>
      <c r="G1" s="4"/>
      <c r="H1" s="4"/>
      <c r="I1" s="3"/>
      <c r="J1" s="4"/>
      <c r="K1" s="5"/>
      <c r="L1" s="6"/>
    </row>
    <row r="2" spans="1:13" x14ac:dyDescent="0.25">
      <c r="A2" s="1"/>
      <c r="B2" s="1"/>
      <c r="C2" s="2"/>
      <c r="D2" s="2"/>
      <c r="E2" s="3"/>
      <c r="F2" s="3"/>
      <c r="G2" s="4"/>
      <c r="H2" s="4"/>
      <c r="I2" s="3"/>
      <c r="J2" s="4"/>
      <c r="K2" s="5"/>
      <c r="L2" s="6"/>
      <c r="M2" s="8"/>
    </row>
    <row r="3" spans="1:13" x14ac:dyDescent="0.25">
      <c r="A3" s="1"/>
      <c r="B3" s="1"/>
      <c r="C3" s="2"/>
      <c r="D3" s="2"/>
      <c r="E3" s="3"/>
      <c r="F3" s="3"/>
      <c r="G3" s="4"/>
      <c r="H3" s="4"/>
      <c r="I3" s="3"/>
      <c r="J3" s="4"/>
      <c r="K3" s="5"/>
      <c r="L3" s="6"/>
      <c r="M3" s="8"/>
    </row>
    <row r="4" spans="1:13" x14ac:dyDescent="0.25">
      <c r="A4" s="9"/>
      <c r="B4" s="9"/>
      <c r="C4" s="10"/>
      <c r="D4" s="10"/>
      <c r="E4" s="11"/>
      <c r="F4" s="11"/>
      <c r="G4" s="12"/>
      <c r="H4" s="12"/>
      <c r="I4" s="11"/>
      <c r="J4" s="12"/>
      <c r="K4" s="13"/>
      <c r="L4" s="14"/>
      <c r="M4" s="8"/>
    </row>
    <row r="5" spans="1:13" x14ac:dyDescent="0.25">
      <c r="A5" s="9"/>
      <c r="B5" s="9"/>
      <c r="C5" s="10"/>
      <c r="D5" s="10"/>
      <c r="E5" s="11"/>
      <c r="F5" s="11"/>
      <c r="G5" s="12"/>
      <c r="H5" s="12"/>
      <c r="I5" s="11"/>
      <c r="J5" s="12"/>
      <c r="K5" s="13"/>
      <c r="L5" s="14"/>
      <c r="M5" s="8"/>
    </row>
    <row r="6" spans="1:13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x14ac:dyDescent="0.25">
      <c r="A7" s="81" t="s">
        <v>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3" x14ac:dyDescent="0.25">
      <c r="A8" s="81" t="s">
        <v>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3" x14ac:dyDescent="0.25">
      <c r="A9" s="15"/>
      <c r="B9" s="15"/>
      <c r="C9" s="16"/>
      <c r="D9" s="16"/>
      <c r="E9" s="11"/>
      <c r="F9" s="11"/>
      <c r="G9" s="11"/>
      <c r="H9" s="11"/>
      <c r="I9" s="11"/>
      <c r="J9" s="11"/>
      <c r="K9" s="17"/>
      <c r="L9" s="6"/>
    </row>
    <row r="10" spans="1:13" x14ac:dyDescent="0.25">
      <c r="A10" s="18"/>
      <c r="B10" s="18"/>
      <c r="C10" s="19"/>
      <c r="D10" s="19"/>
      <c r="E10" s="82" t="s">
        <v>3</v>
      </c>
      <c r="F10" s="82"/>
      <c r="G10" s="82" t="s">
        <v>4</v>
      </c>
      <c r="H10" s="82"/>
      <c r="I10" s="20" t="s">
        <v>5</v>
      </c>
      <c r="J10" s="21"/>
      <c r="K10" s="21"/>
      <c r="L10" s="20" t="s">
        <v>6</v>
      </c>
      <c r="M10" s="22"/>
    </row>
    <row r="11" spans="1:13" ht="39" x14ac:dyDescent="0.25">
      <c r="A11" s="23" t="s">
        <v>7</v>
      </c>
      <c r="B11" s="24"/>
      <c r="C11" s="25" t="s">
        <v>8</v>
      </c>
      <c r="D11" s="26"/>
      <c r="E11" s="23" t="s">
        <v>9</v>
      </c>
      <c r="F11" s="23" t="s">
        <v>10</v>
      </c>
      <c r="G11" s="23" t="s">
        <v>11</v>
      </c>
      <c r="H11" s="23" t="s">
        <v>12</v>
      </c>
      <c r="I11" s="23" t="s">
        <v>13</v>
      </c>
      <c r="J11" s="23" t="s">
        <v>14</v>
      </c>
      <c r="K11" s="24"/>
      <c r="L11" s="23" t="s">
        <v>15</v>
      </c>
      <c r="M11" s="27" t="s">
        <v>16</v>
      </c>
    </row>
    <row r="12" spans="1:13" x14ac:dyDescent="0.25">
      <c r="A12" s="28"/>
      <c r="B12" s="28"/>
      <c r="C12" s="29"/>
      <c r="D12" s="29"/>
      <c r="E12" s="3" t="s">
        <v>17</v>
      </c>
      <c r="F12" s="30" t="s">
        <v>18</v>
      </c>
      <c r="G12" s="30" t="s">
        <v>19</v>
      </c>
      <c r="H12" s="30" t="s">
        <v>20</v>
      </c>
      <c r="I12" s="30" t="s">
        <v>21</v>
      </c>
      <c r="J12" s="30" t="s">
        <v>22</v>
      </c>
      <c r="K12" s="30"/>
      <c r="L12" s="30" t="s">
        <v>23</v>
      </c>
      <c r="M12" s="30" t="s">
        <v>24</v>
      </c>
    </row>
    <row r="13" spans="1:13" x14ac:dyDescent="0.25">
      <c r="A13" s="28"/>
      <c r="B13" s="28"/>
      <c r="C13" s="29"/>
      <c r="D13" s="29"/>
      <c r="E13" s="6"/>
      <c r="F13" s="6"/>
      <c r="G13" s="30"/>
      <c r="H13" s="31"/>
      <c r="I13" s="6"/>
      <c r="J13" s="30"/>
      <c r="K13" s="30"/>
      <c r="L13" s="30"/>
    </row>
    <row r="14" spans="1:13" x14ac:dyDescent="0.25">
      <c r="A14" s="32"/>
      <c r="B14" s="32"/>
      <c r="C14" s="33" t="s">
        <v>25</v>
      </c>
      <c r="D14" s="18"/>
      <c r="E14" s="6"/>
      <c r="F14" s="6"/>
      <c r="G14" s="34"/>
      <c r="H14" s="31"/>
      <c r="I14" s="6"/>
      <c r="J14" s="6"/>
      <c r="K14" s="15"/>
      <c r="L14" s="34"/>
    </row>
    <row r="15" spans="1:13" x14ac:dyDescent="0.25">
      <c r="A15" s="3">
        <v>1</v>
      </c>
      <c r="B15" s="35"/>
      <c r="C15" s="18" t="s">
        <v>26</v>
      </c>
      <c r="D15" s="18"/>
      <c r="E15" s="34">
        <f>-239.3999/1000</f>
        <v>-0.2393999</v>
      </c>
      <c r="F15" s="34">
        <f>57.7001/1000</f>
        <v>5.7700099999999997E-2</v>
      </c>
      <c r="G15" s="34">
        <f>-84.3/1000</f>
        <v>-8.43E-2</v>
      </c>
      <c r="H15" s="34">
        <f>98/1000</f>
        <v>9.8000000000000004E-2</v>
      </c>
      <c r="I15" s="34">
        <f>3281.2/1000</f>
        <v>3.2811999999999997</v>
      </c>
      <c r="J15" s="34">
        <f>3113.2002/1000</f>
        <v>3.1132002000000001</v>
      </c>
      <c r="K15" s="36"/>
      <c r="L15" s="34">
        <v>1E-4</v>
      </c>
      <c r="M15" s="34">
        <f>3113.2003/1000</f>
        <v>3.1132002999999999</v>
      </c>
    </row>
    <row r="16" spans="1:13" x14ac:dyDescent="0.25">
      <c r="A16" s="3">
        <v>2</v>
      </c>
      <c r="B16" s="35"/>
      <c r="C16" s="18" t="s">
        <v>27</v>
      </c>
      <c r="D16" s="18"/>
      <c r="E16" s="37">
        <v>6.2E-2</v>
      </c>
      <c r="F16" s="37">
        <v>7.3020000000000002E-2</v>
      </c>
      <c r="G16" s="37">
        <v>6.2E-2</v>
      </c>
      <c r="H16" s="37">
        <v>7.3020000000000002E-2</v>
      </c>
      <c r="I16" s="37">
        <v>7.3020000000000002E-2</v>
      </c>
      <c r="J16" s="37"/>
      <c r="K16" s="38"/>
      <c r="L16" s="37">
        <v>7.3020000000000002E-2</v>
      </c>
      <c r="M16" s="37"/>
    </row>
    <row r="17" spans="1:13" x14ac:dyDescent="0.25">
      <c r="A17" s="3">
        <v>3</v>
      </c>
      <c r="B17" s="35"/>
      <c r="C17" s="18" t="s">
        <v>28</v>
      </c>
      <c r="D17" s="18"/>
      <c r="E17" s="39">
        <f>-14.8/1000</f>
        <v>-1.4800000000000001E-2</v>
      </c>
      <c r="F17" s="39">
        <f>4.2/1000</f>
        <v>4.2000000000000006E-3</v>
      </c>
      <c r="G17" s="39">
        <f>-5.2/1000</f>
        <v>-5.1999999999999998E-3</v>
      </c>
      <c r="H17" s="39">
        <f>7.2/1000</f>
        <v>7.1999999999999998E-3</v>
      </c>
      <c r="I17" s="39">
        <f>239.6/1000</f>
        <v>0.23960000000000001</v>
      </c>
      <c r="J17" s="39">
        <f>231/1000</f>
        <v>0.23100000000000001</v>
      </c>
      <c r="K17" s="40"/>
      <c r="L17" s="39">
        <v>0</v>
      </c>
      <c r="M17" s="39">
        <f>231/1000</f>
        <v>0.23100000000000001</v>
      </c>
    </row>
    <row r="18" spans="1:13" x14ac:dyDescent="0.25">
      <c r="A18" s="41"/>
      <c r="B18" s="42"/>
      <c r="C18" s="9"/>
      <c r="D18" s="9"/>
      <c r="E18" s="14"/>
      <c r="F18" s="14"/>
      <c r="G18" s="14"/>
      <c r="H18" s="14"/>
      <c r="I18" s="14"/>
      <c r="J18" s="14"/>
      <c r="K18" s="9"/>
      <c r="L18" s="14"/>
      <c r="M18" s="14"/>
    </row>
    <row r="19" spans="1:13" x14ac:dyDescent="0.25">
      <c r="A19" s="3"/>
      <c r="B19" s="35"/>
      <c r="C19" s="33" t="s">
        <v>29</v>
      </c>
      <c r="D19" s="18"/>
      <c r="E19" s="3"/>
      <c r="F19" s="3"/>
      <c r="G19" s="3"/>
      <c r="H19" s="3"/>
      <c r="I19" s="3"/>
      <c r="J19" s="3"/>
      <c r="K19" s="43"/>
      <c r="L19" s="3"/>
      <c r="M19" s="3"/>
    </row>
    <row r="20" spans="1:13" x14ac:dyDescent="0.25">
      <c r="A20" s="3">
        <v>4</v>
      </c>
      <c r="B20" s="35"/>
      <c r="C20" s="18" t="s">
        <v>30</v>
      </c>
      <c r="D20" s="18"/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5"/>
      <c r="L20" s="44">
        <v>0</v>
      </c>
      <c r="M20" s="44">
        <v>0</v>
      </c>
    </row>
    <row r="21" spans="1:13" x14ac:dyDescent="0.25">
      <c r="A21" s="3">
        <v>5</v>
      </c>
      <c r="B21" s="35"/>
      <c r="C21" s="46" t="s">
        <v>31</v>
      </c>
      <c r="D21" s="46"/>
      <c r="E21" s="39">
        <f>5744.9234595/1000</f>
        <v>5.7449234594999998</v>
      </c>
      <c r="F21" s="39">
        <f>-1385.77342051416/1000</f>
        <v>-1.3857734205141601</v>
      </c>
      <c r="G21" s="44">
        <v>0</v>
      </c>
      <c r="H21" s="44">
        <v>0</v>
      </c>
      <c r="I21" s="44">
        <v>0</v>
      </c>
      <c r="J21" s="39">
        <f>4359.15003898584/1000</f>
        <v>4.35915003898584</v>
      </c>
      <c r="K21" s="45"/>
      <c r="L21" s="39">
        <f>-17509.3/1000</f>
        <v>-17.5093</v>
      </c>
      <c r="M21" s="39">
        <f>-13150.1459610142/1000</f>
        <v>-13.1501459610142</v>
      </c>
    </row>
    <row r="22" spans="1:13" x14ac:dyDescent="0.25">
      <c r="A22" s="3">
        <v>6</v>
      </c>
      <c r="B22" s="35"/>
      <c r="C22" s="18" t="s">
        <v>32</v>
      </c>
      <c r="D22" s="18"/>
      <c r="E22" s="44">
        <v>0</v>
      </c>
      <c r="F22" s="44">
        <v>0</v>
      </c>
      <c r="G22" s="39">
        <f>-2.5/1000</f>
        <v>-2.5000000000000001E-3</v>
      </c>
      <c r="H22" s="39">
        <f>1.8/1000</f>
        <v>1.8E-3</v>
      </c>
      <c r="I22" s="39">
        <f>-4675.35655117256/1000</f>
        <v>-4.6753565511725599</v>
      </c>
      <c r="J22" s="39">
        <f>-4676.05655117256/1000</f>
        <v>-4.67605655117256</v>
      </c>
      <c r="K22" s="45"/>
      <c r="L22" s="44">
        <v>0</v>
      </c>
      <c r="M22" s="39">
        <f>-4676.05655117256/1000</f>
        <v>-4.67605655117256</v>
      </c>
    </row>
    <row r="23" spans="1:13" ht="16.5" x14ac:dyDescent="0.35">
      <c r="A23" s="3">
        <v>7</v>
      </c>
      <c r="B23" s="35"/>
      <c r="C23" s="18" t="s">
        <v>33</v>
      </c>
      <c r="D23" s="18"/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8"/>
      <c r="L23" s="47">
        <v>0</v>
      </c>
      <c r="M23" s="47">
        <v>0</v>
      </c>
    </row>
    <row r="24" spans="1:13" x14ac:dyDescent="0.25">
      <c r="A24" s="3">
        <v>8</v>
      </c>
      <c r="B24" s="35"/>
      <c r="C24" s="18" t="s">
        <v>34</v>
      </c>
      <c r="D24" s="18"/>
      <c r="E24" s="39">
        <f t="shared" ref="E24:J24" si="0">SUM(E20:E23)</f>
        <v>5.7449234594999998</v>
      </c>
      <c r="F24" s="39">
        <f t="shared" si="0"/>
        <v>-1.3857734205141601</v>
      </c>
      <c r="G24" s="39">
        <f t="shared" si="0"/>
        <v>-2.5000000000000001E-3</v>
      </c>
      <c r="H24" s="39">
        <f t="shared" si="0"/>
        <v>1.8E-3</v>
      </c>
      <c r="I24" s="39">
        <f t="shared" si="0"/>
        <v>-4.6753565511725599</v>
      </c>
      <c r="J24" s="39">
        <f t="shared" si="0"/>
        <v>-0.31690651218672006</v>
      </c>
      <c r="K24" s="45"/>
      <c r="L24" s="39">
        <f>SUM(L20:L23)</f>
        <v>-17.5093</v>
      </c>
      <c r="M24" s="39">
        <f>SUM(M20:M23)</f>
        <v>-17.826202512186761</v>
      </c>
    </row>
    <row r="25" spans="1:13" x14ac:dyDescent="0.25">
      <c r="A25" s="41"/>
      <c r="B25" s="42"/>
      <c r="C25" s="9"/>
      <c r="D25" s="9"/>
      <c r="E25" s="49"/>
      <c r="F25" s="49"/>
      <c r="G25" s="49"/>
      <c r="H25" s="49"/>
      <c r="I25" s="49"/>
      <c r="J25" s="49"/>
      <c r="K25" s="50"/>
      <c r="L25" s="49"/>
      <c r="M25" s="49"/>
    </row>
    <row r="26" spans="1:13" x14ac:dyDescent="0.25">
      <c r="A26" s="3"/>
      <c r="B26" s="35"/>
      <c r="C26" s="33" t="s">
        <v>35</v>
      </c>
      <c r="D26" s="18"/>
      <c r="E26" s="51"/>
      <c r="F26" s="51"/>
      <c r="G26" s="51"/>
      <c r="H26" s="51"/>
      <c r="I26" s="51"/>
      <c r="J26" s="51"/>
      <c r="K26" s="45"/>
      <c r="L26" s="51"/>
      <c r="M26" s="51"/>
    </row>
    <row r="27" spans="1:13" x14ac:dyDescent="0.25">
      <c r="A27" s="3">
        <v>9</v>
      </c>
      <c r="B27" s="35"/>
      <c r="C27" s="18" t="s">
        <v>36</v>
      </c>
      <c r="D27" s="18"/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5"/>
      <c r="L27" s="44">
        <v>0</v>
      </c>
      <c r="M27" s="44">
        <v>0</v>
      </c>
    </row>
    <row r="28" spans="1:13" ht="16.5" x14ac:dyDescent="0.35">
      <c r="A28" s="3">
        <v>10</v>
      </c>
      <c r="B28" s="35"/>
      <c r="C28" s="18" t="s">
        <v>37</v>
      </c>
      <c r="D28" s="18"/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8"/>
      <c r="L28" s="47">
        <v>0</v>
      </c>
      <c r="M28" s="47">
        <v>0</v>
      </c>
    </row>
    <row r="29" spans="1:13" x14ac:dyDescent="0.25">
      <c r="A29" s="3">
        <v>11</v>
      </c>
      <c r="B29" s="35"/>
      <c r="C29" s="18" t="s">
        <v>38</v>
      </c>
      <c r="D29" s="18"/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5"/>
      <c r="L29" s="44">
        <v>0</v>
      </c>
      <c r="M29" s="44">
        <v>0</v>
      </c>
    </row>
    <row r="30" spans="1:13" x14ac:dyDescent="0.25">
      <c r="A30" s="11"/>
      <c r="B30" s="52"/>
      <c r="C30" s="2"/>
      <c r="D30" s="2"/>
      <c r="E30" s="53"/>
      <c r="F30" s="53"/>
      <c r="G30" s="53"/>
      <c r="H30" s="53"/>
      <c r="I30" s="53"/>
      <c r="J30" s="53"/>
      <c r="K30" s="54"/>
      <c r="L30" s="53"/>
      <c r="M30" s="53"/>
    </row>
    <row r="31" spans="1:13" x14ac:dyDescent="0.25">
      <c r="A31" s="3"/>
      <c r="B31" s="35"/>
      <c r="C31" s="33" t="s">
        <v>39</v>
      </c>
      <c r="D31" s="18"/>
      <c r="E31" s="53"/>
      <c r="F31" s="53"/>
      <c r="G31" s="53"/>
      <c r="H31" s="53"/>
      <c r="I31" s="53"/>
      <c r="J31" s="53"/>
      <c r="K31" s="54"/>
      <c r="L31" s="53"/>
      <c r="M31" s="53"/>
    </row>
    <row r="32" spans="1:13" x14ac:dyDescent="0.25">
      <c r="A32" s="3">
        <v>12</v>
      </c>
      <c r="B32" s="35"/>
      <c r="C32" s="18" t="s">
        <v>40</v>
      </c>
      <c r="D32" s="18"/>
      <c r="E32" s="39">
        <f>-1470.3/1000</f>
        <v>-1.4702999999999999</v>
      </c>
      <c r="F32" s="39">
        <f>356.2/1000</f>
        <v>0.35619999999999996</v>
      </c>
      <c r="G32" s="39">
        <f>403/1000</f>
        <v>0.40300000000000002</v>
      </c>
      <c r="H32" s="39">
        <f>-455.1/1000</f>
        <v>-0.4551</v>
      </c>
      <c r="I32" s="44">
        <v>0</v>
      </c>
      <c r="J32" s="39">
        <f>-1166.2/1000</f>
        <v>-1.1662000000000001</v>
      </c>
      <c r="K32" s="45"/>
      <c r="L32" s="39">
        <f>4640/1000</f>
        <v>4.6399999999999997</v>
      </c>
      <c r="M32" s="39">
        <f>3473.8/1000</f>
        <v>3.4738000000000002</v>
      </c>
    </row>
    <row r="33" spans="1:13" ht="16.5" x14ac:dyDescent="0.35">
      <c r="A33" s="3">
        <v>13</v>
      </c>
      <c r="B33" s="35"/>
      <c r="C33" s="18" t="s">
        <v>41</v>
      </c>
      <c r="D33" s="18"/>
      <c r="E33" s="55">
        <f>1.9/1000</f>
        <v>1.9E-3</v>
      </c>
      <c r="F33" s="55">
        <f>-0.6/1000</f>
        <v>-5.9999999999999995E-4</v>
      </c>
      <c r="G33" s="55">
        <f>0.7/1000</f>
        <v>6.9999999999999999E-4</v>
      </c>
      <c r="H33" s="55">
        <f>-1/1000</f>
        <v>-1E-3</v>
      </c>
      <c r="I33" s="55">
        <f>-34.8/1000</f>
        <v>-3.4799999999999998E-2</v>
      </c>
      <c r="J33" s="55">
        <f>-33.8/1000</f>
        <v>-3.3799999999999997E-2</v>
      </c>
      <c r="K33" s="48"/>
      <c r="L33" s="47">
        <v>0</v>
      </c>
      <c r="M33" s="55">
        <f>-33.8/1000</f>
        <v>-3.3799999999999997E-2</v>
      </c>
    </row>
    <row r="34" spans="1:13" x14ac:dyDescent="0.25">
      <c r="A34" s="3">
        <v>14</v>
      </c>
      <c r="B34" s="35"/>
      <c r="C34" s="18" t="s">
        <v>42</v>
      </c>
      <c r="D34" s="18"/>
      <c r="E34" s="39">
        <f t="shared" ref="E34:J34" si="1">SUM(E32:E33)</f>
        <v>-1.4683999999999999</v>
      </c>
      <c r="F34" s="39">
        <f t="shared" si="1"/>
        <v>0.35559999999999997</v>
      </c>
      <c r="G34" s="39">
        <f t="shared" si="1"/>
        <v>0.4037</v>
      </c>
      <c r="H34" s="39">
        <f t="shared" si="1"/>
        <v>-0.45610000000000001</v>
      </c>
      <c r="I34" s="39">
        <f t="shared" si="1"/>
        <v>-3.4799999999999998E-2</v>
      </c>
      <c r="J34" s="39">
        <f t="shared" si="1"/>
        <v>-1.2000000000000002</v>
      </c>
      <c r="K34" s="45"/>
      <c r="L34" s="39">
        <f>SUM(L32:L33)</f>
        <v>4.6399999999999997</v>
      </c>
      <c r="M34" s="39">
        <f>SUM(M32:M33)</f>
        <v>3.4400000000000004</v>
      </c>
    </row>
    <row r="35" spans="1:13" x14ac:dyDescent="0.25">
      <c r="A35" s="41"/>
      <c r="B35" s="42"/>
      <c r="C35" s="9"/>
      <c r="D35" s="9"/>
      <c r="E35" s="49"/>
      <c r="F35" s="49"/>
      <c r="G35" s="49"/>
      <c r="H35" s="49"/>
      <c r="I35" s="49"/>
      <c r="J35" s="49"/>
      <c r="K35" s="50"/>
      <c r="L35" s="49"/>
      <c r="M35" s="49"/>
    </row>
    <row r="36" spans="1:13" x14ac:dyDescent="0.25">
      <c r="A36" s="11"/>
      <c r="B36" s="52"/>
      <c r="C36" s="56" t="s">
        <v>43</v>
      </c>
      <c r="D36" s="2"/>
      <c r="E36" s="6"/>
      <c r="F36" s="6"/>
      <c r="G36" s="6"/>
      <c r="H36" s="6"/>
      <c r="I36" s="6"/>
      <c r="J36" s="6"/>
      <c r="K36" s="15"/>
      <c r="L36" s="6"/>
      <c r="M36" s="6"/>
    </row>
    <row r="37" spans="1:13" x14ac:dyDescent="0.25">
      <c r="A37" s="3">
        <v>15</v>
      </c>
      <c r="B37" s="35"/>
      <c r="C37" s="2" t="s">
        <v>44</v>
      </c>
      <c r="D37" s="2"/>
      <c r="E37" s="34">
        <f>-5798.2/1000</f>
        <v>-5.7981999999999996</v>
      </c>
      <c r="F37" s="34">
        <f>1395.9/1000</f>
        <v>1.3959000000000001</v>
      </c>
      <c r="G37" s="34">
        <f>-538.8/1000</f>
        <v>-0.53879999999999995</v>
      </c>
      <c r="H37" s="34">
        <f>608.3/1000</f>
        <v>0.60829999999999995</v>
      </c>
      <c r="I37" s="34">
        <f>6082.4/1000</f>
        <v>6.0823999999999998</v>
      </c>
      <c r="J37" s="34">
        <f>1749.6/1000</f>
        <v>1.7495999999999998</v>
      </c>
      <c r="K37" s="36"/>
      <c r="L37" s="34">
        <f>17509.3/1000</f>
        <v>17.5093</v>
      </c>
      <c r="M37" s="34">
        <f>19258.9/1000</f>
        <v>19.258900000000001</v>
      </c>
    </row>
    <row r="38" spans="1:13" ht="16.5" x14ac:dyDescent="0.35">
      <c r="A38" s="3">
        <v>16</v>
      </c>
      <c r="B38" s="35"/>
      <c r="C38" s="2" t="s">
        <v>45</v>
      </c>
      <c r="D38" s="2"/>
      <c r="E38" s="57">
        <f>-4261.7/1000</f>
        <v>-4.2616999999999994</v>
      </c>
      <c r="F38" s="57">
        <f>1026/1000</f>
        <v>1.026</v>
      </c>
      <c r="G38" s="57">
        <f>-396/1000</f>
        <v>-0.39600000000000002</v>
      </c>
      <c r="H38" s="57">
        <f>447.1/1000</f>
        <v>0.4471</v>
      </c>
      <c r="I38" s="57">
        <f>4470.6/1000</f>
        <v>4.4706000000000001</v>
      </c>
      <c r="J38" s="57">
        <f>1286/1000</f>
        <v>1.286</v>
      </c>
      <c r="K38" s="48"/>
      <c r="L38" s="57">
        <f>12869.3/1000</f>
        <v>12.869299999999999</v>
      </c>
      <c r="M38" s="57">
        <f>14155.3/1000</f>
        <v>14.155299999999999</v>
      </c>
    </row>
    <row r="39" spans="1:13" x14ac:dyDescent="0.25">
      <c r="A39" s="3">
        <v>17</v>
      </c>
      <c r="B39" s="35"/>
      <c r="C39" s="2" t="s">
        <v>46</v>
      </c>
      <c r="D39" s="2"/>
      <c r="E39" s="39">
        <f t="shared" ref="E39:J39" si="2">E38-E37</f>
        <v>1.5365000000000002</v>
      </c>
      <c r="F39" s="39">
        <f t="shared" si="2"/>
        <v>-0.36990000000000012</v>
      </c>
      <c r="G39" s="39">
        <f t="shared" si="2"/>
        <v>0.14279999999999993</v>
      </c>
      <c r="H39" s="39">
        <f t="shared" si="2"/>
        <v>-0.16119999999999995</v>
      </c>
      <c r="I39" s="39">
        <f t="shared" si="2"/>
        <v>-1.6117999999999997</v>
      </c>
      <c r="J39" s="39">
        <f t="shared" si="2"/>
        <v>-0.46359999999999979</v>
      </c>
      <c r="K39" s="39"/>
      <c r="L39" s="39">
        <f>L38-L37</f>
        <v>-4.6400000000000006</v>
      </c>
      <c r="M39" s="39">
        <f>M38-M37</f>
        <v>-5.1036000000000019</v>
      </c>
    </row>
    <row r="40" spans="1:13" x14ac:dyDescent="0.25">
      <c r="A40" s="41"/>
      <c r="B40" s="42"/>
      <c r="C40" s="9"/>
      <c r="D40" s="9"/>
      <c r="E40" s="58"/>
      <c r="F40" s="58"/>
      <c r="G40" s="58"/>
      <c r="H40" s="58"/>
      <c r="I40" s="58"/>
      <c r="J40" s="58"/>
      <c r="K40" s="59"/>
      <c r="L40" s="58"/>
      <c r="M40" s="58"/>
    </row>
    <row r="41" spans="1:13" x14ac:dyDescent="0.25">
      <c r="A41" s="3">
        <v>18</v>
      </c>
      <c r="B41" s="35"/>
      <c r="C41" s="18" t="s">
        <v>47</v>
      </c>
      <c r="D41" s="18"/>
      <c r="E41" s="39">
        <f t="shared" ref="E41:J41" si="3">SUM(E39,E34,E24,E17)</f>
        <v>5.7982234595</v>
      </c>
      <c r="F41" s="39">
        <f t="shared" si="3"/>
        <v>-1.3958734205141603</v>
      </c>
      <c r="G41" s="39">
        <f t="shared" si="3"/>
        <v>0.53880000000000006</v>
      </c>
      <c r="H41" s="39">
        <f t="shared" si="3"/>
        <v>-0.60829999999999995</v>
      </c>
      <c r="I41" s="39">
        <f t="shared" si="3"/>
        <v>-6.082356551172559</v>
      </c>
      <c r="J41" s="39">
        <f t="shared" si="3"/>
        <v>-1.7495065121867199</v>
      </c>
      <c r="K41" s="40"/>
      <c r="L41" s="39">
        <f>L39+L34+L24</f>
        <v>-17.5093</v>
      </c>
      <c r="M41" s="39">
        <f>M39+M34+M24+M17</f>
        <v>-19.258802512186762</v>
      </c>
    </row>
    <row r="42" spans="1:13" x14ac:dyDescent="0.25">
      <c r="A42" s="3"/>
      <c r="B42" s="35"/>
      <c r="C42" s="15"/>
      <c r="D42" s="15"/>
      <c r="E42" s="39"/>
      <c r="F42" s="39"/>
      <c r="G42" s="39"/>
      <c r="H42" s="39"/>
      <c r="I42" s="39"/>
      <c r="J42" s="39"/>
      <c r="K42" s="40"/>
      <c r="L42" s="39"/>
      <c r="M42" s="39"/>
    </row>
    <row r="43" spans="1:13" x14ac:dyDescent="0.25">
      <c r="A43" s="3"/>
      <c r="B43" s="35"/>
      <c r="C43" s="33" t="s">
        <v>48</v>
      </c>
      <c r="D43" s="18"/>
      <c r="E43" s="39"/>
      <c r="F43" s="39"/>
      <c r="G43" s="39"/>
      <c r="H43" s="39"/>
      <c r="I43" s="39"/>
      <c r="J43" s="39"/>
      <c r="K43" s="40"/>
      <c r="L43" s="39"/>
      <c r="M43" s="39"/>
    </row>
    <row r="44" spans="1:13" x14ac:dyDescent="0.25">
      <c r="A44" s="3">
        <v>19</v>
      </c>
      <c r="B44" s="35"/>
      <c r="C44" s="2" t="s">
        <v>49</v>
      </c>
      <c r="D44" s="2"/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/>
      <c r="L44" s="44">
        <v>0</v>
      </c>
      <c r="M44" s="44">
        <v>0</v>
      </c>
    </row>
    <row r="45" spans="1:13" x14ac:dyDescent="0.25">
      <c r="A45" s="3">
        <v>20</v>
      </c>
      <c r="B45" s="35"/>
      <c r="C45" s="2" t="s">
        <v>50</v>
      </c>
      <c r="D45" s="2"/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/>
      <c r="L45" s="44">
        <v>0</v>
      </c>
      <c r="M45" s="44">
        <v>0</v>
      </c>
    </row>
    <row r="46" spans="1:13" x14ac:dyDescent="0.25">
      <c r="A46" s="3">
        <v>21</v>
      </c>
      <c r="B46" s="35"/>
      <c r="C46" s="2" t="s">
        <v>51</v>
      </c>
      <c r="D46" s="2"/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/>
      <c r="L46" s="44">
        <v>0</v>
      </c>
      <c r="M46" s="44">
        <v>0</v>
      </c>
    </row>
    <row r="47" spans="1:13" x14ac:dyDescent="0.25">
      <c r="A47" s="3">
        <v>22</v>
      </c>
      <c r="B47" s="35"/>
      <c r="C47" s="2" t="s">
        <v>52</v>
      </c>
      <c r="D47" s="2"/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4"/>
      <c r="L47" s="47">
        <v>0</v>
      </c>
      <c r="M47" s="47">
        <v>0</v>
      </c>
    </row>
    <row r="48" spans="1:13" x14ac:dyDescent="0.25">
      <c r="A48" s="3">
        <v>23</v>
      </c>
      <c r="B48" s="35"/>
      <c r="C48" s="2" t="s">
        <v>53</v>
      </c>
      <c r="D48" s="2"/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/>
      <c r="L48" s="44">
        <v>0</v>
      </c>
      <c r="M48" s="44">
        <v>0</v>
      </c>
    </row>
    <row r="49" spans="1:13" x14ac:dyDescent="0.25">
      <c r="A49" s="3"/>
      <c r="B49" s="35"/>
      <c r="C49" s="15"/>
      <c r="D49" s="15"/>
      <c r="E49" s="39"/>
      <c r="F49" s="39"/>
      <c r="G49" s="39"/>
      <c r="H49" s="39"/>
      <c r="I49" s="39"/>
      <c r="J49" s="39"/>
      <c r="K49" s="40"/>
      <c r="L49" s="39"/>
      <c r="M49" s="39"/>
    </row>
    <row r="50" spans="1:13" ht="15.75" thickBot="1" x14ac:dyDescent="0.3">
      <c r="A50" s="3">
        <v>24</v>
      </c>
      <c r="B50" s="35"/>
      <c r="C50" s="2" t="s">
        <v>54</v>
      </c>
      <c r="D50" s="2"/>
      <c r="E50" s="60">
        <f t="shared" ref="E50:J50" si="4">E48-E41</f>
        <v>-5.7982234595</v>
      </c>
      <c r="F50" s="60">
        <f t="shared" si="4"/>
        <v>1.3958734205141603</v>
      </c>
      <c r="G50" s="60">
        <f t="shared" si="4"/>
        <v>-0.53880000000000006</v>
      </c>
      <c r="H50" s="60">
        <f t="shared" si="4"/>
        <v>0.60829999999999995</v>
      </c>
      <c r="I50" s="60">
        <f t="shared" si="4"/>
        <v>6.082356551172559</v>
      </c>
      <c r="J50" s="60">
        <f t="shared" si="4"/>
        <v>1.7495065121867199</v>
      </c>
      <c r="K50" s="61"/>
      <c r="L50" s="60">
        <f>L48-L41</f>
        <v>17.5093</v>
      </c>
      <c r="M50" s="60">
        <f>M48-M41</f>
        <v>19.258802512186762</v>
      </c>
    </row>
    <row r="51" spans="1:13" ht="15.75" thickTop="1" x14ac:dyDescent="0.25"/>
    <row r="56" spans="1:13" x14ac:dyDescent="0.25">
      <c r="H56" s="31"/>
    </row>
    <row r="57" spans="1:13" x14ac:dyDescent="0.25">
      <c r="H57" s="31"/>
    </row>
    <row r="58" spans="1:13" x14ac:dyDescent="0.25">
      <c r="H58" s="31"/>
    </row>
    <row r="59" spans="1:13" x14ac:dyDescent="0.25">
      <c r="H59" s="31"/>
    </row>
    <row r="60" spans="1:13" x14ac:dyDescent="0.25">
      <c r="H60" s="31"/>
    </row>
    <row r="61" spans="1:13" x14ac:dyDescent="0.25">
      <c r="H61" s="31"/>
    </row>
    <row r="62" spans="1:13" x14ac:dyDescent="0.25">
      <c r="H62" s="31"/>
    </row>
    <row r="63" spans="1:13" x14ac:dyDescent="0.25">
      <c r="H63" s="31"/>
    </row>
    <row r="64" spans="1:13" x14ac:dyDescent="0.25">
      <c r="H64" s="31"/>
    </row>
    <row r="65" spans="8:8" x14ac:dyDescent="0.25">
      <c r="H65" s="31"/>
    </row>
    <row r="66" spans="8:8" x14ac:dyDescent="0.25">
      <c r="H66" s="31"/>
    </row>
    <row r="67" spans="8:8" x14ac:dyDescent="0.25">
      <c r="H67" s="31"/>
    </row>
    <row r="68" spans="8:8" x14ac:dyDescent="0.25">
      <c r="H68" s="31"/>
    </row>
    <row r="69" spans="8:8" x14ac:dyDescent="0.25">
      <c r="H69" s="31"/>
    </row>
    <row r="70" spans="8:8" x14ac:dyDescent="0.25">
      <c r="H70" s="31"/>
    </row>
    <row r="71" spans="8:8" x14ac:dyDescent="0.25">
      <c r="H71" s="31"/>
    </row>
    <row r="72" spans="8:8" x14ac:dyDescent="0.25">
      <c r="H72" s="31"/>
    </row>
    <row r="73" spans="8:8" x14ac:dyDescent="0.25">
      <c r="H73" s="31"/>
    </row>
    <row r="74" spans="8:8" x14ac:dyDescent="0.25">
      <c r="H74" s="31"/>
    </row>
    <row r="75" spans="8:8" x14ac:dyDescent="0.25">
      <c r="H75" s="31"/>
    </row>
    <row r="76" spans="8:8" x14ac:dyDescent="0.25">
      <c r="H76" s="31"/>
    </row>
    <row r="77" spans="8:8" x14ac:dyDescent="0.25">
      <c r="H77" s="31"/>
    </row>
    <row r="78" spans="8:8" x14ac:dyDescent="0.25">
      <c r="H78" s="31"/>
    </row>
    <row r="79" spans="8:8" x14ac:dyDescent="0.25">
      <c r="H79" s="31"/>
    </row>
    <row r="80" spans="8:8" x14ac:dyDescent="0.25">
      <c r="H80" s="31"/>
    </row>
    <row r="81" spans="8:8" x14ac:dyDescent="0.25">
      <c r="H81" s="31"/>
    </row>
    <row r="82" spans="8:8" x14ac:dyDescent="0.25">
      <c r="H82" s="31"/>
    </row>
    <row r="83" spans="8:8" x14ac:dyDescent="0.25">
      <c r="H83" s="31"/>
    </row>
    <row r="84" spans="8:8" x14ac:dyDescent="0.25">
      <c r="H84" s="31"/>
    </row>
    <row r="85" spans="8:8" x14ac:dyDescent="0.25">
      <c r="H85" s="31"/>
    </row>
    <row r="86" spans="8:8" x14ac:dyDescent="0.25">
      <c r="H86" s="31"/>
    </row>
    <row r="87" spans="8:8" x14ac:dyDescent="0.25">
      <c r="H87" s="31"/>
    </row>
    <row r="88" spans="8:8" x14ac:dyDescent="0.25">
      <c r="H88" s="31"/>
    </row>
    <row r="89" spans="8:8" x14ac:dyDescent="0.25">
      <c r="H89" s="31"/>
    </row>
    <row r="90" spans="8:8" x14ac:dyDescent="0.25">
      <c r="H90" s="31"/>
    </row>
    <row r="91" spans="8:8" x14ac:dyDescent="0.25">
      <c r="H91" s="31"/>
    </row>
    <row r="92" spans="8:8" x14ac:dyDescent="0.25">
      <c r="H92" s="31"/>
    </row>
    <row r="93" spans="8:8" x14ac:dyDescent="0.25">
      <c r="H93" s="31"/>
    </row>
    <row r="94" spans="8:8" x14ac:dyDescent="0.25">
      <c r="H94" s="31"/>
    </row>
    <row r="95" spans="8:8" x14ac:dyDescent="0.25">
      <c r="H95" s="31"/>
    </row>
    <row r="96" spans="8:8" x14ac:dyDescent="0.25">
      <c r="H96" s="31"/>
    </row>
    <row r="97" spans="8:8" x14ac:dyDescent="0.25">
      <c r="H97" s="31"/>
    </row>
  </sheetData>
  <mergeCells count="5">
    <mergeCell ref="A6:M6"/>
    <mergeCell ref="A7:M7"/>
    <mergeCell ref="A8:M8"/>
    <mergeCell ref="E10:F10"/>
    <mergeCell ref="G10:H10"/>
  </mergeCells>
  <pageMargins left="0.7" right="0.7" top="0.75" bottom="0.75" header="0.3" footer="0.3"/>
  <pageSetup scale="67" orientation="landscape" r:id="rId1"/>
  <headerFooter>
    <oddHeader>&amp;R&amp;"Arial,Regular"&amp;10Filed: 2022-10-31
EB-2022-0200
Exhibit 9
Tab 2
Schedule 1
Attachment 3
Page &amp;P of 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C7CA-BB93-412D-807B-EF8B9E42E808}">
  <sheetPr>
    <pageSetUpPr fitToPage="1"/>
  </sheetPr>
  <dimension ref="A1:O55"/>
  <sheetViews>
    <sheetView view="pageLayout" zoomScaleNormal="100" workbookViewId="0">
      <selection activeCell="I21" sqref="I21"/>
    </sheetView>
  </sheetViews>
  <sheetFormatPr defaultRowHeight="15" x14ac:dyDescent="0.25"/>
  <cols>
    <col min="1" max="1" width="6.5703125" style="62" customWidth="1"/>
    <col min="2" max="2" width="1.28515625" style="62" customWidth="1"/>
    <col min="3" max="3" width="34.85546875" style="62" bestFit="1" customWidth="1"/>
    <col min="4" max="4" width="1.28515625" style="62" customWidth="1"/>
    <col min="5" max="5" width="18.5703125" style="7" customWidth="1"/>
    <col min="6" max="7" width="13.42578125" style="7" customWidth="1"/>
    <col min="8" max="9" width="17.85546875" style="7" customWidth="1"/>
    <col min="10" max="10" width="16.140625" style="7" customWidth="1"/>
    <col min="11" max="11" width="16.5703125" style="7" customWidth="1"/>
    <col min="12" max="12" width="13" style="7" customWidth="1"/>
    <col min="13" max="13" width="1.28515625" style="62" customWidth="1"/>
    <col min="14" max="14" width="15.85546875" style="7" customWidth="1"/>
    <col min="15" max="15" width="12.140625" style="7" bestFit="1" customWidth="1"/>
  </cols>
  <sheetData>
    <row r="1" spans="1:15" x14ac:dyDescent="0.25">
      <c r="A1" s="1"/>
      <c r="B1" s="1"/>
      <c r="C1" s="2"/>
      <c r="D1" s="2"/>
      <c r="E1" s="3"/>
      <c r="F1" s="3"/>
      <c r="G1" s="4"/>
      <c r="H1" s="4"/>
      <c r="I1" s="3"/>
      <c r="J1" s="4"/>
      <c r="K1" s="4"/>
      <c r="L1" s="4"/>
      <c r="M1" s="5"/>
      <c r="N1" s="6"/>
      <c r="O1" s="8"/>
    </row>
    <row r="2" spans="1:15" x14ac:dyDescent="0.25">
      <c r="A2" s="1"/>
      <c r="B2" s="1"/>
      <c r="C2" s="2"/>
      <c r="D2" s="2"/>
      <c r="E2" s="3"/>
      <c r="F2" s="3"/>
      <c r="G2" s="4"/>
      <c r="H2" s="4"/>
      <c r="I2" s="3"/>
      <c r="J2" s="4"/>
      <c r="K2" s="4"/>
      <c r="L2" s="4"/>
      <c r="M2" s="5"/>
      <c r="N2" s="6"/>
      <c r="O2" s="8"/>
    </row>
    <row r="3" spans="1:15" x14ac:dyDescent="0.25">
      <c r="A3" s="1"/>
      <c r="B3" s="1"/>
      <c r="C3" s="2"/>
      <c r="D3" s="2"/>
      <c r="E3" s="3"/>
      <c r="F3" s="3"/>
      <c r="G3" s="4"/>
      <c r="H3" s="4"/>
      <c r="I3" s="3"/>
      <c r="J3" s="4"/>
      <c r="K3" s="4"/>
      <c r="L3" s="4"/>
      <c r="M3" s="5"/>
      <c r="N3" s="6"/>
      <c r="O3" s="8"/>
    </row>
    <row r="4" spans="1:15" x14ac:dyDescent="0.25">
      <c r="A4" s="9"/>
      <c r="B4" s="9"/>
      <c r="C4" s="10"/>
      <c r="D4" s="10"/>
      <c r="E4" s="11"/>
      <c r="F4" s="11"/>
      <c r="G4" s="12"/>
      <c r="H4" s="12"/>
      <c r="I4" s="11"/>
      <c r="J4" s="12"/>
      <c r="K4" s="12"/>
      <c r="L4" s="12"/>
      <c r="M4" s="13"/>
      <c r="N4" s="14"/>
      <c r="O4" s="8"/>
    </row>
    <row r="5" spans="1:15" x14ac:dyDescent="0.25">
      <c r="A5" s="9"/>
      <c r="B5" s="9"/>
      <c r="C5" s="10"/>
      <c r="D5" s="10"/>
      <c r="E5" s="11"/>
      <c r="F5" s="11"/>
      <c r="G5" s="12"/>
      <c r="H5" s="12"/>
      <c r="I5" s="11"/>
      <c r="J5" s="12"/>
      <c r="K5" s="12"/>
      <c r="L5" s="12"/>
      <c r="M5" s="13"/>
      <c r="N5" s="14"/>
      <c r="O5" s="8"/>
    </row>
    <row r="6" spans="1:1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x14ac:dyDescent="0.25">
      <c r="A7" s="81" t="s">
        <v>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x14ac:dyDescent="0.25">
      <c r="A8" s="81" t="s">
        <v>55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x14ac:dyDescent="0.25">
      <c r="A9" s="15"/>
      <c r="B9" s="15"/>
      <c r="C9" s="16"/>
      <c r="D9" s="16"/>
      <c r="E9" s="11"/>
      <c r="F9" s="11"/>
      <c r="G9" s="11"/>
      <c r="H9" s="11"/>
      <c r="I9" s="11"/>
      <c r="J9" s="11"/>
      <c r="K9" s="11"/>
      <c r="L9" s="11"/>
      <c r="M9" s="17"/>
      <c r="N9" s="11"/>
      <c r="O9" s="6"/>
    </row>
    <row r="10" spans="1:15" x14ac:dyDescent="0.25">
      <c r="A10" s="18"/>
      <c r="B10" s="18"/>
      <c r="C10" s="19"/>
      <c r="D10" s="19"/>
      <c r="E10" s="82" t="s">
        <v>3</v>
      </c>
      <c r="F10" s="82"/>
      <c r="G10" s="82" t="s">
        <v>4</v>
      </c>
      <c r="H10" s="82"/>
      <c r="I10" s="20" t="s">
        <v>5</v>
      </c>
      <c r="J10" s="82" t="s">
        <v>56</v>
      </c>
      <c r="K10" s="82"/>
      <c r="L10" s="21"/>
      <c r="M10" s="21"/>
      <c r="N10" s="20" t="s">
        <v>6</v>
      </c>
      <c r="O10" s="22"/>
    </row>
    <row r="11" spans="1:15" ht="51.75" x14ac:dyDescent="0.25">
      <c r="A11" s="23" t="s">
        <v>7</v>
      </c>
      <c r="B11" s="24"/>
      <c r="C11" s="25" t="str">
        <f>Sheet1!C11</f>
        <v>Particulars ($ millions)</v>
      </c>
      <c r="D11" s="26"/>
      <c r="E11" s="23" t="s">
        <v>9</v>
      </c>
      <c r="F11" s="23" t="s">
        <v>10</v>
      </c>
      <c r="G11" s="23" t="s">
        <v>11</v>
      </c>
      <c r="H11" s="23" t="s">
        <v>12</v>
      </c>
      <c r="I11" s="23" t="s">
        <v>13</v>
      </c>
      <c r="J11" s="23" t="s">
        <v>57</v>
      </c>
      <c r="K11" s="23" t="s">
        <v>58</v>
      </c>
      <c r="L11" s="23" t="s">
        <v>14</v>
      </c>
      <c r="M11" s="24"/>
      <c r="N11" s="23" t="s">
        <v>15</v>
      </c>
      <c r="O11" s="23" t="s">
        <v>16</v>
      </c>
    </row>
    <row r="12" spans="1:15" x14ac:dyDescent="0.25">
      <c r="A12" s="28"/>
      <c r="B12" s="28"/>
      <c r="C12" s="29"/>
      <c r="D12" s="29"/>
      <c r="E12" s="3" t="s">
        <v>17</v>
      </c>
      <c r="F12" s="30" t="s">
        <v>18</v>
      </c>
      <c r="G12" s="30" t="s">
        <v>19</v>
      </c>
      <c r="H12" s="30" t="s">
        <v>20</v>
      </c>
      <c r="I12" s="30" t="s">
        <v>21</v>
      </c>
      <c r="J12" s="30" t="s">
        <v>22</v>
      </c>
      <c r="K12" s="30" t="s">
        <v>23</v>
      </c>
      <c r="L12" s="30" t="s">
        <v>24</v>
      </c>
      <c r="M12" s="3"/>
      <c r="N12" s="30" t="s">
        <v>59</v>
      </c>
      <c r="O12" s="30" t="s">
        <v>60</v>
      </c>
    </row>
    <row r="13" spans="1:15" x14ac:dyDescent="0.25">
      <c r="A13" s="28"/>
      <c r="B13" s="28"/>
      <c r="C13" s="29"/>
      <c r="D13" s="29"/>
      <c r="E13" s="3"/>
      <c r="F13" s="30"/>
      <c r="G13" s="30"/>
      <c r="H13" s="30"/>
      <c r="I13" s="30"/>
      <c r="J13" s="30"/>
      <c r="K13" s="30"/>
      <c r="L13" s="30"/>
      <c r="M13" s="3"/>
      <c r="N13" s="30"/>
      <c r="O13" s="30"/>
    </row>
    <row r="14" spans="1:15" x14ac:dyDescent="0.25">
      <c r="A14" s="63"/>
      <c r="B14" s="32"/>
      <c r="C14" s="64" t="s">
        <v>25</v>
      </c>
      <c r="D14" s="18"/>
      <c r="E14" s="6"/>
      <c r="F14" s="6"/>
      <c r="G14" s="34"/>
      <c r="H14" s="31"/>
      <c r="I14" s="6"/>
      <c r="J14" s="6"/>
      <c r="K14" s="6"/>
      <c r="L14" s="6"/>
      <c r="M14" s="15"/>
      <c r="N14" s="34"/>
      <c r="O14" s="34"/>
    </row>
    <row r="15" spans="1:15" x14ac:dyDescent="0.25">
      <c r="A15" s="65">
        <v>1</v>
      </c>
      <c r="B15" s="35"/>
      <c r="C15" s="18" t="s">
        <v>26</v>
      </c>
      <c r="D15" s="18"/>
      <c r="E15" s="34">
        <f>-5685/1000</f>
        <v>-5.6849999999999996</v>
      </c>
      <c r="F15" s="34">
        <f>1609.9/1000</f>
        <v>1.6099000000000001</v>
      </c>
      <c r="G15" s="34">
        <f>-213.9/1000</f>
        <v>-0.21390000000000001</v>
      </c>
      <c r="H15" s="34">
        <f>1295.8/1000</f>
        <v>1.2958000000000001</v>
      </c>
      <c r="I15" s="34">
        <f>7531.6/1000</f>
        <v>7.5316000000000001</v>
      </c>
      <c r="J15" s="34">
        <f>-2210.799/1000</f>
        <v>-2.2107990000000002</v>
      </c>
      <c r="K15" s="34">
        <f>3964.601/1000</f>
        <v>3.964601</v>
      </c>
      <c r="L15" s="34">
        <f>SUM(E15:K15)</f>
        <v>6.2922020000000014</v>
      </c>
      <c r="M15" s="36"/>
      <c r="N15" s="34">
        <v>1E-4</v>
      </c>
      <c r="O15" s="34">
        <f>L15+N15</f>
        <v>6.2923020000000012</v>
      </c>
    </row>
    <row r="16" spans="1:15" x14ac:dyDescent="0.25">
      <c r="A16" s="65">
        <v>2</v>
      </c>
      <c r="B16" s="35"/>
      <c r="C16" s="18" t="s">
        <v>27</v>
      </c>
      <c r="D16" s="18"/>
      <c r="E16" s="37">
        <v>6.2E-2</v>
      </c>
      <c r="F16" s="37">
        <v>7.2999999999999995E-2</v>
      </c>
      <c r="G16" s="37">
        <v>6.2E-2</v>
      </c>
      <c r="H16" s="37">
        <v>7.2999999999999995E-2</v>
      </c>
      <c r="I16" s="37">
        <v>7.3020000000000002E-2</v>
      </c>
      <c r="J16" s="37">
        <v>6.2E-2</v>
      </c>
      <c r="K16" s="37">
        <v>7.2999999999999995E-2</v>
      </c>
      <c r="L16" s="37"/>
      <c r="M16" s="38"/>
      <c r="N16" s="37">
        <v>7.3020000000000002E-2</v>
      </c>
      <c r="O16" s="37"/>
    </row>
    <row r="17" spans="1:15" x14ac:dyDescent="0.25">
      <c r="A17" s="65">
        <v>3</v>
      </c>
      <c r="B17" s="35"/>
      <c r="C17" s="18" t="s">
        <v>28</v>
      </c>
      <c r="D17" s="18"/>
      <c r="E17" s="39">
        <f>-352.5/1000</f>
        <v>-0.35249999999999998</v>
      </c>
      <c r="F17" s="39">
        <f>117.5/1000</f>
        <v>0.11749999999999999</v>
      </c>
      <c r="G17" s="39">
        <f>-13.3/1000</f>
        <v>-1.3300000000000001E-2</v>
      </c>
      <c r="H17" s="39">
        <f>94.6/1000</f>
        <v>9.459999999999999E-2</v>
      </c>
      <c r="I17" s="39">
        <f>549.957432/1000</f>
        <v>0.54995743200000002</v>
      </c>
      <c r="J17" s="39">
        <f>-137.1/1000</f>
        <v>-0.1371</v>
      </c>
      <c r="K17" s="39">
        <f>289.4/1000</f>
        <v>0.28939999999999999</v>
      </c>
      <c r="L17" s="39">
        <f>SUM(E17:K17)</f>
        <v>0.54855743199999996</v>
      </c>
      <c r="M17" s="40"/>
      <c r="N17" s="39">
        <v>0</v>
      </c>
      <c r="O17" s="39">
        <f>L17+N17</f>
        <v>0.54855743199999996</v>
      </c>
    </row>
    <row r="18" spans="1:15" x14ac:dyDescent="0.25">
      <c r="A18" s="66"/>
      <c r="B18" s="42"/>
      <c r="C18" s="9"/>
      <c r="D18" s="9"/>
      <c r="E18" s="14"/>
      <c r="F18" s="14"/>
      <c r="G18" s="14"/>
      <c r="H18" s="14"/>
      <c r="I18" s="14"/>
      <c r="J18" s="14"/>
      <c r="K18" s="14"/>
      <c r="L18" s="14"/>
      <c r="M18" s="9"/>
      <c r="N18" s="14"/>
      <c r="O18" s="14"/>
    </row>
    <row r="19" spans="1:15" x14ac:dyDescent="0.25">
      <c r="A19" s="65"/>
      <c r="B19" s="35"/>
      <c r="C19" s="64" t="s">
        <v>29</v>
      </c>
      <c r="D19" s="18"/>
      <c r="E19" s="3"/>
      <c r="F19" s="3"/>
      <c r="G19" s="3"/>
      <c r="H19" s="3"/>
      <c r="I19" s="3"/>
      <c r="J19" s="3"/>
      <c r="K19" s="3"/>
      <c r="L19" s="3"/>
      <c r="M19" s="43"/>
      <c r="N19" s="3"/>
      <c r="O19" s="3"/>
    </row>
    <row r="20" spans="1:15" x14ac:dyDescent="0.25">
      <c r="A20" s="65">
        <v>4</v>
      </c>
      <c r="B20" s="35"/>
      <c r="C20" s="18" t="s">
        <v>30</v>
      </c>
      <c r="D20" s="18"/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5"/>
      <c r="N20" s="44">
        <v>0</v>
      </c>
      <c r="O20" s="44">
        <v>0</v>
      </c>
    </row>
    <row r="21" spans="1:15" x14ac:dyDescent="0.25">
      <c r="A21" s="65">
        <v>5</v>
      </c>
      <c r="B21" s="35"/>
      <c r="C21" s="46" t="s">
        <v>31</v>
      </c>
      <c r="D21" s="46"/>
      <c r="E21" s="34">
        <f>1100.8792715/1000</f>
        <v>1.1008792715</v>
      </c>
      <c r="F21" s="34">
        <f>-5911.07237166666/1000</f>
        <v>-5.91107237166666</v>
      </c>
      <c r="G21" s="44">
        <v>0</v>
      </c>
      <c r="H21" s="44">
        <v>0</v>
      </c>
      <c r="I21" s="44">
        <v>0</v>
      </c>
      <c r="J21" s="34">
        <f>3334.12121048985/1000</f>
        <v>3.3341212104898501</v>
      </c>
      <c r="K21" s="34">
        <f>-8885.94728527037/1000</f>
        <v>-8.8859472852703689</v>
      </c>
      <c r="L21" s="34">
        <f>-10362.0191749472/1000</f>
        <v>-10.3620191749472</v>
      </c>
      <c r="M21" s="45"/>
      <c r="N21" s="34">
        <f>-12287.89992/1000</f>
        <v>-12.287899919999999</v>
      </c>
      <c r="O21" s="34">
        <f>-22649.9190949472/1000</f>
        <v>-22.649919094947201</v>
      </c>
    </row>
    <row r="22" spans="1:15" x14ac:dyDescent="0.25">
      <c r="A22" s="65">
        <v>6</v>
      </c>
      <c r="B22" s="35"/>
      <c r="C22" s="18" t="s">
        <v>32</v>
      </c>
      <c r="D22" s="18"/>
      <c r="E22" s="34">
        <f>-138/1000</f>
        <v>-0.13800000000000001</v>
      </c>
      <c r="F22" s="34">
        <f>44.4/1000</f>
        <v>4.4400000000000002E-2</v>
      </c>
      <c r="G22" s="34">
        <f>-7.7/1000</f>
        <v>-7.7000000000000002E-3</v>
      </c>
      <c r="H22" s="34">
        <f>61.3/1000</f>
        <v>6.13E-2</v>
      </c>
      <c r="I22" s="34">
        <f>-3506.9/1000</f>
        <v>-3.5068999999999999</v>
      </c>
      <c r="J22" s="34">
        <f>-40.5/1000</f>
        <v>-4.0500000000000001E-2</v>
      </c>
      <c r="K22" s="34">
        <f>135.8/1000</f>
        <v>0.1358</v>
      </c>
      <c r="L22" s="34">
        <f>-3451.6/1000</f>
        <v>-3.4516</v>
      </c>
      <c r="M22" s="45"/>
      <c r="N22" s="44">
        <v>0</v>
      </c>
      <c r="O22" s="34">
        <f>-3451.6/1000</f>
        <v>-3.4516</v>
      </c>
    </row>
    <row r="23" spans="1:15" ht="16.5" x14ac:dyDescent="0.35">
      <c r="A23" s="65">
        <v>7</v>
      </c>
      <c r="B23" s="35"/>
      <c r="C23" s="18" t="s">
        <v>33</v>
      </c>
      <c r="D23" s="18"/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8"/>
      <c r="N23" s="47">
        <v>0</v>
      </c>
      <c r="O23" s="47">
        <v>0</v>
      </c>
    </row>
    <row r="24" spans="1:15" x14ac:dyDescent="0.25">
      <c r="A24" s="65">
        <v>8</v>
      </c>
      <c r="B24" s="35"/>
      <c r="C24" s="18" t="s">
        <v>34</v>
      </c>
      <c r="D24" s="18"/>
      <c r="E24" s="34">
        <f t="shared" ref="E24:L24" si="0">SUM(E20:E23)</f>
        <v>0.96287927149999997</v>
      </c>
      <c r="F24" s="34">
        <f t="shared" si="0"/>
        <v>-5.8666723716666596</v>
      </c>
      <c r="G24" s="34">
        <f t="shared" si="0"/>
        <v>-7.7000000000000002E-3</v>
      </c>
      <c r="H24" s="34">
        <f t="shared" si="0"/>
        <v>6.13E-2</v>
      </c>
      <c r="I24" s="34">
        <f t="shared" si="0"/>
        <v>-3.5068999999999999</v>
      </c>
      <c r="J24" s="34">
        <f t="shared" si="0"/>
        <v>3.2936212104898499</v>
      </c>
      <c r="K24" s="34">
        <f t="shared" si="0"/>
        <v>-8.7501472852703692</v>
      </c>
      <c r="L24" s="34">
        <f t="shared" si="0"/>
        <v>-13.813619174947199</v>
      </c>
      <c r="M24" s="45"/>
      <c r="N24" s="34">
        <f>SUM(N20:N23)</f>
        <v>-12.287899919999999</v>
      </c>
      <c r="O24" s="34">
        <f>SUM(O20:O23)</f>
        <v>-26.1015190949472</v>
      </c>
    </row>
    <row r="25" spans="1:15" x14ac:dyDescent="0.25">
      <c r="A25" s="66"/>
      <c r="B25" s="42"/>
      <c r="C25" s="9"/>
      <c r="D25" s="9"/>
      <c r="E25" s="49"/>
      <c r="F25" s="49"/>
      <c r="G25" s="49"/>
      <c r="H25" s="49"/>
      <c r="I25" s="49"/>
      <c r="J25" s="49"/>
      <c r="K25" s="49"/>
      <c r="L25" s="49"/>
      <c r="M25" s="50"/>
      <c r="N25" s="49"/>
      <c r="O25" s="49"/>
    </row>
    <row r="26" spans="1:15" x14ac:dyDescent="0.25">
      <c r="A26" s="65"/>
      <c r="B26" s="35"/>
      <c r="C26" s="33" t="s">
        <v>35</v>
      </c>
      <c r="D26" s="18"/>
      <c r="E26" s="51"/>
      <c r="F26" s="51"/>
      <c r="G26" s="51"/>
      <c r="H26" s="51"/>
      <c r="I26" s="51"/>
      <c r="J26" s="51"/>
      <c r="K26" s="51"/>
      <c r="L26" s="51"/>
      <c r="M26" s="45"/>
      <c r="N26" s="51"/>
      <c r="O26" s="51"/>
    </row>
    <row r="27" spans="1:15" x14ac:dyDescent="0.25">
      <c r="A27" s="65">
        <v>9</v>
      </c>
      <c r="B27" s="35"/>
      <c r="C27" s="18" t="s">
        <v>36</v>
      </c>
      <c r="D27" s="18"/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/>
      <c r="N27" s="44">
        <v>0</v>
      </c>
      <c r="O27" s="44">
        <v>0</v>
      </c>
    </row>
    <row r="28" spans="1:15" x14ac:dyDescent="0.25">
      <c r="A28" s="65">
        <v>10</v>
      </c>
      <c r="B28" s="35"/>
      <c r="C28" s="18" t="s">
        <v>37</v>
      </c>
      <c r="D28" s="18"/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4"/>
      <c r="N28" s="47">
        <v>0</v>
      </c>
      <c r="O28" s="47">
        <v>0</v>
      </c>
    </row>
    <row r="29" spans="1:15" x14ac:dyDescent="0.25">
      <c r="A29" s="65">
        <v>11</v>
      </c>
      <c r="B29" s="35"/>
      <c r="C29" s="18" t="s">
        <v>38</v>
      </c>
      <c r="D29" s="18"/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/>
      <c r="N29" s="44">
        <v>0</v>
      </c>
      <c r="O29" s="44">
        <v>0</v>
      </c>
    </row>
    <row r="30" spans="1:15" x14ac:dyDescent="0.25">
      <c r="A30" s="67"/>
      <c r="B30" s="52"/>
      <c r="C30" s="2"/>
      <c r="D30" s="2"/>
      <c r="E30" s="53"/>
      <c r="F30" s="53"/>
      <c r="G30" s="53"/>
      <c r="H30" s="53"/>
      <c r="I30" s="53"/>
      <c r="J30" s="53"/>
      <c r="K30" s="53"/>
      <c r="L30" s="53"/>
      <c r="M30" s="54"/>
      <c r="N30" s="53"/>
      <c r="O30" s="53"/>
    </row>
    <row r="31" spans="1:15" x14ac:dyDescent="0.25">
      <c r="A31" s="65"/>
      <c r="B31" s="35"/>
      <c r="C31" s="33" t="s">
        <v>39</v>
      </c>
      <c r="D31" s="18"/>
      <c r="E31" s="53"/>
      <c r="F31" s="53"/>
      <c r="G31" s="53"/>
      <c r="H31" s="53"/>
      <c r="I31" s="53"/>
      <c r="J31" s="53"/>
      <c r="K31" s="53"/>
      <c r="L31" s="53"/>
      <c r="M31" s="54"/>
      <c r="N31" s="53"/>
      <c r="O31" s="53"/>
    </row>
    <row r="32" spans="1:15" x14ac:dyDescent="0.25">
      <c r="A32" s="65">
        <v>12</v>
      </c>
      <c r="B32" s="35"/>
      <c r="C32" s="18" t="s">
        <v>40</v>
      </c>
      <c r="D32" s="18"/>
      <c r="E32" s="34">
        <f>-183.8/1000</f>
        <v>-0.18380000000000002</v>
      </c>
      <c r="F32" s="34">
        <f>1482.4/1000</f>
        <v>1.4824000000000002</v>
      </c>
      <c r="G32" s="34">
        <f>779.8/1000</f>
        <v>0.77979999999999994</v>
      </c>
      <c r="H32" s="34">
        <f>-199.3/1000</f>
        <v>-0.1993</v>
      </c>
      <c r="I32" s="44">
        <v>0</v>
      </c>
      <c r="J32" s="34">
        <f>-654.9/1000</f>
        <v>-0.65489999999999993</v>
      </c>
      <c r="K32" s="34">
        <f>1260.2/1000</f>
        <v>1.2602</v>
      </c>
      <c r="L32" s="34">
        <f>2484.4/1000</f>
        <v>2.4843999999999999</v>
      </c>
      <c r="M32" s="34"/>
      <c r="N32" s="34">
        <f>3256.3/1000</f>
        <v>3.2563</v>
      </c>
      <c r="O32" s="34">
        <f>5740.7/1000</f>
        <v>5.7406999999999995</v>
      </c>
    </row>
    <row r="33" spans="1:15" ht="16.5" x14ac:dyDescent="0.35">
      <c r="A33" s="65">
        <v>13</v>
      </c>
      <c r="B33" s="35"/>
      <c r="C33" s="18" t="s">
        <v>41</v>
      </c>
      <c r="D33" s="18"/>
      <c r="E33" s="57">
        <f>44/1000</f>
        <v>4.3999999999999997E-2</v>
      </c>
      <c r="F33" s="57">
        <f>-17.1/1000</f>
        <v>-1.7100000000000001E-2</v>
      </c>
      <c r="G33" s="57">
        <f>1.6/1000</f>
        <v>1.6000000000000001E-3</v>
      </c>
      <c r="H33" s="57">
        <f>-13.7/1000</f>
        <v>-1.3699999999999999E-2</v>
      </c>
      <c r="I33" s="57">
        <f>-79.8/1000</f>
        <v>-7.9799999999999996E-2</v>
      </c>
      <c r="J33" s="57">
        <f>17.1/1000</f>
        <v>1.7100000000000001E-2</v>
      </c>
      <c r="K33" s="57">
        <f>-42/1000</f>
        <v>-4.2000000000000003E-2</v>
      </c>
      <c r="L33" s="57">
        <f>-89.9/1000</f>
        <v>-8.9900000000000008E-2</v>
      </c>
      <c r="M33" s="48"/>
      <c r="N33" s="47">
        <v>0</v>
      </c>
      <c r="O33" s="57">
        <f>-89.9/1000</f>
        <v>-8.9900000000000008E-2</v>
      </c>
    </row>
    <row r="34" spans="1:15" x14ac:dyDescent="0.25">
      <c r="A34" s="65">
        <v>14</v>
      </c>
      <c r="B34" s="35"/>
      <c r="C34" s="18" t="s">
        <v>42</v>
      </c>
      <c r="D34" s="18"/>
      <c r="E34" s="34">
        <f t="shared" ref="E34:L34" si="1">SUM(E32:E33)</f>
        <v>-0.13980000000000004</v>
      </c>
      <c r="F34" s="34">
        <f t="shared" si="1"/>
        <v>1.4653000000000003</v>
      </c>
      <c r="G34" s="34">
        <f t="shared" si="1"/>
        <v>0.78139999999999998</v>
      </c>
      <c r="H34" s="34">
        <f t="shared" si="1"/>
        <v>-0.21299999999999999</v>
      </c>
      <c r="I34" s="34">
        <f t="shared" si="1"/>
        <v>-7.9799999999999996E-2</v>
      </c>
      <c r="J34" s="34">
        <f t="shared" si="1"/>
        <v>-0.63779999999999992</v>
      </c>
      <c r="K34" s="34">
        <f t="shared" si="1"/>
        <v>1.2181999999999999</v>
      </c>
      <c r="L34" s="34">
        <f t="shared" si="1"/>
        <v>2.3944999999999999</v>
      </c>
      <c r="M34" s="34"/>
      <c r="N34" s="34">
        <f>SUM(N32:N33)</f>
        <v>3.2563</v>
      </c>
      <c r="O34" s="34">
        <f>SUM(O32:O33)</f>
        <v>5.6507999999999994</v>
      </c>
    </row>
    <row r="35" spans="1:15" x14ac:dyDescent="0.25">
      <c r="A35" s="66"/>
      <c r="B35" s="42"/>
      <c r="C35" s="9"/>
      <c r="D35" s="9"/>
      <c r="E35" s="49"/>
      <c r="F35" s="49"/>
      <c r="G35" s="49"/>
      <c r="H35" s="49"/>
      <c r="I35" s="49"/>
      <c r="J35" s="49"/>
      <c r="K35" s="49"/>
      <c r="L35" s="49"/>
      <c r="M35" s="50"/>
      <c r="N35" s="49"/>
      <c r="O35" s="49"/>
    </row>
    <row r="36" spans="1:15" x14ac:dyDescent="0.25">
      <c r="A36" s="67"/>
      <c r="B36" s="52"/>
      <c r="C36" s="56" t="s">
        <v>43</v>
      </c>
      <c r="D36" s="2"/>
      <c r="E36" s="6"/>
      <c r="F36" s="6"/>
      <c r="G36" s="6"/>
      <c r="H36" s="6"/>
      <c r="I36" s="6"/>
      <c r="J36" s="6"/>
      <c r="K36" s="6"/>
      <c r="L36" s="6"/>
      <c r="M36" s="15"/>
      <c r="N36" s="6"/>
      <c r="O36" s="6"/>
    </row>
    <row r="37" spans="1:15" x14ac:dyDescent="0.25">
      <c r="A37" s="65">
        <v>15</v>
      </c>
      <c r="B37" s="35"/>
      <c r="C37" s="2" t="s">
        <v>44</v>
      </c>
      <c r="D37" s="2"/>
      <c r="E37" s="34">
        <f>-640.4/1000</f>
        <v>-0.64039999999999997</v>
      </c>
      <c r="F37" s="34">
        <f>5828.3/1000</f>
        <v>5.8283000000000005</v>
      </c>
      <c r="G37" s="34">
        <f>-1034.6/1000</f>
        <v>-1.0346</v>
      </c>
      <c r="H37" s="34">
        <f>77.7/1000</f>
        <v>7.7700000000000005E-2</v>
      </c>
      <c r="I37" s="34">
        <f>4131.6225414966/1000</f>
        <v>4.1316225414966006</v>
      </c>
      <c r="J37" s="34">
        <f>-3426.9/1000</f>
        <v>-3.4269000000000003</v>
      </c>
      <c r="K37" s="34">
        <f>9853.7/1000</f>
        <v>9.8536999999999999</v>
      </c>
      <c r="L37" s="34">
        <f>14789.4225414966/1000</f>
        <v>14.789422541496601</v>
      </c>
      <c r="M37" s="36"/>
      <c r="N37" s="34">
        <f>12287.9/1000</f>
        <v>12.2879</v>
      </c>
      <c r="O37" s="34">
        <f>27077.3225414966/1000</f>
        <v>27.077322541496599</v>
      </c>
    </row>
    <row r="38" spans="1:15" x14ac:dyDescent="0.25">
      <c r="A38" s="65">
        <v>16</v>
      </c>
      <c r="B38" s="35"/>
      <c r="C38" s="2" t="s">
        <v>45</v>
      </c>
      <c r="D38" s="2"/>
      <c r="E38" s="57">
        <f>-470.7/1000</f>
        <v>-0.47070000000000001</v>
      </c>
      <c r="F38" s="57">
        <f>4283.8/1000</f>
        <v>4.2838000000000003</v>
      </c>
      <c r="G38" s="57">
        <f>-760.4/1000</f>
        <v>-0.76039999999999996</v>
      </c>
      <c r="H38" s="57">
        <f>57.1/1000</f>
        <v>5.7099999999999998E-2</v>
      </c>
      <c r="I38" s="57">
        <f>3036.742568/1000</f>
        <v>3.0367425680000002</v>
      </c>
      <c r="J38" s="57">
        <f>-2518.8/1000</f>
        <v>-2.5188000000000001</v>
      </c>
      <c r="K38" s="57">
        <f>7242.5/1000</f>
        <v>7.2424999999999997</v>
      </c>
      <c r="L38" s="57">
        <f>10870.242568/1000</f>
        <v>10.870242568</v>
      </c>
      <c r="M38" s="34"/>
      <c r="N38" s="57">
        <f>9031.6/1000</f>
        <v>9.031600000000001</v>
      </c>
      <c r="O38" s="57">
        <f>19901.842568/1000</f>
        <v>19.901842567999999</v>
      </c>
    </row>
    <row r="39" spans="1:15" x14ac:dyDescent="0.25">
      <c r="A39" s="65">
        <v>17</v>
      </c>
      <c r="B39" s="35"/>
      <c r="C39" s="2" t="s">
        <v>46</v>
      </c>
      <c r="D39" s="2"/>
      <c r="E39" s="39">
        <f t="shared" ref="E39:L39" si="2">E38-E37</f>
        <v>0.16969999999999996</v>
      </c>
      <c r="F39" s="39">
        <f t="shared" si="2"/>
        <v>-1.5445000000000002</v>
      </c>
      <c r="G39" s="39">
        <f t="shared" si="2"/>
        <v>0.2742</v>
      </c>
      <c r="H39" s="39">
        <f t="shared" si="2"/>
        <v>-2.0600000000000007E-2</v>
      </c>
      <c r="I39" s="39">
        <f t="shared" si="2"/>
        <v>-1.0948799734966004</v>
      </c>
      <c r="J39" s="39">
        <f t="shared" si="2"/>
        <v>0.90810000000000013</v>
      </c>
      <c r="K39" s="39">
        <f t="shared" si="2"/>
        <v>-2.6112000000000002</v>
      </c>
      <c r="L39" s="39">
        <f t="shared" si="2"/>
        <v>-3.9191799734966004</v>
      </c>
      <c r="M39" s="40"/>
      <c r="N39" s="39">
        <f>N38-N37</f>
        <v>-3.2562999999999995</v>
      </c>
      <c r="O39" s="39">
        <f>O38-O37</f>
        <v>-7.1754799734965999</v>
      </c>
    </row>
    <row r="40" spans="1:15" x14ac:dyDescent="0.25">
      <c r="A40" s="66"/>
      <c r="B40" s="42"/>
      <c r="C40" s="9"/>
      <c r="D40" s="9"/>
      <c r="E40" s="58"/>
      <c r="F40" s="58"/>
      <c r="G40" s="58"/>
      <c r="H40" s="58"/>
      <c r="I40" s="58"/>
      <c r="J40" s="58"/>
      <c r="K40" s="58"/>
      <c r="L40" s="58"/>
      <c r="M40" s="59"/>
      <c r="N40" s="58"/>
      <c r="O40" s="58"/>
    </row>
    <row r="41" spans="1:15" x14ac:dyDescent="0.25">
      <c r="A41" s="65">
        <v>18</v>
      </c>
      <c r="B41" s="35"/>
      <c r="C41" s="18" t="s">
        <v>47</v>
      </c>
      <c r="D41" s="18"/>
      <c r="E41" s="39">
        <f t="shared" ref="E41:L41" si="3">SUM(E39,E34,E24,E17)</f>
        <v>0.64027927149999986</v>
      </c>
      <c r="F41" s="39">
        <f t="shared" si="3"/>
        <v>-5.82837237166666</v>
      </c>
      <c r="G41" s="39">
        <f t="shared" si="3"/>
        <v>1.0346</v>
      </c>
      <c r="H41" s="39">
        <f t="shared" si="3"/>
        <v>-7.7700000000000019E-2</v>
      </c>
      <c r="I41" s="39">
        <f t="shared" si="3"/>
        <v>-4.1316225414965997</v>
      </c>
      <c r="J41" s="39">
        <f t="shared" si="3"/>
        <v>3.4268212104898499</v>
      </c>
      <c r="K41" s="39">
        <f t="shared" si="3"/>
        <v>-9.8537472852703694</v>
      </c>
      <c r="L41" s="39">
        <f t="shared" si="3"/>
        <v>-14.7897417164438</v>
      </c>
      <c r="M41" s="39"/>
      <c r="N41" s="39">
        <f>SUM(N39,N34,N24,N17)</f>
        <v>-12.287899919999999</v>
      </c>
      <c r="O41" s="39">
        <f>SUM(O39,O34,O24,O17)</f>
        <v>-27.077641636443801</v>
      </c>
    </row>
    <row r="42" spans="1:15" x14ac:dyDescent="0.25">
      <c r="A42" s="65"/>
      <c r="B42" s="35"/>
      <c r="C42" s="15"/>
      <c r="D42" s="15"/>
      <c r="E42" s="39"/>
      <c r="F42" s="39"/>
      <c r="G42" s="39"/>
      <c r="H42" s="39"/>
      <c r="I42" s="39"/>
      <c r="J42" s="39"/>
      <c r="K42" s="39"/>
      <c r="L42" s="39"/>
      <c r="M42" s="40"/>
      <c r="N42" s="39"/>
      <c r="O42" s="39"/>
    </row>
    <row r="43" spans="1:15" x14ac:dyDescent="0.25">
      <c r="A43" s="65"/>
      <c r="B43" s="35"/>
      <c r="C43" s="33" t="s">
        <v>48</v>
      </c>
      <c r="D43" s="18"/>
      <c r="E43" s="39"/>
      <c r="F43" s="39"/>
      <c r="G43" s="39"/>
      <c r="H43" s="39"/>
      <c r="I43" s="39"/>
      <c r="J43" s="39"/>
      <c r="K43" s="39"/>
      <c r="L43" s="39"/>
      <c r="M43" s="40"/>
      <c r="N43" s="39"/>
      <c r="O43" s="39"/>
    </row>
    <row r="44" spans="1:15" x14ac:dyDescent="0.25">
      <c r="A44" s="65">
        <v>19</v>
      </c>
      <c r="B44" s="35"/>
      <c r="C44" s="2" t="s">
        <v>49</v>
      </c>
      <c r="D44" s="2"/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/>
      <c r="N44" s="44">
        <v>0</v>
      </c>
      <c r="O44" s="44">
        <v>0</v>
      </c>
    </row>
    <row r="45" spans="1:15" x14ac:dyDescent="0.25">
      <c r="A45" s="65">
        <v>20</v>
      </c>
      <c r="B45" s="35"/>
      <c r="C45" s="2" t="s">
        <v>50</v>
      </c>
      <c r="D45" s="2"/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/>
      <c r="N45" s="44">
        <v>0</v>
      </c>
      <c r="O45" s="44">
        <v>0</v>
      </c>
    </row>
    <row r="46" spans="1:15" x14ac:dyDescent="0.25">
      <c r="A46" s="65">
        <v>21</v>
      </c>
      <c r="B46" s="35"/>
      <c r="C46" s="2" t="s">
        <v>51</v>
      </c>
      <c r="D46" s="2"/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/>
      <c r="N46" s="44">
        <v>0</v>
      </c>
      <c r="O46" s="44">
        <v>0</v>
      </c>
    </row>
    <row r="47" spans="1:15" x14ac:dyDescent="0.25">
      <c r="A47" s="65">
        <v>22</v>
      </c>
      <c r="B47" s="35"/>
      <c r="C47" s="2" t="s">
        <v>52</v>
      </c>
      <c r="D47" s="2"/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4"/>
      <c r="N47" s="47">
        <v>0</v>
      </c>
      <c r="O47" s="47">
        <v>0</v>
      </c>
    </row>
    <row r="48" spans="1:15" x14ac:dyDescent="0.25">
      <c r="A48" s="65">
        <v>23</v>
      </c>
      <c r="B48" s="35"/>
      <c r="C48" s="2" t="s">
        <v>53</v>
      </c>
      <c r="D48" s="2"/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/>
      <c r="N48" s="44">
        <v>0</v>
      </c>
      <c r="O48" s="44">
        <v>0</v>
      </c>
    </row>
    <row r="49" spans="1:15" x14ac:dyDescent="0.25">
      <c r="A49" s="65"/>
      <c r="B49" s="35"/>
      <c r="C49" s="15"/>
      <c r="D49" s="15"/>
      <c r="E49" s="39"/>
      <c r="F49" s="39"/>
      <c r="G49" s="39"/>
      <c r="H49" s="39"/>
      <c r="I49" s="39"/>
      <c r="J49" s="39"/>
      <c r="K49" s="39"/>
      <c r="L49" s="39"/>
      <c r="M49" s="40"/>
      <c r="N49" s="39"/>
      <c r="O49" s="39"/>
    </row>
    <row r="50" spans="1:15" ht="15.75" thickBot="1" x14ac:dyDescent="0.3">
      <c r="A50" s="65">
        <v>24</v>
      </c>
      <c r="B50" s="35"/>
      <c r="C50" s="2" t="s">
        <v>54</v>
      </c>
      <c r="D50" s="2"/>
      <c r="E50" s="60">
        <f t="shared" ref="E50:L50" si="4">E48-E41</f>
        <v>-0.64027927149999986</v>
      </c>
      <c r="F50" s="60">
        <f t="shared" si="4"/>
        <v>5.82837237166666</v>
      </c>
      <c r="G50" s="60">
        <f t="shared" si="4"/>
        <v>-1.0346</v>
      </c>
      <c r="H50" s="60">
        <f t="shared" si="4"/>
        <v>7.7700000000000019E-2</v>
      </c>
      <c r="I50" s="60">
        <f t="shared" si="4"/>
        <v>4.1316225414965997</v>
      </c>
      <c r="J50" s="60">
        <f t="shared" si="4"/>
        <v>-3.4268212104898499</v>
      </c>
      <c r="K50" s="60">
        <f t="shared" si="4"/>
        <v>9.8537472852703694</v>
      </c>
      <c r="L50" s="60">
        <f t="shared" si="4"/>
        <v>14.7897417164438</v>
      </c>
      <c r="M50" s="40"/>
      <c r="N50" s="60">
        <f>N48-N41</f>
        <v>12.287899919999999</v>
      </c>
      <c r="O50" s="60">
        <f>O48-O41</f>
        <v>27.077641636443801</v>
      </c>
    </row>
    <row r="51" spans="1:15" ht="15.75" thickTop="1" x14ac:dyDescent="0.25">
      <c r="A51" s="67"/>
      <c r="B51" s="52"/>
      <c r="C51" s="68"/>
      <c r="D51" s="68"/>
      <c r="E51" s="69"/>
      <c r="F51" s="69"/>
      <c r="G51" s="39"/>
      <c r="H51" s="69"/>
      <c r="I51" s="39"/>
      <c r="J51" s="39"/>
      <c r="K51" s="39"/>
      <c r="M51" s="40"/>
      <c r="N51" s="39"/>
      <c r="O51" s="39"/>
    </row>
    <row r="52" spans="1:15" x14ac:dyDescent="0.25">
      <c r="H52" s="31"/>
    </row>
    <row r="53" spans="1:15" x14ac:dyDescent="0.25">
      <c r="H53" s="31"/>
    </row>
    <row r="54" spans="1:15" x14ac:dyDescent="0.25">
      <c r="H54" s="31"/>
    </row>
    <row r="55" spans="1:15" x14ac:dyDescent="0.25">
      <c r="H55" s="31"/>
    </row>
  </sheetData>
  <mergeCells count="6">
    <mergeCell ref="A6:O6"/>
    <mergeCell ref="A7:O7"/>
    <mergeCell ref="A8:O8"/>
    <mergeCell ref="E10:F10"/>
    <mergeCell ref="G10:H10"/>
    <mergeCell ref="J10:K10"/>
  </mergeCells>
  <pageMargins left="0.7" right="0.7" top="0.75" bottom="0.75" header="0.3" footer="0.3"/>
  <pageSetup scale="61" orientation="landscape" r:id="rId1"/>
  <headerFooter>
    <oddHeader>&amp;R&amp;"Arial,Regular"&amp;10Filed: 2022-10-31
EB-2022-0200
Exhibit 9
Tab 2
Schedule 1
Attachment 3
Page 2 of 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1B29-C98E-4EE7-9AB1-DDE3120B70F0}">
  <sheetPr>
    <pageSetUpPr fitToPage="1"/>
  </sheetPr>
  <dimension ref="A1:O54"/>
  <sheetViews>
    <sheetView view="pageLayout" zoomScaleNormal="100" workbookViewId="0">
      <selection activeCell="E2" sqref="E2"/>
    </sheetView>
  </sheetViews>
  <sheetFormatPr defaultRowHeight="15" x14ac:dyDescent="0.25"/>
  <cols>
    <col min="1" max="1" width="6.42578125" style="62" customWidth="1"/>
    <col min="2" max="2" width="1.28515625" style="62" customWidth="1"/>
    <col min="3" max="3" width="34.85546875" style="62" bestFit="1" customWidth="1"/>
    <col min="4" max="4" width="1.28515625" style="62" customWidth="1"/>
    <col min="5" max="6" width="14.42578125" style="7" customWidth="1"/>
    <col min="7" max="8" width="16.7109375" style="7" customWidth="1"/>
    <col min="9" max="11" width="14.42578125" style="7" customWidth="1"/>
    <col min="12" max="12" width="12.7109375" style="7" customWidth="1"/>
    <col min="13" max="13" width="1.28515625" style="62" customWidth="1"/>
    <col min="14" max="14" width="17.140625" style="7" customWidth="1"/>
    <col min="15" max="15" width="16.28515625" style="7" customWidth="1"/>
  </cols>
  <sheetData>
    <row r="1" spans="1:15" x14ac:dyDescent="0.25">
      <c r="A1" s="1"/>
      <c r="B1" s="1"/>
      <c r="C1" s="2"/>
      <c r="D1" s="2"/>
      <c r="E1" s="3"/>
      <c r="F1" s="3"/>
      <c r="G1" s="4"/>
      <c r="H1" s="4"/>
      <c r="I1" s="3"/>
      <c r="J1" s="4"/>
      <c r="K1" s="4"/>
      <c r="L1" s="4"/>
      <c r="M1" s="5"/>
      <c r="N1" s="4"/>
      <c r="O1" s="8"/>
    </row>
    <row r="2" spans="1:15" x14ac:dyDescent="0.25">
      <c r="A2" s="1"/>
      <c r="B2" s="1"/>
      <c r="C2" s="2"/>
      <c r="D2" s="2"/>
      <c r="E2" s="3"/>
      <c r="F2" s="3"/>
      <c r="G2" s="4"/>
      <c r="H2" s="4"/>
      <c r="I2" s="3"/>
      <c r="J2" s="4"/>
      <c r="K2" s="4"/>
      <c r="L2" s="4"/>
      <c r="M2" s="5"/>
      <c r="N2" s="4"/>
      <c r="O2" s="8"/>
    </row>
    <row r="3" spans="1:15" x14ac:dyDescent="0.25">
      <c r="A3" s="1"/>
      <c r="B3" s="1"/>
      <c r="C3" s="2"/>
      <c r="D3" s="2"/>
      <c r="E3" s="3"/>
      <c r="F3" s="3"/>
      <c r="G3" s="4"/>
      <c r="H3" s="4"/>
      <c r="I3" s="3"/>
      <c r="J3" s="4"/>
      <c r="K3" s="4"/>
      <c r="L3" s="4"/>
      <c r="M3" s="5"/>
      <c r="N3" s="4"/>
      <c r="O3" s="8"/>
    </row>
    <row r="4" spans="1:15" x14ac:dyDescent="0.25">
      <c r="A4" s="9"/>
      <c r="B4" s="9"/>
      <c r="C4" s="10"/>
      <c r="D4" s="10"/>
      <c r="E4" s="11"/>
      <c r="F4" s="11"/>
      <c r="G4" s="12"/>
      <c r="H4" s="12"/>
      <c r="I4" s="11"/>
      <c r="J4" s="12"/>
      <c r="K4" s="12"/>
      <c r="L4" s="12"/>
      <c r="M4" s="13"/>
      <c r="N4" s="12"/>
      <c r="O4" s="8"/>
    </row>
    <row r="5" spans="1:15" x14ac:dyDescent="0.25">
      <c r="A5" s="9"/>
      <c r="B5" s="9"/>
      <c r="C5" s="10"/>
      <c r="D5" s="10"/>
      <c r="E5" s="11"/>
      <c r="F5" s="11"/>
      <c r="G5" s="12"/>
      <c r="H5" s="12"/>
      <c r="I5" s="11"/>
      <c r="J5" s="12"/>
      <c r="K5" s="12"/>
      <c r="L5" s="12"/>
      <c r="M5" s="13"/>
      <c r="N5" s="12"/>
      <c r="O5" s="8"/>
    </row>
    <row r="6" spans="1:1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x14ac:dyDescent="0.25">
      <c r="A7" s="81" t="s">
        <v>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x14ac:dyDescent="0.25">
      <c r="A8" s="81" t="s">
        <v>61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x14ac:dyDescent="0.25">
      <c r="A9" s="15"/>
      <c r="B9" s="15"/>
      <c r="C9" s="16"/>
      <c r="D9" s="16"/>
      <c r="E9" s="11"/>
      <c r="F9" s="11"/>
      <c r="G9" s="11"/>
      <c r="H9" s="11"/>
      <c r="I9" s="11"/>
      <c r="J9" s="11"/>
      <c r="K9" s="11"/>
      <c r="L9" s="11"/>
      <c r="M9" s="17"/>
      <c r="N9" s="11"/>
      <c r="O9" s="6"/>
    </row>
    <row r="10" spans="1:15" x14ac:dyDescent="0.25">
      <c r="A10" s="18"/>
      <c r="B10" s="18"/>
      <c r="C10" s="19"/>
      <c r="D10" s="19"/>
      <c r="E10" s="82" t="s">
        <v>3</v>
      </c>
      <c r="F10" s="82"/>
      <c r="G10" s="82" t="s">
        <v>4</v>
      </c>
      <c r="H10" s="82"/>
      <c r="I10" s="20" t="s">
        <v>5</v>
      </c>
      <c r="J10" s="82" t="s">
        <v>56</v>
      </c>
      <c r="K10" s="82"/>
      <c r="L10" s="21"/>
      <c r="M10" s="21"/>
      <c r="N10" s="20" t="s">
        <v>6</v>
      </c>
      <c r="O10" s="22"/>
    </row>
    <row r="11" spans="1:15" ht="39" x14ac:dyDescent="0.25">
      <c r="A11" s="23" t="s">
        <v>7</v>
      </c>
      <c r="B11" s="24"/>
      <c r="C11" s="25" t="str">
        <f>Sheet1!C11</f>
        <v>Particulars ($ millions)</v>
      </c>
      <c r="D11" s="26"/>
      <c r="E11" s="23" t="s">
        <v>9</v>
      </c>
      <c r="F11" s="23" t="s">
        <v>10</v>
      </c>
      <c r="G11" s="23" t="s">
        <v>11</v>
      </c>
      <c r="H11" s="23" t="s">
        <v>12</v>
      </c>
      <c r="I11" s="23" t="s">
        <v>13</v>
      </c>
      <c r="J11" s="23" t="s">
        <v>57</v>
      </c>
      <c r="K11" s="23" t="s">
        <v>58</v>
      </c>
      <c r="L11" s="23" t="s">
        <v>14</v>
      </c>
      <c r="M11" s="24"/>
      <c r="N11" s="23" t="s">
        <v>15</v>
      </c>
      <c r="O11" s="23" t="s">
        <v>16</v>
      </c>
    </row>
    <row r="12" spans="1:15" x14ac:dyDescent="0.25">
      <c r="A12" s="28"/>
      <c r="B12" s="28"/>
      <c r="C12" s="29"/>
      <c r="D12" s="29"/>
      <c r="E12" s="3" t="s">
        <v>17</v>
      </c>
      <c r="F12" s="30" t="s">
        <v>18</v>
      </c>
      <c r="G12" s="30" t="s">
        <v>19</v>
      </c>
      <c r="H12" s="30" t="s">
        <v>20</v>
      </c>
      <c r="I12" s="30" t="s">
        <v>21</v>
      </c>
      <c r="J12" s="30" t="s">
        <v>22</v>
      </c>
      <c r="K12" s="30" t="s">
        <v>23</v>
      </c>
      <c r="L12" s="30" t="s">
        <v>24</v>
      </c>
      <c r="M12" s="3"/>
      <c r="N12" s="30" t="s">
        <v>59</v>
      </c>
      <c r="O12" s="30" t="s">
        <v>60</v>
      </c>
    </row>
    <row r="13" spans="1:15" x14ac:dyDescent="0.25">
      <c r="A13" s="28"/>
      <c r="B13" s="28"/>
      <c r="C13" s="29"/>
      <c r="D13" s="29"/>
      <c r="E13" s="3"/>
      <c r="F13" s="30"/>
      <c r="G13" s="30"/>
      <c r="H13" s="30"/>
      <c r="I13" s="30"/>
      <c r="J13" s="30"/>
      <c r="K13" s="30"/>
      <c r="L13" s="30"/>
      <c r="M13" s="3"/>
      <c r="N13" s="30"/>
      <c r="O13" s="30"/>
    </row>
    <row r="14" spans="1:15" x14ac:dyDescent="0.25">
      <c r="A14" s="32"/>
      <c r="B14" s="32"/>
      <c r="C14" s="33" t="s">
        <v>25</v>
      </c>
      <c r="D14" s="18"/>
      <c r="E14" s="6"/>
      <c r="F14" s="6"/>
      <c r="G14" s="6"/>
      <c r="H14" s="6"/>
      <c r="I14" s="6"/>
      <c r="J14" s="6"/>
      <c r="K14" s="6"/>
      <c r="L14" s="6"/>
      <c r="M14" s="15"/>
      <c r="N14" s="34"/>
      <c r="O14" s="6"/>
    </row>
    <row r="15" spans="1:15" x14ac:dyDescent="0.25">
      <c r="A15" s="67">
        <v>1</v>
      </c>
      <c r="B15" s="35"/>
      <c r="C15" s="18" t="s">
        <v>26</v>
      </c>
      <c r="D15" s="18"/>
      <c r="E15" s="34">
        <f>-6664.9/1000</f>
        <v>-6.6648999999999994</v>
      </c>
      <c r="F15" s="34">
        <f>7367.8/1000</f>
        <v>7.3677999999999999</v>
      </c>
      <c r="G15" s="34">
        <f>-253.1/1000</f>
        <v>-0.25309999999999999</v>
      </c>
      <c r="H15" s="34">
        <f>1745.5/1000</f>
        <v>1.7455000000000001</v>
      </c>
      <c r="I15" s="34">
        <f>9416.5/1000</f>
        <v>9.4164999999999992</v>
      </c>
      <c r="J15" s="34">
        <f>-5043.7/1000</f>
        <v>-5.0436999999999994</v>
      </c>
      <c r="K15" s="34">
        <f>13439.8/1000</f>
        <v>13.4398</v>
      </c>
      <c r="L15" s="34">
        <f>20007.9/1000</f>
        <v>20.007900000000003</v>
      </c>
      <c r="M15" s="36"/>
      <c r="N15" s="34">
        <v>1E-4</v>
      </c>
      <c r="O15" s="34">
        <f>20007.9001/1000</f>
        <v>20.007900100000001</v>
      </c>
    </row>
    <row r="16" spans="1:15" x14ac:dyDescent="0.25">
      <c r="A16" s="65">
        <v>2</v>
      </c>
      <c r="B16" s="35"/>
      <c r="C16" s="18" t="s">
        <v>27</v>
      </c>
      <c r="D16" s="18"/>
      <c r="E16" s="37">
        <v>6.2E-2</v>
      </c>
      <c r="F16" s="37">
        <v>7.2999999999999995E-2</v>
      </c>
      <c r="G16" s="37">
        <v>6.2E-2</v>
      </c>
      <c r="H16" s="37">
        <v>7.2999999999999995E-2</v>
      </c>
      <c r="I16" s="37">
        <v>7.2999999999999995E-2</v>
      </c>
      <c r="J16" s="37">
        <v>6.2E-2</v>
      </c>
      <c r="K16" s="37">
        <v>7.2999999999999995E-2</v>
      </c>
      <c r="L16" s="37"/>
      <c r="M16" s="38"/>
      <c r="N16" s="37">
        <v>7.3020000000000002E-2</v>
      </c>
      <c r="O16" s="37"/>
    </row>
    <row r="17" spans="1:15" x14ac:dyDescent="0.25">
      <c r="A17" s="65">
        <v>3</v>
      </c>
      <c r="B17" s="35"/>
      <c r="C17" s="18" t="s">
        <v>28</v>
      </c>
      <c r="D17" s="18"/>
      <c r="E17" s="39">
        <f>-413.2/1000</f>
        <v>-0.41320000000000001</v>
      </c>
      <c r="F17" s="39">
        <f>537.8/1000</f>
        <v>0.53779999999999994</v>
      </c>
      <c r="G17" s="39">
        <f>-15.7/1000</f>
        <v>-1.5699999999999999E-2</v>
      </c>
      <c r="H17" s="39">
        <f>127.4/1000</f>
        <v>0.12740000000000001</v>
      </c>
      <c r="I17" s="39">
        <f>687.4/1000</f>
        <v>0.68740000000000001</v>
      </c>
      <c r="J17" s="39">
        <f>-312.7/1000</f>
        <v>-0.31269999999999998</v>
      </c>
      <c r="K17" s="39">
        <f>981.1/1000</f>
        <v>0.98109999999999997</v>
      </c>
      <c r="L17" s="39">
        <f>1592.1/1000</f>
        <v>1.5920999999999998</v>
      </c>
      <c r="M17" s="40"/>
      <c r="N17" s="39">
        <v>0</v>
      </c>
      <c r="O17" s="39">
        <f>1592.1/1000</f>
        <v>1.5920999999999998</v>
      </c>
    </row>
    <row r="18" spans="1:15" x14ac:dyDescent="0.25">
      <c r="A18" s="65"/>
      <c r="B18" s="42"/>
      <c r="C18" s="9"/>
      <c r="D18" s="9"/>
      <c r="E18" s="14"/>
      <c r="F18" s="14"/>
      <c r="G18" s="14"/>
      <c r="H18" s="14"/>
      <c r="I18" s="14"/>
      <c r="J18" s="14"/>
      <c r="K18" s="14"/>
      <c r="L18" s="14"/>
      <c r="M18" s="9"/>
      <c r="N18" s="14"/>
      <c r="O18" s="14"/>
    </row>
    <row r="19" spans="1:15" x14ac:dyDescent="0.25">
      <c r="A19" s="66"/>
      <c r="B19" s="35"/>
      <c r="C19" s="33" t="s">
        <v>29</v>
      </c>
      <c r="D19" s="18"/>
      <c r="E19" s="3"/>
      <c r="F19" s="3"/>
      <c r="G19" s="3"/>
      <c r="H19" s="3"/>
      <c r="I19" s="3"/>
      <c r="J19" s="3"/>
      <c r="K19" s="3"/>
      <c r="L19" s="3"/>
      <c r="M19" s="43"/>
      <c r="N19" s="3"/>
      <c r="O19" s="3"/>
    </row>
    <row r="20" spans="1:15" x14ac:dyDescent="0.25">
      <c r="A20" s="65">
        <v>4</v>
      </c>
      <c r="B20" s="35"/>
      <c r="C20" s="18" t="s">
        <v>30</v>
      </c>
      <c r="D20" s="18"/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/>
      <c r="N20" s="44">
        <v>0</v>
      </c>
      <c r="O20" s="44">
        <v>0</v>
      </c>
    </row>
    <row r="21" spans="1:15" x14ac:dyDescent="0.25">
      <c r="A21" s="65">
        <v>5</v>
      </c>
      <c r="B21" s="35"/>
      <c r="C21" s="46" t="s">
        <v>31</v>
      </c>
      <c r="D21" s="46"/>
      <c r="E21" s="34">
        <f>916.239775/1000</f>
        <v>0.91623977499999998</v>
      </c>
      <c r="F21" s="34">
        <f>-4554.58764/1000</f>
        <v>-4.5545876399999994</v>
      </c>
      <c r="G21" s="44">
        <v>0</v>
      </c>
      <c r="H21" s="44">
        <v>0</v>
      </c>
      <c r="I21" s="44">
        <v>0</v>
      </c>
      <c r="J21" s="34">
        <f>4513.32260230434/1000</f>
        <v>4.5133226023043402</v>
      </c>
      <c r="K21" s="34">
        <f>-9930.1388709395/1000</f>
        <v>-9.9301388709394995</v>
      </c>
      <c r="L21" s="34">
        <f>-9055.16413363517/1000</f>
        <v>-9.05516413363517</v>
      </c>
      <c r="M21" s="45"/>
      <c r="N21" s="34">
        <f>-12033.4/1000</f>
        <v>-12.0334</v>
      </c>
      <c r="O21" s="34">
        <f>-21088.5641336352/1000</f>
        <v>-21.088564133635199</v>
      </c>
    </row>
    <row r="22" spans="1:15" x14ac:dyDescent="0.25">
      <c r="A22" s="65">
        <v>6</v>
      </c>
      <c r="B22" s="35"/>
      <c r="C22" s="18" t="s">
        <v>32</v>
      </c>
      <c r="D22" s="18"/>
      <c r="E22" s="34">
        <f>-162/1000</f>
        <v>-0.16200000000000001</v>
      </c>
      <c r="F22" s="34">
        <f>148.8/1000</f>
        <v>0.14880000000000002</v>
      </c>
      <c r="G22" s="34">
        <f>-7.3/1000</f>
        <v>-7.3000000000000001E-3</v>
      </c>
      <c r="H22" s="34">
        <f>83.5/1000</f>
        <v>8.3500000000000005E-2</v>
      </c>
      <c r="I22" s="34">
        <f>-4881.5/1000</f>
        <v>-4.8815</v>
      </c>
      <c r="J22" s="34">
        <f>180.2/1000</f>
        <v>0.1802</v>
      </c>
      <c r="K22" s="34">
        <f>502.1/1000</f>
        <v>0.50209999999999999</v>
      </c>
      <c r="L22" s="34">
        <f>-4136.2/1000</f>
        <v>-4.1361999999999997</v>
      </c>
      <c r="M22" s="45"/>
      <c r="N22" s="44">
        <v>0</v>
      </c>
      <c r="O22" s="34">
        <f>-4136.2/1000</f>
        <v>-4.1361999999999997</v>
      </c>
    </row>
    <row r="23" spans="1:15" x14ac:dyDescent="0.25">
      <c r="A23" s="65">
        <v>7</v>
      </c>
      <c r="B23" s="35"/>
      <c r="C23" s="18" t="s">
        <v>33</v>
      </c>
      <c r="D23" s="18"/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4"/>
      <c r="N23" s="47">
        <v>0</v>
      </c>
      <c r="O23" s="47">
        <v>0</v>
      </c>
    </row>
    <row r="24" spans="1:15" x14ac:dyDescent="0.25">
      <c r="A24" s="65">
        <v>8</v>
      </c>
      <c r="B24" s="35"/>
      <c r="C24" s="18" t="s">
        <v>34</v>
      </c>
      <c r="D24" s="18"/>
      <c r="E24" s="34">
        <f>SUM(E20:E23)</f>
        <v>0.75423977499999995</v>
      </c>
      <c r="F24" s="34">
        <f t="shared" ref="F24:L24" si="0">SUM(F20:F23)</f>
        <v>-4.4057876399999998</v>
      </c>
      <c r="G24" s="34">
        <f t="shared" si="0"/>
        <v>-7.3000000000000001E-3</v>
      </c>
      <c r="H24" s="34">
        <f t="shared" si="0"/>
        <v>8.3500000000000005E-2</v>
      </c>
      <c r="I24" s="34">
        <f t="shared" si="0"/>
        <v>-4.8815</v>
      </c>
      <c r="J24" s="34">
        <f t="shared" si="0"/>
        <v>4.6935226023043404</v>
      </c>
      <c r="K24" s="34">
        <f t="shared" si="0"/>
        <v>-9.4280388709394991</v>
      </c>
      <c r="L24" s="34">
        <f t="shared" si="0"/>
        <v>-13.191364133635169</v>
      </c>
      <c r="M24" s="34"/>
      <c r="N24" s="34">
        <f>SUM(N20:N23)</f>
        <v>-12.0334</v>
      </c>
      <c r="O24" s="34">
        <f>SUM(O20:O23)</f>
        <v>-25.224764133635198</v>
      </c>
    </row>
    <row r="25" spans="1:15" x14ac:dyDescent="0.25">
      <c r="A25" s="65"/>
      <c r="B25" s="42"/>
      <c r="C25" s="9"/>
      <c r="D25" s="9"/>
      <c r="E25" s="49"/>
      <c r="F25" s="49"/>
      <c r="G25" s="49"/>
      <c r="H25" s="49"/>
      <c r="I25" s="49"/>
      <c r="J25" s="49"/>
      <c r="K25" s="49"/>
      <c r="L25" s="49"/>
      <c r="M25" s="50"/>
      <c r="N25" s="49"/>
      <c r="O25" s="49"/>
    </row>
    <row r="26" spans="1:15" x14ac:dyDescent="0.25">
      <c r="A26" s="66"/>
      <c r="B26" s="35"/>
      <c r="C26" s="33" t="s">
        <v>35</v>
      </c>
      <c r="D26" s="18"/>
      <c r="E26" s="51"/>
      <c r="F26" s="51"/>
      <c r="G26" s="51"/>
      <c r="H26" s="51"/>
      <c r="I26" s="51"/>
      <c r="J26" s="51"/>
      <c r="K26" s="51"/>
      <c r="L26" s="51"/>
      <c r="M26" s="45"/>
      <c r="N26" s="51"/>
      <c r="O26" s="51"/>
    </row>
    <row r="27" spans="1:15" x14ac:dyDescent="0.25">
      <c r="A27" s="65">
        <v>9</v>
      </c>
      <c r="B27" s="35"/>
      <c r="C27" s="18" t="s">
        <v>36</v>
      </c>
      <c r="D27" s="18"/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/>
      <c r="N27" s="44">
        <v>0</v>
      </c>
      <c r="O27" s="44">
        <v>0</v>
      </c>
    </row>
    <row r="28" spans="1:15" x14ac:dyDescent="0.25">
      <c r="A28" s="65">
        <v>10</v>
      </c>
      <c r="B28" s="35"/>
      <c r="C28" s="18" t="s">
        <v>37</v>
      </c>
      <c r="D28" s="18"/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4"/>
      <c r="N28" s="47">
        <v>0</v>
      </c>
      <c r="O28" s="47">
        <v>0</v>
      </c>
    </row>
    <row r="29" spans="1:15" x14ac:dyDescent="0.25">
      <c r="A29" s="65">
        <v>11</v>
      </c>
      <c r="B29" s="35"/>
      <c r="C29" s="18" t="s">
        <v>38</v>
      </c>
      <c r="D29" s="18"/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/>
      <c r="N29" s="44">
        <v>0</v>
      </c>
      <c r="O29" s="44">
        <v>0</v>
      </c>
    </row>
    <row r="30" spans="1:15" x14ac:dyDescent="0.25">
      <c r="A30" s="65"/>
      <c r="B30" s="52"/>
      <c r="C30" s="2"/>
      <c r="D30" s="2"/>
      <c r="E30" s="53"/>
      <c r="F30" s="53"/>
      <c r="G30" s="53"/>
      <c r="H30" s="53"/>
      <c r="I30" s="53"/>
      <c r="J30" s="53"/>
      <c r="K30" s="53"/>
      <c r="L30" s="53"/>
      <c r="M30" s="54"/>
      <c r="N30" s="53"/>
      <c r="O30" s="53"/>
    </row>
    <row r="31" spans="1:15" x14ac:dyDescent="0.25">
      <c r="A31" s="67"/>
      <c r="B31" s="35"/>
      <c r="C31" s="33" t="s">
        <v>39</v>
      </c>
      <c r="D31" s="18"/>
      <c r="E31" s="53"/>
      <c r="F31" s="53"/>
      <c r="G31" s="53"/>
      <c r="H31" s="53"/>
      <c r="I31" s="53"/>
      <c r="J31" s="53"/>
      <c r="K31" s="53"/>
      <c r="L31" s="53"/>
      <c r="M31" s="54"/>
      <c r="N31" s="53"/>
      <c r="O31" s="53"/>
    </row>
    <row r="32" spans="1:15" x14ac:dyDescent="0.25">
      <c r="A32" s="65">
        <v>12</v>
      </c>
      <c r="B32" s="35"/>
      <c r="C32" s="18" t="s">
        <v>40</v>
      </c>
      <c r="D32" s="18"/>
      <c r="E32" s="34">
        <f>-128.3/1000</f>
        <v>-0.12830000000000003</v>
      </c>
      <c r="F32" s="34">
        <f>1018.3/1000</f>
        <v>1.0183</v>
      </c>
      <c r="G32" s="34">
        <f>781.2/1000</f>
        <v>0.78120000000000001</v>
      </c>
      <c r="H32" s="34">
        <f>-430.4/1000</f>
        <v>-0.4304</v>
      </c>
      <c r="I32" s="44">
        <v>0</v>
      </c>
      <c r="J32" s="34">
        <f>-670.3/1000</f>
        <v>-0.67030000000000001</v>
      </c>
      <c r="K32" s="34">
        <f>1267.4/1000</f>
        <v>1.2674000000000001</v>
      </c>
      <c r="L32" s="34">
        <f>1837.9/1000</f>
        <v>1.8379000000000001</v>
      </c>
      <c r="M32" s="34"/>
      <c r="N32" s="34">
        <f>3188.9/1000</f>
        <v>3.1889000000000003</v>
      </c>
      <c r="O32" s="34">
        <f>5026.8/1000</f>
        <v>5.0268000000000006</v>
      </c>
    </row>
    <row r="33" spans="1:15" ht="16.5" x14ac:dyDescent="0.35">
      <c r="A33" s="65">
        <v>13</v>
      </c>
      <c r="B33" s="35"/>
      <c r="C33" s="18" t="s">
        <v>41</v>
      </c>
      <c r="D33" s="18"/>
      <c r="E33" s="55">
        <f>51.6/1000</f>
        <v>5.16E-2</v>
      </c>
      <c r="F33" s="55">
        <f>-78.1/1000</f>
        <v>-7.8099999999999989E-2</v>
      </c>
      <c r="G33" s="55">
        <f>2/1000</f>
        <v>2E-3</v>
      </c>
      <c r="H33" s="55">
        <f>-18.5/1000</f>
        <v>-1.8499999999999999E-2</v>
      </c>
      <c r="I33" s="55">
        <f>-99.8/1000</f>
        <v>-9.98E-2</v>
      </c>
      <c r="J33" s="55">
        <f>39/1000</f>
        <v>3.9E-2</v>
      </c>
      <c r="K33" s="55">
        <f>-142.5/1000</f>
        <v>-0.14249999999999999</v>
      </c>
      <c r="L33" s="55">
        <f>-246.3/1000</f>
        <v>-0.24630000000000002</v>
      </c>
      <c r="M33" s="48"/>
      <c r="N33" s="47">
        <v>0</v>
      </c>
      <c r="O33" s="55">
        <f>-246.3/1000</f>
        <v>-0.24630000000000002</v>
      </c>
    </row>
    <row r="34" spans="1:15" x14ac:dyDescent="0.25">
      <c r="A34" s="65">
        <v>14</v>
      </c>
      <c r="B34" s="35"/>
      <c r="C34" s="18" t="s">
        <v>42</v>
      </c>
      <c r="D34" s="18"/>
      <c r="E34" s="34">
        <f t="shared" ref="E34:L34" si="1">SUM(E32:E33)</f>
        <v>-7.6700000000000018E-2</v>
      </c>
      <c r="F34" s="34">
        <f t="shared" si="1"/>
        <v>0.94020000000000004</v>
      </c>
      <c r="G34" s="34">
        <f t="shared" si="1"/>
        <v>0.78320000000000001</v>
      </c>
      <c r="H34" s="34">
        <f t="shared" si="1"/>
        <v>-0.44890000000000002</v>
      </c>
      <c r="I34" s="34">
        <f t="shared" si="1"/>
        <v>-9.98E-2</v>
      </c>
      <c r="J34" s="34">
        <f t="shared" si="1"/>
        <v>-0.63129999999999997</v>
      </c>
      <c r="K34" s="34">
        <f t="shared" si="1"/>
        <v>1.1249</v>
      </c>
      <c r="L34" s="34">
        <f t="shared" si="1"/>
        <v>1.5916000000000001</v>
      </c>
      <c r="M34" s="34"/>
      <c r="N34" s="34">
        <f>SUM(N32:N33)</f>
        <v>3.1889000000000003</v>
      </c>
      <c r="O34" s="34">
        <f>SUM(O32:O33)</f>
        <v>4.7805000000000009</v>
      </c>
    </row>
    <row r="35" spans="1:15" x14ac:dyDescent="0.25">
      <c r="A35" s="65"/>
      <c r="B35" s="42"/>
      <c r="C35" s="9"/>
      <c r="D35" s="9"/>
      <c r="E35" s="49"/>
      <c r="F35" s="49"/>
      <c r="G35" s="49"/>
      <c r="H35" s="49"/>
      <c r="I35" s="49"/>
      <c r="J35" s="49"/>
      <c r="K35" s="49"/>
      <c r="L35" s="49"/>
      <c r="M35" s="50"/>
      <c r="N35" s="49"/>
      <c r="O35" s="49"/>
    </row>
    <row r="36" spans="1:15" x14ac:dyDescent="0.25">
      <c r="A36" s="66"/>
      <c r="B36" s="52"/>
      <c r="C36" s="56" t="s">
        <v>43</v>
      </c>
      <c r="D36" s="2"/>
      <c r="E36" s="6"/>
      <c r="F36" s="6"/>
      <c r="G36" s="6"/>
      <c r="H36" s="6"/>
      <c r="I36" s="6"/>
      <c r="J36" s="6"/>
      <c r="K36" s="6"/>
      <c r="L36" s="6"/>
      <c r="M36" s="15"/>
      <c r="N36" s="6"/>
      <c r="O36" s="6"/>
    </row>
    <row r="37" spans="1:15" x14ac:dyDescent="0.25">
      <c r="A37" s="67">
        <v>15</v>
      </c>
      <c r="B37" s="35"/>
      <c r="C37" s="2" t="s">
        <v>44</v>
      </c>
      <c r="D37" s="2"/>
      <c r="E37" s="34">
        <f>-360/1000</f>
        <v>-0.36</v>
      </c>
      <c r="F37" s="34">
        <f>3983.7/1000</f>
        <v>3.9836999999999998</v>
      </c>
      <c r="G37" s="34">
        <f>-1034.3/1000</f>
        <v>-1.0343</v>
      </c>
      <c r="H37" s="34">
        <f>323.7/1000</f>
        <v>0.32369999999999999</v>
      </c>
      <c r="I37" s="34">
        <f>5842/1000</f>
        <v>5.8419999999999996</v>
      </c>
      <c r="J37" s="34">
        <f>-5101.4/1000</f>
        <v>-5.1013999999999999</v>
      </c>
      <c r="K37" s="34">
        <f>9961.9/1000</f>
        <v>9.9619</v>
      </c>
      <c r="L37" s="34">
        <f>13615.6/1000</f>
        <v>13.615600000000001</v>
      </c>
      <c r="M37" s="36"/>
      <c r="N37" s="34">
        <f>12033.4/1000</f>
        <v>12.0334</v>
      </c>
      <c r="O37" s="34">
        <f>25649/1000</f>
        <v>25.649000000000001</v>
      </c>
    </row>
    <row r="38" spans="1:15" x14ac:dyDescent="0.25">
      <c r="A38" s="65">
        <v>16</v>
      </c>
      <c r="B38" s="35"/>
      <c r="C38" s="2" t="s">
        <v>45</v>
      </c>
      <c r="D38" s="2"/>
      <c r="E38" s="57">
        <f>-264.6/1000</f>
        <v>-0.2646</v>
      </c>
      <c r="F38" s="57">
        <f>2928/1000</f>
        <v>2.9279999999999999</v>
      </c>
      <c r="G38" s="57">
        <f>-760.2/1000</f>
        <v>-0.7602000000000001</v>
      </c>
      <c r="H38" s="57">
        <f>237.9/1000</f>
        <v>0.2379</v>
      </c>
      <c r="I38" s="57">
        <f>4293.9/1000</f>
        <v>4.2938999999999998</v>
      </c>
      <c r="J38" s="57">
        <f>-3749.5/1000</f>
        <v>-3.7494999999999998</v>
      </c>
      <c r="K38" s="57">
        <f>7322/1000</f>
        <v>7.3220000000000001</v>
      </c>
      <c r="L38" s="57">
        <f>10007.5/1000</f>
        <v>10.0075</v>
      </c>
      <c r="M38" s="34"/>
      <c r="N38" s="57">
        <f>8844.5/1000</f>
        <v>8.8445</v>
      </c>
      <c r="O38" s="57">
        <f>18852/1000</f>
        <v>18.852</v>
      </c>
    </row>
    <row r="39" spans="1:15" x14ac:dyDescent="0.25">
      <c r="A39" s="65">
        <v>17</v>
      </c>
      <c r="B39" s="35"/>
      <c r="C39" s="2" t="s">
        <v>46</v>
      </c>
      <c r="D39" s="2"/>
      <c r="E39" s="39">
        <f t="shared" ref="E39:L39" si="2">E38-E37</f>
        <v>9.5399999999999985E-2</v>
      </c>
      <c r="F39" s="39">
        <f t="shared" si="2"/>
        <v>-1.0556999999999999</v>
      </c>
      <c r="G39" s="39">
        <f t="shared" si="2"/>
        <v>0.2740999999999999</v>
      </c>
      <c r="H39" s="39">
        <f t="shared" si="2"/>
        <v>-8.5799999999999987E-2</v>
      </c>
      <c r="I39" s="39">
        <f t="shared" si="2"/>
        <v>-1.5480999999999998</v>
      </c>
      <c r="J39" s="39">
        <f t="shared" si="2"/>
        <v>1.3519000000000001</v>
      </c>
      <c r="K39" s="39">
        <f t="shared" si="2"/>
        <v>-2.6398999999999999</v>
      </c>
      <c r="L39" s="39">
        <f t="shared" si="2"/>
        <v>-3.6081000000000003</v>
      </c>
      <c r="M39" s="40"/>
      <c r="N39" s="39">
        <f>N38-N37</f>
        <v>-3.1889000000000003</v>
      </c>
      <c r="O39" s="39">
        <f>O38-O37</f>
        <v>-6.7970000000000006</v>
      </c>
    </row>
    <row r="40" spans="1:15" x14ac:dyDescent="0.25">
      <c r="A40" s="65"/>
      <c r="B40" s="42"/>
      <c r="C40" s="9"/>
      <c r="D40" s="9"/>
      <c r="E40" s="58"/>
      <c r="F40" s="58"/>
      <c r="G40" s="58"/>
      <c r="H40" s="58"/>
      <c r="I40" s="58"/>
      <c r="J40" s="58"/>
      <c r="K40" s="58"/>
      <c r="L40" s="58"/>
      <c r="M40" s="59"/>
      <c r="N40" s="58"/>
      <c r="O40" s="58"/>
    </row>
    <row r="41" spans="1:15" x14ac:dyDescent="0.25">
      <c r="A41" s="66">
        <v>18</v>
      </c>
      <c r="B41" s="35"/>
      <c r="C41" s="18" t="s">
        <v>47</v>
      </c>
      <c r="D41" s="18"/>
      <c r="E41" s="39">
        <f t="shared" ref="E41:L41" si="3">SUM(E39,E34,E24,E17)</f>
        <v>0.35973977499999987</v>
      </c>
      <c r="F41" s="39">
        <f t="shared" si="3"/>
        <v>-3.9834876399999999</v>
      </c>
      <c r="G41" s="39">
        <f t="shared" si="3"/>
        <v>1.0342999999999998</v>
      </c>
      <c r="H41" s="39">
        <f t="shared" si="3"/>
        <v>-0.32379999999999992</v>
      </c>
      <c r="I41" s="39">
        <f t="shared" si="3"/>
        <v>-5.8419999999999996</v>
      </c>
      <c r="J41" s="39">
        <f t="shared" si="3"/>
        <v>5.101422602304341</v>
      </c>
      <c r="K41" s="39">
        <f t="shared" si="3"/>
        <v>-9.9619388709395</v>
      </c>
      <c r="L41" s="39">
        <f t="shared" si="3"/>
        <v>-13.615764133635169</v>
      </c>
      <c r="M41" s="40"/>
      <c r="N41" s="39">
        <f>N39+N34+N24+N17</f>
        <v>-12.0334</v>
      </c>
      <c r="O41" s="39">
        <f>O39+O34+O24+O17</f>
        <v>-25.6491641336352</v>
      </c>
    </row>
    <row r="42" spans="1:15" x14ac:dyDescent="0.25">
      <c r="A42" s="65"/>
      <c r="B42" s="35"/>
      <c r="C42" s="15"/>
      <c r="D42" s="15"/>
      <c r="E42" s="39"/>
      <c r="F42" s="39"/>
      <c r="G42" s="39"/>
      <c r="H42" s="39"/>
      <c r="I42" s="39"/>
      <c r="J42" s="39"/>
      <c r="K42" s="39"/>
      <c r="L42" s="39"/>
      <c r="M42" s="40"/>
      <c r="N42" s="39"/>
      <c r="O42" s="39"/>
    </row>
    <row r="43" spans="1:15" x14ac:dyDescent="0.25">
      <c r="A43" s="65">
        <v>19</v>
      </c>
      <c r="B43" s="35"/>
      <c r="C43" s="18" t="s">
        <v>62</v>
      </c>
      <c r="D43" s="18"/>
      <c r="E43" s="44">
        <v>0</v>
      </c>
      <c r="F43" s="44">
        <v>0</v>
      </c>
      <c r="G43" s="39">
        <f>-249/1000</f>
        <v>-0.249</v>
      </c>
      <c r="H43" s="44">
        <v>0</v>
      </c>
      <c r="I43" s="44">
        <v>0</v>
      </c>
      <c r="J43" s="44">
        <v>0</v>
      </c>
      <c r="K43" s="44">
        <v>0</v>
      </c>
      <c r="L43" s="39">
        <f>-249/1000</f>
        <v>-0.249</v>
      </c>
      <c r="M43" s="40"/>
      <c r="N43" s="44">
        <v>0</v>
      </c>
      <c r="O43" s="39">
        <f>-249/1000</f>
        <v>-0.249</v>
      </c>
    </row>
    <row r="44" spans="1:15" x14ac:dyDescent="0.25">
      <c r="A44" s="65"/>
      <c r="B44" s="35"/>
      <c r="C44" s="15"/>
      <c r="D44" s="15"/>
      <c r="E44" s="39"/>
      <c r="F44" s="39"/>
      <c r="G44" s="39"/>
      <c r="H44" s="39"/>
      <c r="I44" s="39"/>
      <c r="J44" s="39"/>
      <c r="K44" s="39"/>
      <c r="L44" s="39"/>
      <c r="M44" s="40"/>
      <c r="N44" s="39"/>
      <c r="O44" s="39"/>
    </row>
    <row r="45" spans="1:15" x14ac:dyDescent="0.25">
      <c r="A45" s="65"/>
      <c r="B45" s="35"/>
      <c r="C45" s="33" t="s">
        <v>48</v>
      </c>
      <c r="D45" s="18"/>
      <c r="E45" s="39"/>
      <c r="F45" s="39"/>
      <c r="G45" s="39"/>
      <c r="H45" s="39"/>
      <c r="I45" s="39"/>
      <c r="J45" s="39"/>
      <c r="K45" s="39"/>
      <c r="L45" s="39"/>
      <c r="M45" s="40"/>
      <c r="N45" s="39"/>
      <c r="O45" s="39"/>
    </row>
    <row r="46" spans="1:15" x14ac:dyDescent="0.25">
      <c r="A46" s="65">
        <v>20</v>
      </c>
      <c r="B46" s="35"/>
      <c r="C46" s="2" t="s">
        <v>49</v>
      </c>
      <c r="D46" s="2"/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/>
      <c r="N46" s="44">
        <v>0</v>
      </c>
      <c r="O46" s="44">
        <v>0</v>
      </c>
    </row>
    <row r="47" spans="1:15" x14ac:dyDescent="0.25">
      <c r="A47" s="65">
        <v>21</v>
      </c>
      <c r="B47" s="35"/>
      <c r="C47" s="2" t="s">
        <v>50</v>
      </c>
      <c r="D47" s="2"/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/>
      <c r="N47" s="44">
        <v>0</v>
      </c>
      <c r="O47" s="44">
        <v>0</v>
      </c>
    </row>
    <row r="48" spans="1:15" x14ac:dyDescent="0.25">
      <c r="A48" s="65">
        <v>22</v>
      </c>
      <c r="B48" s="35"/>
      <c r="C48" s="2" t="s">
        <v>51</v>
      </c>
      <c r="D48" s="2"/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/>
      <c r="N48" s="44">
        <v>0</v>
      </c>
      <c r="O48" s="44">
        <v>0</v>
      </c>
    </row>
    <row r="49" spans="1:15" x14ac:dyDescent="0.25">
      <c r="A49" s="65">
        <v>23</v>
      </c>
      <c r="B49" s="35"/>
      <c r="C49" s="2" t="s">
        <v>52</v>
      </c>
      <c r="D49" s="2"/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4"/>
      <c r="N49" s="47">
        <v>0</v>
      </c>
      <c r="O49" s="47">
        <v>0</v>
      </c>
    </row>
    <row r="50" spans="1:15" x14ac:dyDescent="0.25">
      <c r="A50" s="65">
        <v>24</v>
      </c>
      <c r="B50" s="35"/>
      <c r="C50" s="2" t="s">
        <v>53</v>
      </c>
      <c r="D50" s="2"/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/>
      <c r="N50" s="44">
        <v>0</v>
      </c>
      <c r="O50" s="44">
        <v>0</v>
      </c>
    </row>
    <row r="51" spans="1:15" x14ac:dyDescent="0.25">
      <c r="A51" s="65"/>
      <c r="B51" s="35"/>
      <c r="C51" s="15"/>
      <c r="D51" s="15"/>
      <c r="E51" s="39"/>
      <c r="F51" s="39"/>
      <c r="G51" s="39"/>
      <c r="H51" s="39"/>
      <c r="I51" s="39"/>
      <c r="J51" s="39"/>
      <c r="K51" s="39"/>
      <c r="L51" s="39"/>
      <c r="M51" s="40"/>
      <c r="N51" s="39"/>
      <c r="O51" s="39"/>
    </row>
    <row r="52" spans="1:15" ht="15.75" thickBot="1" x14ac:dyDescent="0.3">
      <c r="A52" s="67">
        <v>25</v>
      </c>
      <c r="B52" s="35"/>
      <c r="C52" s="2" t="s">
        <v>54</v>
      </c>
      <c r="D52" s="2"/>
      <c r="E52" s="60">
        <f>E50-E41</f>
        <v>-0.35973977499999987</v>
      </c>
      <c r="F52" s="60">
        <f>F50-F41</f>
        <v>3.9834876399999999</v>
      </c>
      <c r="G52" s="60">
        <f>G50-G43-G41</f>
        <v>-0.78529999999999978</v>
      </c>
      <c r="H52" s="60">
        <f t="shared" ref="H52:O52" si="4">H50-H43-H41</f>
        <v>0.32379999999999992</v>
      </c>
      <c r="I52" s="60">
        <f t="shared" si="4"/>
        <v>5.8419999999999996</v>
      </c>
      <c r="J52" s="60">
        <f t="shared" si="4"/>
        <v>-5.101422602304341</v>
      </c>
      <c r="K52" s="60">
        <f t="shared" si="4"/>
        <v>9.9619388709395</v>
      </c>
      <c r="L52" s="60">
        <f t="shared" si="4"/>
        <v>13.86476413363517</v>
      </c>
      <c r="M52" s="39"/>
      <c r="N52" s="60">
        <f t="shared" si="4"/>
        <v>12.0334</v>
      </c>
      <c r="O52" s="60">
        <f t="shared" si="4"/>
        <v>25.898164133635198</v>
      </c>
    </row>
    <row r="53" spans="1:15" ht="15.75" thickTop="1" x14ac:dyDescent="0.25"/>
    <row r="54" spans="1:15" x14ac:dyDescent="0.25">
      <c r="A54" s="35"/>
      <c r="B54" s="35"/>
    </row>
  </sheetData>
  <mergeCells count="6">
    <mergeCell ref="A6:O6"/>
    <mergeCell ref="A7:O7"/>
    <mergeCell ref="A8:O8"/>
    <mergeCell ref="E10:F10"/>
    <mergeCell ref="G10:H10"/>
    <mergeCell ref="J10:K10"/>
  </mergeCells>
  <pageMargins left="0.7" right="0.7" top="0.75" bottom="0.75" header="0.3" footer="0.3"/>
  <pageSetup scale="62" orientation="landscape" r:id="rId1"/>
  <headerFooter>
    <oddHeader>&amp;R&amp;"Arial,Regular"&amp;10Filed: 2022-10-31
EB-2022-0200
Exhibit 9
Tab 2
Schedule 1
Attachment 3
Page 3 of 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CBD6-86A7-416E-A371-98E0E164F834}">
  <sheetPr>
    <pageSetUpPr fitToPage="1"/>
  </sheetPr>
  <dimension ref="A1:O55"/>
  <sheetViews>
    <sheetView view="pageLayout" zoomScaleNormal="100" workbookViewId="0">
      <selection activeCell="C3" sqref="C3"/>
    </sheetView>
  </sheetViews>
  <sheetFormatPr defaultRowHeight="15" x14ac:dyDescent="0.25"/>
  <cols>
    <col min="1" max="1" width="9" style="75" bestFit="1" customWidth="1"/>
    <col min="2" max="2" width="1.28515625" style="75" customWidth="1"/>
    <col min="3" max="3" width="38.85546875" style="75" customWidth="1"/>
    <col min="4" max="4" width="1.28515625" style="75" customWidth="1"/>
    <col min="5" max="5" width="17.7109375" style="76" bestFit="1" customWidth="1"/>
    <col min="6" max="6" width="14.5703125" style="76" customWidth="1"/>
    <col min="7" max="7" width="14.140625" style="76" customWidth="1"/>
    <col min="8" max="8" width="16.5703125" style="76" bestFit="1" customWidth="1"/>
    <col min="9" max="9" width="14.85546875" style="76" bestFit="1" customWidth="1"/>
    <col min="10" max="10" width="18.42578125" style="76" customWidth="1"/>
    <col min="11" max="11" width="18.42578125" style="76" bestFit="1" customWidth="1"/>
    <col min="12" max="12" width="14" style="76" customWidth="1"/>
    <col min="13" max="13" width="3.140625" style="75" customWidth="1"/>
    <col min="14" max="14" width="19.42578125" style="76" customWidth="1"/>
    <col min="15" max="15" width="14" style="76" bestFit="1" customWidth="1"/>
  </cols>
  <sheetData>
    <row r="1" spans="1:15" x14ac:dyDescent="0.25">
      <c r="A1" s="70"/>
      <c r="B1" s="70"/>
      <c r="C1" s="70"/>
      <c r="D1" s="70"/>
      <c r="E1" s="31"/>
      <c r="F1" s="31"/>
      <c r="G1" s="31"/>
      <c r="H1" s="31"/>
      <c r="I1" s="31"/>
      <c r="J1" s="31"/>
      <c r="K1" s="31"/>
      <c r="L1" s="31"/>
      <c r="M1" s="70"/>
      <c r="N1" s="31"/>
      <c r="O1" s="31"/>
    </row>
    <row r="2" spans="1:15" x14ac:dyDescent="0.25">
      <c r="A2" s="70"/>
      <c r="B2" s="70"/>
      <c r="C2" s="70"/>
      <c r="D2" s="70"/>
      <c r="E2" s="31"/>
      <c r="F2" s="31"/>
      <c r="G2" s="31"/>
      <c r="H2" s="31"/>
      <c r="I2" s="31"/>
      <c r="J2" s="31"/>
      <c r="K2" s="31"/>
      <c r="L2" s="31"/>
      <c r="M2" s="70"/>
      <c r="N2" s="31"/>
      <c r="O2" s="31"/>
    </row>
    <row r="3" spans="1:15" x14ac:dyDescent="0.25">
      <c r="A3" s="70"/>
      <c r="B3" s="70"/>
      <c r="C3" s="70"/>
      <c r="D3" s="70"/>
      <c r="E3" s="31"/>
      <c r="F3" s="31"/>
      <c r="G3" s="31"/>
      <c r="H3" s="31"/>
      <c r="I3" s="31"/>
      <c r="J3" s="31"/>
      <c r="K3" s="31"/>
      <c r="L3" s="31"/>
      <c r="M3" s="70"/>
      <c r="N3" s="31"/>
      <c r="O3" s="31"/>
    </row>
    <row r="4" spans="1:15" x14ac:dyDescent="0.25">
      <c r="A4" s="71"/>
      <c r="B4" s="71"/>
      <c r="C4" s="72"/>
      <c r="D4" s="72"/>
      <c r="E4" s="3"/>
      <c r="F4" s="3"/>
      <c r="G4" s="3"/>
      <c r="H4" s="3"/>
      <c r="I4" s="3"/>
      <c r="J4" s="11"/>
      <c r="K4" s="11"/>
      <c r="L4" s="11"/>
      <c r="M4" s="10"/>
      <c r="N4" s="11"/>
      <c r="O4" s="11"/>
    </row>
    <row r="5" spans="1:15" x14ac:dyDescent="0.25">
      <c r="A5" s="70"/>
      <c r="B5" s="70"/>
      <c r="C5" s="16"/>
      <c r="D5" s="16"/>
      <c r="E5" s="11"/>
      <c r="F5" s="11"/>
      <c r="G5" s="11"/>
      <c r="H5" s="11"/>
      <c r="I5" s="11"/>
      <c r="J5" s="11"/>
      <c r="K5" s="11"/>
      <c r="L5" s="11"/>
      <c r="M5" s="17"/>
      <c r="N5" s="11"/>
      <c r="O5" s="11"/>
    </row>
    <row r="6" spans="1:1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x14ac:dyDescent="0.25">
      <c r="A7" s="81" t="s">
        <v>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x14ac:dyDescent="0.25">
      <c r="A8" s="81" t="s">
        <v>63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x14ac:dyDescent="0.25">
      <c r="A9" s="70"/>
      <c r="B9" s="70"/>
      <c r="C9" s="16"/>
      <c r="D9" s="16"/>
      <c r="E9" s="11"/>
      <c r="F9" s="11"/>
      <c r="G9" s="11"/>
      <c r="H9" s="11"/>
      <c r="I9" s="11"/>
      <c r="J9" s="11"/>
      <c r="K9" s="11"/>
      <c r="L9" s="11"/>
      <c r="M9" s="17"/>
      <c r="N9" s="11"/>
      <c r="O9" s="11"/>
    </row>
    <row r="10" spans="1:15" x14ac:dyDescent="0.25">
      <c r="A10" s="18"/>
      <c r="B10" s="18"/>
      <c r="C10" s="19"/>
      <c r="D10" s="19"/>
      <c r="E10" s="82" t="s">
        <v>3</v>
      </c>
      <c r="F10" s="82"/>
      <c r="G10" s="82" t="s">
        <v>4</v>
      </c>
      <c r="H10" s="82"/>
      <c r="I10" s="20" t="s">
        <v>5</v>
      </c>
      <c r="J10" s="82" t="s">
        <v>56</v>
      </c>
      <c r="K10" s="82"/>
      <c r="L10" s="21"/>
      <c r="M10" s="21"/>
      <c r="N10" s="20" t="s">
        <v>6</v>
      </c>
      <c r="O10" s="22"/>
    </row>
    <row r="11" spans="1:15" ht="39" x14ac:dyDescent="0.25">
      <c r="A11" s="23" t="s">
        <v>7</v>
      </c>
      <c r="B11" s="24"/>
      <c r="C11" s="25" t="str">
        <f>Sheet1!C11</f>
        <v>Particulars ($ millions)</v>
      </c>
      <c r="D11" s="26"/>
      <c r="E11" s="23" t="s">
        <v>9</v>
      </c>
      <c r="F11" s="23" t="s">
        <v>10</v>
      </c>
      <c r="G11" s="23" t="s">
        <v>11</v>
      </c>
      <c r="H11" s="23" t="s">
        <v>12</v>
      </c>
      <c r="I11" s="23" t="s">
        <v>13</v>
      </c>
      <c r="J11" s="23" t="s">
        <v>57</v>
      </c>
      <c r="K11" s="23" t="s">
        <v>58</v>
      </c>
      <c r="L11" s="23" t="s">
        <v>14</v>
      </c>
      <c r="M11" s="24"/>
      <c r="N11" s="23" t="s">
        <v>15</v>
      </c>
      <c r="O11" s="23" t="s">
        <v>64</v>
      </c>
    </row>
    <row r="12" spans="1:15" x14ac:dyDescent="0.25">
      <c r="A12" s="28"/>
      <c r="B12" s="28"/>
      <c r="C12" s="29"/>
      <c r="D12" s="29"/>
      <c r="E12" s="3" t="s">
        <v>17</v>
      </c>
      <c r="F12" s="30" t="s">
        <v>18</v>
      </c>
      <c r="G12" s="30" t="s">
        <v>19</v>
      </c>
      <c r="H12" s="30" t="s">
        <v>20</v>
      </c>
      <c r="I12" s="30" t="s">
        <v>21</v>
      </c>
      <c r="J12" s="30" t="s">
        <v>22</v>
      </c>
      <c r="K12" s="30" t="s">
        <v>23</v>
      </c>
      <c r="L12" s="30" t="s">
        <v>24</v>
      </c>
      <c r="M12" s="3"/>
      <c r="N12" s="30" t="s">
        <v>59</v>
      </c>
      <c r="O12" s="30" t="s">
        <v>60</v>
      </c>
    </row>
    <row r="13" spans="1:15" x14ac:dyDescent="0.25">
      <c r="A13" s="28"/>
      <c r="B13" s="28"/>
      <c r="C13" s="29"/>
      <c r="D13" s="29"/>
      <c r="E13" s="3"/>
      <c r="F13" s="30"/>
      <c r="G13" s="30"/>
      <c r="H13" s="30"/>
      <c r="I13" s="30"/>
      <c r="J13" s="30"/>
      <c r="K13" s="30"/>
      <c r="L13" s="30"/>
      <c r="M13" s="3"/>
      <c r="N13" s="30"/>
      <c r="O13" s="30"/>
    </row>
    <row r="14" spans="1:15" x14ac:dyDescent="0.25">
      <c r="A14" s="63"/>
      <c r="B14" s="32"/>
      <c r="C14" s="33" t="s">
        <v>25</v>
      </c>
      <c r="D14" s="18"/>
      <c r="E14" s="31"/>
      <c r="F14" s="31"/>
      <c r="G14" s="31"/>
      <c r="H14" s="31"/>
      <c r="I14" s="31"/>
      <c r="J14" s="31"/>
      <c r="K14" s="31"/>
      <c r="L14" s="6"/>
      <c r="M14" s="70"/>
      <c r="N14" s="34"/>
      <c r="O14" s="31"/>
    </row>
    <row r="15" spans="1:15" x14ac:dyDescent="0.25">
      <c r="A15" s="65">
        <v>1</v>
      </c>
      <c r="B15" s="35"/>
      <c r="C15" s="18" t="s">
        <v>26</v>
      </c>
      <c r="D15" s="18"/>
      <c r="E15" s="34">
        <f>-7430.2/1000</f>
        <v>-7.4302000000000001</v>
      </c>
      <c r="F15" s="34">
        <f>11693.5/1000</f>
        <v>11.6935</v>
      </c>
      <c r="G15" s="44">
        <v>0</v>
      </c>
      <c r="H15" s="44">
        <v>0</v>
      </c>
      <c r="I15" s="34">
        <f>16373.2/1000</f>
        <v>16.373200000000001</v>
      </c>
      <c r="J15" s="34">
        <f>-7175.8/1000</f>
        <v>-7.1758000000000006</v>
      </c>
      <c r="K15" s="34">
        <f>25154.4/1000</f>
        <v>25.154400000000003</v>
      </c>
      <c r="L15" s="34">
        <f>48465.8/1000</f>
        <v>48.465800000000002</v>
      </c>
      <c r="M15" s="36"/>
      <c r="N15" s="34">
        <v>1E-4</v>
      </c>
      <c r="O15" s="34">
        <f>48465.8001/1000</f>
        <v>48.465800100000003</v>
      </c>
    </row>
    <row r="16" spans="1:15" x14ac:dyDescent="0.25">
      <c r="A16" s="65">
        <v>2</v>
      </c>
      <c r="B16" s="35"/>
      <c r="C16" s="18" t="s">
        <v>27</v>
      </c>
      <c r="D16" s="18"/>
      <c r="E16" s="37">
        <v>6.2E-2</v>
      </c>
      <c r="F16" s="37">
        <v>7.2999999999999995E-2</v>
      </c>
      <c r="G16" s="37">
        <v>6.2E-2</v>
      </c>
      <c r="H16" s="37">
        <v>7.2999999999999995E-2</v>
      </c>
      <c r="I16" s="37">
        <v>7.2999999999999995E-2</v>
      </c>
      <c r="J16" s="37">
        <v>6.2E-2</v>
      </c>
      <c r="K16" s="37">
        <v>7.2999999999999995E-2</v>
      </c>
      <c r="L16" s="37"/>
      <c r="M16" s="73"/>
      <c r="N16" s="37">
        <v>7.3020000000000002E-2</v>
      </c>
      <c r="O16" s="37"/>
    </row>
    <row r="17" spans="1:15" x14ac:dyDescent="0.25">
      <c r="A17" s="65">
        <v>3</v>
      </c>
      <c r="B17" s="35"/>
      <c r="C17" s="18" t="s">
        <v>28</v>
      </c>
      <c r="D17" s="18"/>
      <c r="E17" s="39">
        <f>-460.7/1000</f>
        <v>-0.4607</v>
      </c>
      <c r="F17" s="39">
        <f>853.6/1000</f>
        <v>0.85360000000000003</v>
      </c>
      <c r="G17" s="44">
        <v>0</v>
      </c>
      <c r="H17" s="44">
        <v>0</v>
      </c>
      <c r="I17" s="39">
        <f>I15*I16</f>
        <v>1.1952436</v>
      </c>
      <c r="J17" s="39">
        <f t="shared" ref="J17:K17" si="0">J15*J16</f>
        <v>-0.44489960000000006</v>
      </c>
      <c r="K17" s="39">
        <f t="shared" si="0"/>
        <v>1.8362712000000001</v>
      </c>
      <c r="L17" s="39">
        <f>SUM(E17:K17)</f>
        <v>2.9795151999999998</v>
      </c>
      <c r="M17" s="40"/>
      <c r="N17" s="39">
        <v>0</v>
      </c>
      <c r="O17" s="34">
        <f>3698.6/1000</f>
        <v>3.6985999999999999</v>
      </c>
    </row>
    <row r="18" spans="1:15" x14ac:dyDescent="0.25">
      <c r="A18" s="66"/>
      <c r="B18" s="42"/>
      <c r="C18" s="9"/>
      <c r="D18" s="9"/>
      <c r="E18" s="14"/>
      <c r="F18" s="14"/>
      <c r="G18" s="14"/>
      <c r="H18" s="14"/>
      <c r="I18" s="14"/>
      <c r="J18" s="14"/>
      <c r="K18" s="14"/>
      <c r="L18" s="14"/>
      <c r="M18" s="9"/>
      <c r="N18" s="14"/>
      <c r="O18" s="14"/>
    </row>
    <row r="19" spans="1:15" x14ac:dyDescent="0.25">
      <c r="A19" s="65"/>
      <c r="B19" s="35"/>
      <c r="C19" s="33" t="s">
        <v>29</v>
      </c>
      <c r="D19" s="18"/>
      <c r="E19" s="3"/>
      <c r="F19" s="3"/>
      <c r="G19" s="3"/>
      <c r="H19" s="3"/>
      <c r="I19" s="3"/>
      <c r="J19" s="3"/>
      <c r="K19" s="3"/>
      <c r="L19" s="3"/>
      <c r="M19" s="43"/>
      <c r="N19" s="3"/>
      <c r="O19" s="3"/>
    </row>
    <row r="20" spans="1:15" x14ac:dyDescent="0.25">
      <c r="A20" s="65">
        <v>4</v>
      </c>
      <c r="B20" s="35"/>
      <c r="C20" s="18" t="s">
        <v>30</v>
      </c>
      <c r="D20" s="18"/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/>
      <c r="N20" s="44">
        <v>0</v>
      </c>
      <c r="O20" s="44">
        <v>0</v>
      </c>
    </row>
    <row r="21" spans="1:15" x14ac:dyDescent="0.25">
      <c r="A21" s="65">
        <v>5</v>
      </c>
      <c r="B21" s="35"/>
      <c r="C21" s="46" t="s">
        <v>31</v>
      </c>
      <c r="D21" s="46"/>
      <c r="E21" s="34">
        <f>1395.771952/1000</f>
        <v>1.395771952</v>
      </c>
      <c r="F21" s="34">
        <f>-3595.5/1000</f>
        <v>-3.5954999999999999</v>
      </c>
      <c r="G21" s="44">
        <v>0</v>
      </c>
      <c r="H21" s="44">
        <v>0</v>
      </c>
      <c r="I21" s="44">
        <v>0</v>
      </c>
      <c r="J21" s="34">
        <f>5014.3/1000</f>
        <v>5.0143000000000004</v>
      </c>
      <c r="K21" s="34">
        <f>-14202.7/1000</f>
        <v>-14.2027</v>
      </c>
      <c r="L21" s="34">
        <f>-11388.128048/1000</f>
        <v>-11.388128048</v>
      </c>
      <c r="M21" s="45"/>
      <c r="N21" s="34">
        <f>-12033.4/1000</f>
        <v>-12.0334</v>
      </c>
      <c r="O21" s="34">
        <f>-23421.528048/1000</f>
        <v>-23.421528047999999</v>
      </c>
    </row>
    <row r="22" spans="1:15" x14ac:dyDescent="0.25">
      <c r="A22" s="65">
        <v>6</v>
      </c>
      <c r="B22" s="35"/>
      <c r="C22" s="18" t="s">
        <v>32</v>
      </c>
      <c r="D22" s="18"/>
      <c r="E22" s="34">
        <f>-180/1000</f>
        <v>-0.18</v>
      </c>
      <c r="F22" s="34">
        <f>229.2/1000</f>
        <v>0.22919999999999999</v>
      </c>
      <c r="G22" s="44">
        <v>0</v>
      </c>
      <c r="H22" s="44">
        <v>0</v>
      </c>
      <c r="I22" s="34">
        <f>-4225.8/1000</f>
        <v>-4.2258000000000004</v>
      </c>
      <c r="J22" s="34">
        <f>207.1/1000</f>
        <v>0.20710000000000001</v>
      </c>
      <c r="K22" s="34">
        <f>962.4/1000</f>
        <v>0.96239999999999992</v>
      </c>
      <c r="L22" s="34">
        <f>-3007.1/1000</f>
        <v>-3.0070999999999999</v>
      </c>
      <c r="M22" s="45"/>
      <c r="N22" s="44">
        <v>0</v>
      </c>
      <c r="O22" s="34">
        <f>-3007.1/1000</f>
        <v>-3.0070999999999999</v>
      </c>
    </row>
    <row r="23" spans="1:15" x14ac:dyDescent="0.25">
      <c r="A23" s="65">
        <v>7</v>
      </c>
      <c r="B23" s="35"/>
      <c r="C23" s="18" t="s">
        <v>33</v>
      </c>
      <c r="D23" s="18"/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4"/>
      <c r="N23" s="47">
        <v>0</v>
      </c>
      <c r="O23" s="47">
        <v>0</v>
      </c>
    </row>
    <row r="24" spans="1:15" x14ac:dyDescent="0.25">
      <c r="A24" s="65">
        <v>8</v>
      </c>
      <c r="B24" s="35"/>
      <c r="C24" s="18" t="s">
        <v>34</v>
      </c>
      <c r="D24" s="18"/>
      <c r="E24" s="34">
        <f>SUM(E20:E23)</f>
        <v>1.2157719520000001</v>
      </c>
      <c r="F24" s="34">
        <f>SUM(F20:F23)</f>
        <v>-3.3662999999999998</v>
      </c>
      <c r="G24" s="44">
        <v>0</v>
      </c>
      <c r="H24" s="44">
        <v>0</v>
      </c>
      <c r="I24" s="34">
        <f t="shared" ref="I24" si="1">SUM(I20:I23)</f>
        <v>-4.2258000000000004</v>
      </c>
      <c r="J24" s="34">
        <f>SUM(J20:J23)</f>
        <v>5.2214</v>
      </c>
      <c r="K24" s="34">
        <f>SUM(K20:K23)</f>
        <v>-13.2403</v>
      </c>
      <c r="L24" s="34">
        <f>SUM(L20:L23)</f>
        <v>-14.395228048</v>
      </c>
      <c r="M24" s="34"/>
      <c r="N24" s="34">
        <f>SUM(N20:N23)</f>
        <v>-12.0334</v>
      </c>
      <c r="O24" s="34">
        <f t="shared" ref="O24" si="2">SUM(O20:O23)</f>
        <v>-26.428628048</v>
      </c>
    </row>
    <row r="25" spans="1:15" x14ac:dyDescent="0.25">
      <c r="A25" s="66"/>
      <c r="B25" s="42"/>
      <c r="C25" s="9"/>
      <c r="D25" s="9"/>
      <c r="E25" s="49"/>
      <c r="F25" s="49"/>
      <c r="G25" s="49"/>
      <c r="H25" s="49"/>
      <c r="I25" s="49"/>
      <c r="J25" s="49"/>
      <c r="K25" s="49"/>
      <c r="L25" s="49"/>
      <c r="M25" s="50"/>
      <c r="N25" s="49"/>
      <c r="O25" s="49"/>
    </row>
    <row r="26" spans="1:15" x14ac:dyDescent="0.25">
      <c r="A26" s="65"/>
      <c r="B26" s="35"/>
      <c r="C26" s="33" t="s">
        <v>35</v>
      </c>
      <c r="D26" s="18"/>
      <c r="E26" s="51"/>
      <c r="F26" s="51"/>
      <c r="G26" s="51"/>
      <c r="H26" s="51"/>
      <c r="I26" s="51"/>
      <c r="J26" s="51"/>
      <c r="K26" s="51"/>
      <c r="L26" s="51"/>
      <c r="M26" s="45"/>
      <c r="N26" s="51"/>
      <c r="O26" s="51"/>
    </row>
    <row r="27" spans="1:15" x14ac:dyDescent="0.25">
      <c r="A27" s="65">
        <v>9</v>
      </c>
      <c r="B27" s="35"/>
      <c r="C27" s="18" t="s">
        <v>36</v>
      </c>
      <c r="D27" s="18"/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/>
      <c r="N27" s="44">
        <v>0</v>
      </c>
      <c r="O27" s="44">
        <v>0</v>
      </c>
    </row>
    <row r="28" spans="1:15" x14ac:dyDescent="0.25">
      <c r="A28" s="65">
        <v>10</v>
      </c>
      <c r="B28" s="35"/>
      <c r="C28" s="18" t="s">
        <v>37</v>
      </c>
      <c r="D28" s="18"/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4"/>
      <c r="N28" s="47">
        <v>0</v>
      </c>
      <c r="O28" s="47">
        <v>0</v>
      </c>
    </row>
    <row r="29" spans="1:15" x14ac:dyDescent="0.25">
      <c r="A29" s="65">
        <v>11</v>
      </c>
      <c r="B29" s="35"/>
      <c r="C29" s="18" t="s">
        <v>38</v>
      </c>
      <c r="D29" s="18"/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/>
      <c r="N29" s="44">
        <v>0</v>
      </c>
      <c r="O29" s="44">
        <v>0</v>
      </c>
    </row>
    <row r="30" spans="1:15" x14ac:dyDescent="0.25">
      <c r="A30" s="67"/>
      <c r="B30" s="52"/>
      <c r="C30" s="2"/>
      <c r="D30" s="2"/>
      <c r="E30" s="53"/>
      <c r="F30" s="53"/>
      <c r="G30" s="53"/>
      <c r="H30" s="53"/>
      <c r="I30" s="53"/>
      <c r="J30" s="53"/>
      <c r="K30" s="53"/>
      <c r="L30" s="53"/>
      <c r="M30" s="54"/>
      <c r="N30" s="53"/>
      <c r="O30" s="53"/>
    </row>
    <row r="31" spans="1:15" x14ac:dyDescent="0.25">
      <c r="A31" s="65"/>
      <c r="B31" s="35"/>
      <c r="C31" s="33" t="s">
        <v>39</v>
      </c>
      <c r="D31" s="18"/>
      <c r="E31" s="53"/>
      <c r="F31" s="53"/>
      <c r="G31" s="53"/>
      <c r="H31" s="53"/>
      <c r="I31" s="53"/>
      <c r="J31" s="53"/>
      <c r="K31" s="53"/>
      <c r="L31" s="53"/>
      <c r="M31" s="54"/>
      <c r="N31" s="53"/>
      <c r="O31" s="53"/>
    </row>
    <row r="32" spans="1:15" x14ac:dyDescent="0.25">
      <c r="A32" s="65">
        <v>12</v>
      </c>
      <c r="B32" s="35"/>
      <c r="C32" s="18" t="s">
        <v>40</v>
      </c>
      <c r="D32" s="18"/>
      <c r="E32" s="34">
        <f>-240.3/1000</f>
        <v>-0.24030000000000001</v>
      </c>
      <c r="F32" s="34">
        <f>692.5/1000</f>
        <v>0.6925</v>
      </c>
      <c r="G32" s="44">
        <v>0</v>
      </c>
      <c r="H32" s="44">
        <v>0</v>
      </c>
      <c r="I32" s="44">
        <v>0</v>
      </c>
      <c r="J32" s="34">
        <f>-719.8/1000</f>
        <v>-0.7198</v>
      </c>
      <c r="K32" s="34">
        <f>1800.1/1000</f>
        <v>1.8000999999999998</v>
      </c>
      <c r="L32" s="34">
        <f>1532.5/1000</f>
        <v>1.5325</v>
      </c>
      <c r="M32" s="34"/>
      <c r="N32" s="34">
        <f>3188.9/1000</f>
        <v>3.1889000000000003</v>
      </c>
      <c r="O32" s="34">
        <f>4721.4/1000</f>
        <v>4.7214</v>
      </c>
    </row>
    <row r="33" spans="1:15" ht="16.5" x14ac:dyDescent="0.35">
      <c r="A33" s="65">
        <v>13</v>
      </c>
      <c r="B33" s="35"/>
      <c r="C33" s="18" t="s">
        <v>41</v>
      </c>
      <c r="D33" s="18"/>
      <c r="E33" s="57">
        <f>57.5/1000</f>
        <v>5.7500000000000002E-2</v>
      </c>
      <c r="F33" s="57">
        <f>-123.9/1000</f>
        <v>-0.12390000000000001</v>
      </c>
      <c r="G33" s="47">
        <v>0</v>
      </c>
      <c r="H33" s="47">
        <v>0</v>
      </c>
      <c r="I33" s="57">
        <f>-173.5/1000</f>
        <v>-0.17349999999999999</v>
      </c>
      <c r="J33" s="57">
        <f>55.5/1000</f>
        <v>5.5500000000000001E-2</v>
      </c>
      <c r="K33" s="57">
        <f>-266.6/1000</f>
        <v>-0.2666</v>
      </c>
      <c r="L33" s="57">
        <f>-451/1000</f>
        <v>-0.45100000000000001</v>
      </c>
      <c r="M33" s="48"/>
      <c r="N33" s="47">
        <v>0</v>
      </c>
      <c r="O33" s="57">
        <f>-451/1000</f>
        <v>-0.45100000000000001</v>
      </c>
    </row>
    <row r="34" spans="1:15" x14ac:dyDescent="0.25">
      <c r="A34" s="65">
        <v>14</v>
      </c>
      <c r="B34" s="35"/>
      <c r="C34" s="18" t="s">
        <v>42</v>
      </c>
      <c r="D34" s="18"/>
      <c r="E34" s="34">
        <f>SUM(E32:E33)</f>
        <v>-0.18280000000000002</v>
      </c>
      <c r="F34" s="34">
        <f>SUM(F32:F33)</f>
        <v>0.56859999999999999</v>
      </c>
      <c r="G34" s="44">
        <v>0</v>
      </c>
      <c r="H34" s="44">
        <v>0</v>
      </c>
      <c r="I34" s="34">
        <f t="shared" ref="I34" si="3">SUM(I32:I33)</f>
        <v>-0.17349999999999999</v>
      </c>
      <c r="J34" s="34">
        <f>SUM(J32:J33)</f>
        <v>-0.6643</v>
      </c>
      <c r="K34" s="34">
        <f>SUM(K32:K33)</f>
        <v>1.5334999999999999</v>
      </c>
      <c r="L34" s="34">
        <f>SUM(L32:L33)</f>
        <v>1.0814999999999999</v>
      </c>
      <c r="M34" s="34"/>
      <c r="N34" s="34">
        <f>SUM(N32:N33)</f>
        <v>3.1889000000000003</v>
      </c>
      <c r="O34" s="34">
        <f t="shared" ref="O34" si="4">SUM(O32:O33)</f>
        <v>4.2704000000000004</v>
      </c>
    </row>
    <row r="35" spans="1:15" x14ac:dyDescent="0.25">
      <c r="A35" s="66"/>
      <c r="B35" s="42"/>
      <c r="C35" s="9"/>
      <c r="D35" s="9"/>
      <c r="E35" s="49"/>
      <c r="F35" s="49"/>
      <c r="G35" s="49"/>
      <c r="H35" s="49"/>
      <c r="I35" s="49"/>
      <c r="J35" s="49"/>
      <c r="K35" s="49"/>
      <c r="L35" s="49"/>
      <c r="M35" s="50"/>
      <c r="N35" s="49"/>
      <c r="O35" s="49"/>
    </row>
    <row r="36" spans="1:15" x14ac:dyDescent="0.25">
      <c r="A36" s="67"/>
      <c r="B36" s="52"/>
      <c r="C36" s="56" t="s">
        <v>43</v>
      </c>
      <c r="D36" s="2"/>
      <c r="E36" s="31"/>
      <c r="F36" s="31"/>
      <c r="G36" s="31"/>
      <c r="H36" s="31"/>
      <c r="I36" s="31"/>
      <c r="J36" s="31"/>
      <c r="K36" s="31"/>
      <c r="L36" s="6"/>
      <c r="M36" s="70"/>
      <c r="N36" s="31"/>
      <c r="O36" s="31"/>
    </row>
    <row r="37" spans="1:15" x14ac:dyDescent="0.25">
      <c r="A37" s="65">
        <v>15</v>
      </c>
      <c r="B37" s="35"/>
      <c r="C37" s="2" t="s">
        <v>44</v>
      </c>
      <c r="D37" s="2"/>
      <c r="E37" s="34">
        <f>-778.4/1000</f>
        <v>-0.77839999999999998</v>
      </c>
      <c r="F37" s="34">
        <f>2645.7/1000</f>
        <v>2.6456999999999997</v>
      </c>
      <c r="G37" s="44">
        <v>0</v>
      </c>
      <c r="H37" s="44">
        <v>0</v>
      </c>
      <c r="I37" s="34">
        <f>4359.5/1000</f>
        <v>4.3594999999999997</v>
      </c>
      <c r="J37" s="34">
        <f>-5595.2/1000</f>
        <v>-5.5952000000000002</v>
      </c>
      <c r="K37" s="34">
        <f>13429.4/1000</f>
        <v>13.429399999999999</v>
      </c>
      <c r="L37" s="34">
        <f>SUM(E37:K37)</f>
        <v>14.060999999999998</v>
      </c>
      <c r="M37" s="36"/>
      <c r="N37" s="34">
        <f>12033.4/1000</f>
        <v>12.0334</v>
      </c>
      <c r="O37" s="34">
        <f>26094.4/1000</f>
        <v>26.0944</v>
      </c>
    </row>
    <row r="38" spans="1:15" x14ac:dyDescent="0.25">
      <c r="A38" s="65">
        <v>16</v>
      </c>
      <c r="B38" s="35"/>
      <c r="C38" s="2" t="s">
        <v>45</v>
      </c>
      <c r="D38" s="2"/>
      <c r="E38" s="57">
        <f>-572.1/1000</f>
        <v>-0.57210000000000005</v>
      </c>
      <c r="F38" s="57">
        <f>1944.6/1000</f>
        <v>1.9445999999999999</v>
      </c>
      <c r="G38" s="47">
        <v>0</v>
      </c>
      <c r="H38" s="47">
        <v>0</v>
      </c>
      <c r="I38" s="57">
        <f>3204.2/1000</f>
        <v>3.2041999999999997</v>
      </c>
      <c r="J38" s="57">
        <f>-4112.5/1000</f>
        <v>-4.1124999999999998</v>
      </c>
      <c r="K38" s="57">
        <f>9870.6/1000</f>
        <v>9.8705999999999996</v>
      </c>
      <c r="L38" s="57">
        <f>SUM(E38:K38)</f>
        <v>10.3348</v>
      </c>
      <c r="M38" s="34"/>
      <c r="N38" s="57">
        <f>8844.5/1000</f>
        <v>8.8445</v>
      </c>
      <c r="O38" s="57">
        <f>19179.3/1000</f>
        <v>19.179299999999998</v>
      </c>
    </row>
    <row r="39" spans="1:15" x14ac:dyDescent="0.25">
      <c r="A39" s="65">
        <v>17</v>
      </c>
      <c r="B39" s="35"/>
      <c r="C39" s="2" t="s">
        <v>46</v>
      </c>
      <c r="D39" s="2"/>
      <c r="E39" s="39">
        <f>E38-E37</f>
        <v>0.20629999999999993</v>
      </c>
      <c r="F39" s="39">
        <f>F38-F37</f>
        <v>-0.70109999999999983</v>
      </c>
      <c r="G39" s="44">
        <v>0</v>
      </c>
      <c r="H39" s="44">
        <v>0</v>
      </c>
      <c r="I39" s="39">
        <f>I38-I37</f>
        <v>-1.1553</v>
      </c>
      <c r="J39" s="39">
        <f>J38-J37</f>
        <v>1.4827000000000004</v>
      </c>
      <c r="K39" s="39">
        <f>K38-K37</f>
        <v>-3.5587999999999997</v>
      </c>
      <c r="L39" s="39">
        <f>L38-L37</f>
        <v>-3.7261999999999986</v>
      </c>
      <c r="M39" s="40"/>
      <c r="N39" s="39">
        <f>N38-N37</f>
        <v>-3.1889000000000003</v>
      </c>
      <c r="O39" s="39">
        <f>O38-O37</f>
        <v>-6.9151000000000025</v>
      </c>
    </row>
    <row r="40" spans="1:15" x14ac:dyDescent="0.25">
      <c r="A40" s="66"/>
      <c r="B40" s="42"/>
      <c r="C40" s="9"/>
      <c r="D40" s="9"/>
      <c r="E40" s="58"/>
      <c r="F40" s="58"/>
      <c r="G40" s="58"/>
      <c r="H40" s="58"/>
      <c r="I40" s="58"/>
      <c r="J40" s="58"/>
      <c r="K40" s="58"/>
      <c r="L40" s="58"/>
      <c r="M40" s="59"/>
      <c r="N40" s="58"/>
      <c r="O40" s="58"/>
    </row>
    <row r="41" spans="1:15" x14ac:dyDescent="0.25">
      <c r="A41" s="65">
        <v>18</v>
      </c>
      <c r="B41" s="35"/>
      <c r="C41" s="18" t="s">
        <v>47</v>
      </c>
      <c r="D41" s="18"/>
      <c r="E41" s="39">
        <f>SUM(E39,E34,E29,E24,E17)</f>
        <v>0.77857195199999996</v>
      </c>
      <c r="F41" s="39">
        <f t="shared" ref="F41:O41" si="5">SUM(F39,F34,F29,F24,F17)</f>
        <v>-2.6451999999999996</v>
      </c>
      <c r="G41" s="44">
        <v>0</v>
      </c>
      <c r="H41" s="44">
        <v>0</v>
      </c>
      <c r="I41" s="39">
        <f t="shared" si="5"/>
        <v>-4.3593564000000011</v>
      </c>
      <c r="J41" s="39">
        <f t="shared" si="5"/>
        <v>5.5949004000000002</v>
      </c>
      <c r="K41" s="39">
        <f t="shared" si="5"/>
        <v>-13.429328799999999</v>
      </c>
      <c r="L41" s="39">
        <f t="shared" si="5"/>
        <v>-14.060412848</v>
      </c>
      <c r="M41" s="39"/>
      <c r="N41" s="39">
        <f t="shared" si="5"/>
        <v>-12.0334</v>
      </c>
      <c r="O41" s="39">
        <f t="shared" si="5"/>
        <v>-25.374728048000001</v>
      </c>
    </row>
    <row r="42" spans="1:15" x14ac:dyDescent="0.25">
      <c r="A42" s="65"/>
      <c r="B42" s="35"/>
      <c r="C42" s="70"/>
      <c r="D42" s="70"/>
      <c r="E42" s="39"/>
      <c r="F42" s="39"/>
      <c r="G42" s="39"/>
      <c r="H42" s="39"/>
      <c r="I42" s="39"/>
      <c r="J42" s="39"/>
      <c r="K42" s="39"/>
      <c r="L42" s="39"/>
      <c r="M42" s="40"/>
      <c r="N42" s="39"/>
      <c r="O42" s="39"/>
    </row>
    <row r="43" spans="1:15" x14ac:dyDescent="0.25">
      <c r="A43" s="65"/>
      <c r="B43" s="35"/>
      <c r="C43" s="33" t="s">
        <v>48</v>
      </c>
      <c r="D43" s="18"/>
      <c r="E43" s="39"/>
      <c r="F43" s="39"/>
      <c r="G43" s="39"/>
      <c r="H43" s="39"/>
      <c r="I43" s="39"/>
      <c r="J43" s="39"/>
      <c r="K43" s="39"/>
      <c r="L43" s="39"/>
      <c r="M43" s="40"/>
      <c r="N43" s="39"/>
      <c r="O43" s="39"/>
    </row>
    <row r="44" spans="1:15" x14ac:dyDescent="0.25">
      <c r="A44" s="65">
        <v>19</v>
      </c>
      <c r="B44" s="35"/>
      <c r="C44" s="2" t="s">
        <v>49</v>
      </c>
      <c r="D44" s="2"/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/>
      <c r="N44" s="44">
        <v>0</v>
      </c>
      <c r="O44" s="44">
        <v>0</v>
      </c>
    </row>
    <row r="45" spans="1:15" x14ac:dyDescent="0.25">
      <c r="A45" s="65">
        <v>20</v>
      </c>
      <c r="B45" s="35"/>
      <c r="C45" s="2" t="s">
        <v>50</v>
      </c>
      <c r="D45" s="2"/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/>
      <c r="N45" s="44">
        <v>0</v>
      </c>
      <c r="O45" s="44">
        <v>0</v>
      </c>
    </row>
    <row r="46" spans="1:15" x14ac:dyDescent="0.25">
      <c r="A46" s="65">
        <v>21</v>
      </c>
      <c r="B46" s="35"/>
      <c r="C46" s="2" t="s">
        <v>51</v>
      </c>
      <c r="D46" s="2"/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/>
      <c r="N46" s="44">
        <v>0</v>
      </c>
      <c r="O46" s="44">
        <v>0</v>
      </c>
    </row>
    <row r="47" spans="1:15" x14ac:dyDescent="0.25">
      <c r="A47" s="65">
        <v>22</v>
      </c>
      <c r="B47" s="35"/>
      <c r="C47" s="2" t="s">
        <v>52</v>
      </c>
      <c r="D47" s="2"/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4"/>
      <c r="N47" s="47">
        <v>0</v>
      </c>
      <c r="O47" s="47">
        <v>0</v>
      </c>
    </row>
    <row r="48" spans="1:15" x14ac:dyDescent="0.25">
      <c r="A48" s="65">
        <v>23</v>
      </c>
      <c r="B48" s="35"/>
      <c r="C48" s="2" t="s">
        <v>53</v>
      </c>
      <c r="D48" s="2"/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/>
      <c r="N48" s="44">
        <v>0</v>
      </c>
      <c r="O48" s="44">
        <v>0</v>
      </c>
    </row>
    <row r="49" spans="1:15" x14ac:dyDescent="0.25">
      <c r="A49" s="65"/>
      <c r="B49" s="35"/>
      <c r="C49" s="70"/>
      <c r="D49" s="70"/>
      <c r="E49" s="39"/>
      <c r="F49" s="39"/>
      <c r="G49" s="39"/>
      <c r="H49" s="39"/>
      <c r="I49" s="39"/>
      <c r="J49" s="39"/>
      <c r="K49" s="39"/>
      <c r="L49" s="39"/>
      <c r="M49" s="40"/>
      <c r="N49" s="39"/>
      <c r="O49" s="39"/>
    </row>
    <row r="50" spans="1:15" ht="15.75" thickBot="1" x14ac:dyDescent="0.3">
      <c r="A50" s="65">
        <v>24</v>
      </c>
      <c r="B50" s="35"/>
      <c r="C50" s="2" t="s">
        <v>54</v>
      </c>
      <c r="D50" s="2"/>
      <c r="E50" s="60">
        <f>E48-E41</f>
        <v>-0.77857195199999996</v>
      </c>
      <c r="F50" s="60">
        <f>F48-F41</f>
        <v>2.6451999999999996</v>
      </c>
      <c r="G50" s="74">
        <v>0</v>
      </c>
      <c r="H50" s="74">
        <v>0</v>
      </c>
      <c r="I50" s="60">
        <f t="shared" ref="I50:L50" si="6">I48-I41</f>
        <v>4.3593564000000011</v>
      </c>
      <c r="J50" s="60">
        <f t="shared" si="6"/>
        <v>-5.5949004000000002</v>
      </c>
      <c r="K50" s="60">
        <f t="shared" si="6"/>
        <v>13.429328799999999</v>
      </c>
      <c r="L50" s="60">
        <f t="shared" si="6"/>
        <v>14.060412848</v>
      </c>
      <c r="M50" s="39"/>
      <c r="N50" s="60">
        <f>N48-N41</f>
        <v>12.0334</v>
      </c>
      <c r="O50" s="60">
        <f t="shared" ref="O50" si="7">O48-O41</f>
        <v>25.374728048000001</v>
      </c>
    </row>
    <row r="51" spans="1:15" ht="15.75" thickTop="1" x14ac:dyDescent="0.25">
      <c r="A51" s="52"/>
      <c r="B51" s="52"/>
      <c r="C51" s="68"/>
      <c r="D51" s="68"/>
      <c r="E51" s="69"/>
      <c r="F51" s="69"/>
      <c r="G51" s="69"/>
      <c r="H51" s="69"/>
      <c r="I51" s="39"/>
      <c r="J51" s="39"/>
      <c r="K51" s="39"/>
      <c r="L51" s="31"/>
      <c r="M51" s="40"/>
      <c r="N51" s="39"/>
      <c r="O51" s="39"/>
    </row>
    <row r="52" spans="1:15" x14ac:dyDescent="0.25">
      <c r="K52" s="31"/>
      <c r="M52" s="70"/>
    </row>
    <row r="53" spans="1:15" x14ac:dyDescent="0.25">
      <c r="A53" s="77" t="s">
        <v>65</v>
      </c>
      <c r="B53" s="62"/>
      <c r="C53" s="62"/>
      <c r="D53" s="62"/>
      <c r="E53" s="7"/>
      <c r="F53" s="7"/>
      <c r="G53" s="7"/>
      <c r="H53" s="31"/>
      <c r="I53" s="7"/>
      <c r="J53" s="7"/>
      <c r="K53" s="62"/>
      <c r="L53" s="7"/>
      <c r="M53" s="7"/>
      <c r="N53" s="62"/>
      <c r="O53" s="62"/>
    </row>
    <row r="54" spans="1:15" x14ac:dyDescent="0.25">
      <c r="A54" s="78" t="s">
        <v>66</v>
      </c>
      <c r="B54" s="62"/>
      <c r="C54" s="75" t="s">
        <v>67</v>
      </c>
      <c r="D54" s="62"/>
      <c r="E54" s="7"/>
      <c r="F54" s="7"/>
      <c r="G54" s="7"/>
      <c r="H54" s="31"/>
      <c r="I54" s="7"/>
      <c r="J54" s="7"/>
      <c r="K54" s="62"/>
      <c r="L54" s="7"/>
      <c r="M54" s="7"/>
      <c r="N54" s="62"/>
      <c r="O54" s="62"/>
    </row>
    <row r="55" spans="1:15" x14ac:dyDescent="0.25">
      <c r="A55" s="62"/>
      <c r="B55" s="62"/>
      <c r="C55" s="62"/>
      <c r="D55" s="62"/>
      <c r="E55" s="7"/>
      <c r="F55" s="7"/>
      <c r="G55" s="7"/>
      <c r="H55" s="31"/>
      <c r="I55" s="7"/>
      <c r="J55" s="7"/>
      <c r="K55" s="62"/>
      <c r="L55" s="7"/>
      <c r="M55" s="7"/>
      <c r="N55" s="62"/>
      <c r="O55" s="62"/>
    </row>
  </sheetData>
  <mergeCells count="6">
    <mergeCell ref="A6:O6"/>
    <mergeCell ref="A7:O7"/>
    <mergeCell ref="A8:O8"/>
    <mergeCell ref="E10:F10"/>
    <mergeCell ref="G10:H10"/>
    <mergeCell ref="J10:K10"/>
  </mergeCells>
  <pageMargins left="0.7" right="0.7" top="0.75" bottom="0.75" header="0.3" footer="0.3"/>
  <pageSetup scale="57" orientation="landscape" r:id="rId1"/>
  <headerFooter>
    <oddHeader>&amp;R&amp;"Arial,Regular"&amp;10Filed: 2022-10-31
EB-2022-0200
Exhibit 9
Tab 2
Schedule 1
Attachment 3
Page 4 of 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EBFA-C62D-48D5-9EF6-3267F1375099}">
  <sheetPr>
    <pageSetUpPr fitToPage="1"/>
  </sheetPr>
  <dimension ref="A1:O51"/>
  <sheetViews>
    <sheetView view="pageLayout" zoomScaleNormal="100" workbookViewId="0">
      <selection activeCell="G4" sqref="G4"/>
    </sheetView>
  </sheetViews>
  <sheetFormatPr defaultRowHeight="15" x14ac:dyDescent="0.25"/>
  <cols>
    <col min="1" max="1" width="7" style="62" customWidth="1"/>
    <col min="2" max="2" width="1.140625" style="62" customWidth="1"/>
    <col min="3" max="3" width="38.85546875" style="62" customWidth="1"/>
    <col min="4" max="4" width="1.140625" style="62" customWidth="1"/>
    <col min="5" max="5" width="15.7109375" style="7" customWidth="1"/>
    <col min="6" max="6" width="17.85546875" style="7" customWidth="1"/>
    <col min="7" max="7" width="15.7109375" style="7" customWidth="1"/>
    <col min="8" max="8" width="17.140625" style="7" bestFit="1" customWidth="1"/>
    <col min="9" max="9" width="19" style="7" customWidth="1"/>
    <col min="10" max="10" width="16.7109375" style="7" customWidth="1"/>
    <col min="11" max="11" width="14" style="7" customWidth="1"/>
    <col min="12" max="12" width="12.140625" style="7" customWidth="1"/>
    <col min="13" max="13" width="1.140625" style="62" customWidth="1"/>
    <col min="14" max="14" width="18.7109375" style="7" customWidth="1"/>
    <col min="15" max="15" width="12" style="7" bestFit="1" customWidth="1"/>
  </cols>
  <sheetData>
    <row r="1" spans="1:15" x14ac:dyDescent="0.25">
      <c r="A1" s="1"/>
      <c r="B1" s="1"/>
      <c r="C1" s="2"/>
      <c r="D1" s="2"/>
      <c r="E1" s="3"/>
      <c r="F1" s="3"/>
      <c r="G1" s="3"/>
      <c r="H1" s="3"/>
      <c r="I1" s="3"/>
      <c r="J1" s="3"/>
      <c r="K1" s="4"/>
      <c r="L1" s="4"/>
      <c r="M1" s="5"/>
      <c r="N1" s="4"/>
      <c r="O1" s="8"/>
    </row>
    <row r="2" spans="1:15" x14ac:dyDescent="0.25">
      <c r="A2" s="9"/>
      <c r="B2" s="9"/>
      <c r="C2" s="10"/>
      <c r="D2" s="10"/>
      <c r="E2" s="11"/>
      <c r="F2" s="11"/>
      <c r="G2" s="11"/>
      <c r="H2" s="11"/>
      <c r="I2" s="11"/>
      <c r="J2" s="11"/>
      <c r="K2" s="12"/>
      <c r="L2" s="12"/>
      <c r="M2" s="13"/>
      <c r="N2" s="12"/>
      <c r="O2" s="8"/>
    </row>
    <row r="3" spans="1:15" x14ac:dyDescent="0.25">
      <c r="A3" s="9"/>
      <c r="B3" s="9"/>
      <c r="C3" s="10"/>
      <c r="D3" s="10"/>
      <c r="E3" s="11"/>
      <c r="F3" s="11"/>
      <c r="G3" s="11"/>
      <c r="H3" s="11"/>
      <c r="I3" s="11"/>
      <c r="J3" s="11"/>
      <c r="K3" s="12"/>
      <c r="L3" s="12"/>
      <c r="M3" s="13"/>
      <c r="N3" s="12"/>
      <c r="O3" s="8"/>
    </row>
    <row r="4" spans="1:15" x14ac:dyDescent="0.25">
      <c r="A4" s="9"/>
      <c r="B4" s="9"/>
      <c r="C4" s="10"/>
      <c r="D4" s="10"/>
      <c r="E4" s="11"/>
      <c r="F4" s="11"/>
      <c r="G4" s="11"/>
      <c r="H4" s="11"/>
      <c r="I4" s="11"/>
      <c r="J4" s="11"/>
      <c r="K4" s="12"/>
      <c r="L4" s="12"/>
      <c r="M4" s="13"/>
      <c r="N4" s="12"/>
      <c r="O4" s="8"/>
    </row>
    <row r="5" spans="1:15" x14ac:dyDescent="0.25">
      <c r="A5" s="9"/>
      <c r="B5" s="9"/>
      <c r="C5" s="10"/>
      <c r="D5" s="10"/>
      <c r="E5" s="11"/>
      <c r="F5" s="11"/>
      <c r="G5" s="11"/>
      <c r="H5" s="11"/>
      <c r="I5" s="11"/>
      <c r="J5" s="11"/>
      <c r="K5" s="12"/>
      <c r="L5" s="12"/>
      <c r="M5" s="13"/>
      <c r="N5" s="12"/>
      <c r="O5" s="8"/>
    </row>
    <row r="6" spans="1:1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x14ac:dyDescent="0.25">
      <c r="A7" s="81" t="s">
        <v>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x14ac:dyDescent="0.25">
      <c r="A8" s="81" t="s">
        <v>68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x14ac:dyDescent="0.25">
      <c r="A9" s="2"/>
      <c r="B9" s="2"/>
      <c r="C9" s="31"/>
      <c r="D9" s="31"/>
      <c r="E9" s="79"/>
      <c r="F9" s="79"/>
      <c r="G9" s="79"/>
      <c r="H9" s="79"/>
      <c r="I9" s="80"/>
      <c r="J9" s="80"/>
      <c r="K9" s="79"/>
      <c r="L9" s="79"/>
      <c r="M9" s="79"/>
      <c r="N9" s="79"/>
      <c r="O9" s="22"/>
    </row>
    <row r="10" spans="1:15" x14ac:dyDescent="0.25">
      <c r="A10" s="18"/>
      <c r="B10" s="18"/>
      <c r="C10" s="19"/>
      <c r="D10" s="19"/>
      <c r="E10" s="82" t="s">
        <v>3</v>
      </c>
      <c r="F10" s="82"/>
      <c r="G10" s="82" t="s">
        <v>4</v>
      </c>
      <c r="H10" s="82"/>
      <c r="I10" s="20" t="s">
        <v>5</v>
      </c>
      <c r="J10" s="82" t="s">
        <v>56</v>
      </c>
      <c r="K10" s="82"/>
      <c r="L10" s="21"/>
      <c r="M10" s="21"/>
      <c r="N10" s="20" t="s">
        <v>6</v>
      </c>
      <c r="O10" s="22"/>
    </row>
    <row r="11" spans="1:15" ht="39" x14ac:dyDescent="0.25">
      <c r="A11" s="23" t="s">
        <v>7</v>
      </c>
      <c r="B11" s="24"/>
      <c r="C11" s="25" t="str">
        <f>Sheet1!C11</f>
        <v>Particulars ($ millions)</v>
      </c>
      <c r="D11" s="26"/>
      <c r="E11" s="23" t="s">
        <v>9</v>
      </c>
      <c r="F11" s="23" t="s">
        <v>10</v>
      </c>
      <c r="G11" s="23" t="s">
        <v>11</v>
      </c>
      <c r="H11" s="23" t="s">
        <v>12</v>
      </c>
      <c r="I11" s="23" t="s">
        <v>13</v>
      </c>
      <c r="J11" s="23" t="s">
        <v>57</v>
      </c>
      <c r="K11" s="23" t="s">
        <v>58</v>
      </c>
      <c r="L11" s="23" t="s">
        <v>14</v>
      </c>
      <c r="M11" s="24"/>
      <c r="N11" s="23" t="s">
        <v>15</v>
      </c>
      <c r="O11" s="23" t="s">
        <v>69</v>
      </c>
    </row>
    <row r="12" spans="1:15" x14ac:dyDescent="0.25">
      <c r="A12" s="28"/>
      <c r="B12" s="28"/>
      <c r="C12" s="29"/>
      <c r="D12" s="29"/>
      <c r="E12" s="3" t="s">
        <v>17</v>
      </c>
      <c r="F12" s="30" t="s">
        <v>18</v>
      </c>
      <c r="G12" s="30" t="s">
        <v>19</v>
      </c>
      <c r="H12" s="30" t="s">
        <v>20</v>
      </c>
      <c r="I12" s="30" t="s">
        <v>21</v>
      </c>
      <c r="J12" s="30" t="s">
        <v>22</v>
      </c>
      <c r="K12" s="30" t="s">
        <v>23</v>
      </c>
      <c r="L12" s="30" t="s">
        <v>24</v>
      </c>
      <c r="M12" s="3"/>
      <c r="N12" s="30" t="s">
        <v>59</v>
      </c>
      <c r="O12" s="30" t="s">
        <v>60</v>
      </c>
    </row>
    <row r="13" spans="1:15" x14ac:dyDescent="0.25">
      <c r="A13" s="28"/>
      <c r="B13" s="28"/>
      <c r="C13" s="29"/>
      <c r="D13" s="29"/>
      <c r="E13" s="3"/>
      <c r="F13" s="30"/>
      <c r="G13" s="30"/>
      <c r="H13" s="30"/>
      <c r="I13" s="30"/>
      <c r="J13" s="30"/>
      <c r="K13" s="30"/>
      <c r="L13" s="30"/>
      <c r="M13" s="3"/>
      <c r="N13" s="30"/>
      <c r="O13" s="30"/>
    </row>
    <row r="14" spans="1:15" x14ac:dyDescent="0.25">
      <c r="A14" s="63"/>
      <c r="B14" s="32"/>
      <c r="C14" s="33" t="s">
        <v>25</v>
      </c>
      <c r="D14" s="18"/>
      <c r="E14" s="6"/>
      <c r="F14" s="6"/>
      <c r="G14" s="6"/>
      <c r="H14" s="6"/>
      <c r="I14" s="6"/>
      <c r="J14" s="6"/>
      <c r="K14" s="6"/>
      <c r="L14" s="6"/>
      <c r="M14" s="15"/>
      <c r="N14" s="34"/>
      <c r="O14" s="6"/>
    </row>
    <row r="15" spans="1:15" x14ac:dyDescent="0.25">
      <c r="A15" s="65">
        <v>1</v>
      </c>
      <c r="B15" s="35"/>
      <c r="C15" s="18" t="s">
        <v>26</v>
      </c>
      <c r="D15" s="18"/>
      <c r="E15" s="34">
        <f>-8616/1000</f>
        <v>-8.6159999999999997</v>
      </c>
      <c r="F15" s="34">
        <f>17317.6/1000</f>
        <v>17.317599999999999</v>
      </c>
      <c r="G15" s="34">
        <f>-7003.9/1000</f>
        <v>-7.0038999999999998</v>
      </c>
      <c r="H15" s="34">
        <f>4060.9/1000</f>
        <v>4.0609000000000002</v>
      </c>
      <c r="I15" s="34">
        <f>22689.6/1000</f>
        <v>22.689599999999999</v>
      </c>
      <c r="J15" s="34">
        <f>-11311.6/1000</f>
        <v>-11.3116</v>
      </c>
      <c r="K15" s="34">
        <f>41873.4/1000</f>
        <v>41.873400000000004</v>
      </c>
      <c r="L15" s="34">
        <f>59010/1000</f>
        <v>59.01</v>
      </c>
      <c r="M15" s="36"/>
      <c r="N15" s="34">
        <v>0</v>
      </c>
      <c r="O15" s="34">
        <f>59010/1000</f>
        <v>59.01</v>
      </c>
    </row>
    <row r="16" spans="1:15" x14ac:dyDescent="0.25">
      <c r="A16" s="65">
        <v>2</v>
      </c>
      <c r="B16" s="35"/>
      <c r="C16" s="18" t="s">
        <v>27</v>
      </c>
      <c r="D16" s="18"/>
      <c r="E16" s="37">
        <v>6.2E-2</v>
      </c>
      <c r="F16" s="37">
        <v>7.2999999999999995E-2</v>
      </c>
      <c r="G16" s="37">
        <v>6.2E-2</v>
      </c>
      <c r="H16" s="37">
        <v>7.2999999999999995E-2</v>
      </c>
      <c r="I16" s="37">
        <v>7.2999999999999995E-2</v>
      </c>
      <c r="J16" s="37">
        <v>6.2E-2</v>
      </c>
      <c r="K16" s="37">
        <v>7.2999999999999995E-2</v>
      </c>
      <c r="L16" s="37"/>
      <c r="M16" s="38"/>
      <c r="N16" s="37">
        <v>7.2999999999999995E-2</v>
      </c>
      <c r="O16" s="37"/>
    </row>
    <row r="17" spans="1:15" x14ac:dyDescent="0.25">
      <c r="A17" s="65">
        <v>3</v>
      </c>
      <c r="B17" s="35"/>
      <c r="C17" s="18" t="s">
        <v>28</v>
      </c>
      <c r="D17" s="18"/>
      <c r="E17" s="39">
        <f>-534.2/1000</f>
        <v>-0.53420000000000001</v>
      </c>
      <c r="F17" s="39">
        <f>1264.2/1000</f>
        <v>1.2642</v>
      </c>
      <c r="G17" s="39">
        <f>-434.2/1000</f>
        <v>-0.43419999999999997</v>
      </c>
      <c r="H17" s="39">
        <f>296.4/1000</f>
        <v>0.2964</v>
      </c>
      <c r="I17" s="39">
        <f>1656.3/1000</f>
        <v>1.6562999999999999</v>
      </c>
      <c r="J17" s="39">
        <f>-701.3/1000</f>
        <v>-0.70129999999999992</v>
      </c>
      <c r="K17" s="39">
        <f>3056.8/1000</f>
        <v>3.0568</v>
      </c>
      <c r="L17" s="39">
        <f>4604/1000</f>
        <v>4.6040000000000001</v>
      </c>
      <c r="M17" s="40"/>
      <c r="N17" s="39">
        <v>0</v>
      </c>
      <c r="O17" s="34">
        <f>4604/1000</f>
        <v>4.6040000000000001</v>
      </c>
    </row>
    <row r="18" spans="1:15" x14ac:dyDescent="0.25">
      <c r="A18" s="66"/>
      <c r="B18" s="42"/>
      <c r="C18" s="9"/>
      <c r="D18" s="9"/>
      <c r="E18" s="14"/>
      <c r="F18" s="14"/>
      <c r="G18" s="14"/>
      <c r="H18" s="14"/>
      <c r="I18" s="14"/>
      <c r="J18" s="14"/>
      <c r="K18" s="14"/>
      <c r="L18" s="14"/>
      <c r="M18" s="9"/>
      <c r="N18" s="14"/>
      <c r="O18" s="14"/>
    </row>
    <row r="19" spans="1:15" x14ac:dyDescent="0.25">
      <c r="A19" s="65"/>
      <c r="B19" s="35"/>
      <c r="C19" s="33" t="s">
        <v>29</v>
      </c>
      <c r="D19" s="18"/>
      <c r="E19" s="3"/>
      <c r="F19" s="3"/>
      <c r="G19" s="3"/>
      <c r="H19" s="3"/>
      <c r="I19" s="3"/>
      <c r="J19" s="3"/>
      <c r="K19" s="3"/>
      <c r="L19" s="3"/>
      <c r="M19" s="43"/>
      <c r="N19" s="3"/>
      <c r="O19" s="3"/>
    </row>
    <row r="20" spans="1:15" x14ac:dyDescent="0.25">
      <c r="A20" s="65">
        <v>4</v>
      </c>
      <c r="B20" s="35"/>
      <c r="C20" s="18" t="s">
        <v>30</v>
      </c>
      <c r="D20" s="18"/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/>
      <c r="N20" s="44">
        <v>0</v>
      </c>
      <c r="O20" s="44">
        <v>0</v>
      </c>
    </row>
    <row r="21" spans="1:15" x14ac:dyDescent="0.25">
      <c r="A21" s="65">
        <v>5</v>
      </c>
      <c r="B21" s="35"/>
      <c r="C21" s="46" t="s">
        <v>31</v>
      </c>
      <c r="D21" s="46"/>
      <c r="E21" s="34">
        <f>1049.907/1000</f>
        <v>1.0499069999999999</v>
      </c>
      <c r="F21" s="34">
        <f>-7106.5/1000</f>
        <v>-7.1064999999999996</v>
      </c>
      <c r="G21" s="44">
        <v>0</v>
      </c>
      <c r="H21" s="44">
        <v>0</v>
      </c>
      <c r="I21" s="44">
        <v>0</v>
      </c>
      <c r="J21" s="34">
        <f>8303.48706048537/1000</f>
        <v>8.3034870604853701</v>
      </c>
      <c r="K21" s="34">
        <f>-26648.6044907091/1000</f>
        <v>-26.648604490709101</v>
      </c>
      <c r="L21" s="34">
        <f>-24401.7104302237/1000</f>
        <v>-24.401710430223698</v>
      </c>
      <c r="M21" s="45"/>
      <c r="N21" s="34">
        <f>-2234/1000</f>
        <v>-2.234</v>
      </c>
      <c r="O21" s="34">
        <f>-26635.7104302237/1000</f>
        <v>-26.6357104302237</v>
      </c>
    </row>
    <row r="22" spans="1:15" x14ac:dyDescent="0.25">
      <c r="A22" s="65">
        <v>6</v>
      </c>
      <c r="B22" s="35"/>
      <c r="C22" s="18" t="s">
        <v>32</v>
      </c>
      <c r="D22" s="18"/>
      <c r="E22" s="34">
        <f>-211.9/1000</f>
        <v>-0.21190000000000001</v>
      </c>
      <c r="F22" s="34">
        <f>341.7/1000</f>
        <v>0.3417</v>
      </c>
      <c r="G22" s="34">
        <f>-194.3/1000</f>
        <v>-0.1943</v>
      </c>
      <c r="H22" s="34">
        <f>242.1/1000</f>
        <v>0.24209999999999998</v>
      </c>
      <c r="I22" s="34">
        <f>-9364.6/1000</f>
        <v>-9.3646000000000011</v>
      </c>
      <c r="J22" s="34">
        <f>-227.8/1000</f>
        <v>-0.2278</v>
      </c>
      <c r="K22" s="34">
        <f>1622.7/1000</f>
        <v>1.6227</v>
      </c>
      <c r="L22" s="34">
        <f>-7792.1/1000</f>
        <v>-7.7921000000000005</v>
      </c>
      <c r="M22" s="45"/>
      <c r="N22" s="44">
        <v>0</v>
      </c>
      <c r="O22" s="34">
        <f>-7792.1/1000</f>
        <v>-7.7921000000000005</v>
      </c>
    </row>
    <row r="23" spans="1:15" x14ac:dyDescent="0.25">
      <c r="A23" s="65">
        <v>7</v>
      </c>
      <c r="B23" s="35"/>
      <c r="C23" s="18" t="s">
        <v>33</v>
      </c>
      <c r="D23" s="18"/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4"/>
      <c r="N23" s="47">
        <v>0</v>
      </c>
      <c r="O23" s="47">
        <v>0</v>
      </c>
    </row>
    <row r="24" spans="1:15" x14ac:dyDescent="0.25">
      <c r="A24" s="65">
        <v>8</v>
      </c>
      <c r="B24" s="35"/>
      <c r="C24" s="18" t="s">
        <v>34</v>
      </c>
      <c r="D24" s="18"/>
      <c r="E24" s="34">
        <f>SUM(E20:E23)</f>
        <v>0.83800699999999995</v>
      </c>
      <c r="F24" s="34">
        <f>SUM(F20:F23)</f>
        <v>-6.7647999999999993</v>
      </c>
      <c r="G24" s="34">
        <f t="shared" ref="G24:L24" si="0">SUM(G20:G23)</f>
        <v>-0.1943</v>
      </c>
      <c r="H24" s="34">
        <f t="shared" si="0"/>
        <v>0.24209999999999998</v>
      </c>
      <c r="I24" s="34">
        <f t="shared" si="0"/>
        <v>-9.3646000000000011</v>
      </c>
      <c r="J24" s="34">
        <f t="shared" si="0"/>
        <v>8.0756870604853699</v>
      </c>
      <c r="K24" s="34">
        <f t="shared" si="0"/>
        <v>-25.025904490709102</v>
      </c>
      <c r="L24" s="34">
        <f t="shared" si="0"/>
        <v>-32.193810430223699</v>
      </c>
      <c r="M24" s="34"/>
      <c r="N24" s="34">
        <f>SUM(N20:N23)</f>
        <v>-2.234</v>
      </c>
      <c r="O24" s="34">
        <f>SUM(O20:O23)</f>
        <v>-34.427810430223701</v>
      </c>
    </row>
    <row r="25" spans="1:15" x14ac:dyDescent="0.25">
      <c r="A25" s="66"/>
      <c r="B25" s="42"/>
      <c r="C25" s="9"/>
      <c r="D25" s="9"/>
      <c r="E25" s="49"/>
      <c r="F25" s="49"/>
      <c r="G25" s="49"/>
      <c r="H25" s="49"/>
      <c r="I25" s="49"/>
      <c r="J25" s="49"/>
      <c r="K25" s="49"/>
      <c r="L25" s="49"/>
      <c r="M25" s="50"/>
      <c r="N25" s="49"/>
      <c r="O25" s="49"/>
    </row>
    <row r="26" spans="1:15" x14ac:dyDescent="0.25">
      <c r="A26" s="65"/>
      <c r="B26" s="35"/>
      <c r="C26" s="33" t="s">
        <v>35</v>
      </c>
      <c r="D26" s="18"/>
      <c r="E26" s="51"/>
      <c r="F26" s="51"/>
      <c r="G26" s="51"/>
      <c r="H26" s="51"/>
      <c r="I26" s="51"/>
      <c r="J26" s="51"/>
      <c r="K26" s="51"/>
      <c r="L26" s="51"/>
      <c r="M26" s="45"/>
      <c r="N26" s="51"/>
      <c r="O26" s="51"/>
    </row>
    <row r="27" spans="1:15" x14ac:dyDescent="0.25">
      <c r="A27" s="65">
        <v>9</v>
      </c>
      <c r="B27" s="35"/>
      <c r="C27" s="18" t="s">
        <v>36</v>
      </c>
      <c r="D27" s="18"/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/>
      <c r="N27" s="44">
        <v>0</v>
      </c>
      <c r="O27" s="44">
        <v>0</v>
      </c>
    </row>
    <row r="28" spans="1:15" x14ac:dyDescent="0.25">
      <c r="A28" s="65">
        <v>10</v>
      </c>
      <c r="B28" s="35"/>
      <c r="C28" s="18" t="s">
        <v>37</v>
      </c>
      <c r="D28" s="18"/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4"/>
      <c r="N28" s="47">
        <v>0</v>
      </c>
      <c r="O28" s="47">
        <v>0</v>
      </c>
    </row>
    <row r="29" spans="1:15" x14ac:dyDescent="0.25">
      <c r="A29" s="65">
        <v>11</v>
      </c>
      <c r="B29" s="35"/>
      <c r="C29" s="18" t="s">
        <v>38</v>
      </c>
      <c r="D29" s="18"/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/>
      <c r="N29" s="44">
        <v>0</v>
      </c>
      <c r="O29" s="44">
        <v>0</v>
      </c>
    </row>
    <row r="30" spans="1:15" x14ac:dyDescent="0.25">
      <c r="A30" s="67"/>
      <c r="B30" s="52"/>
      <c r="C30" s="2"/>
      <c r="D30" s="2"/>
      <c r="E30" s="53"/>
      <c r="F30" s="53"/>
      <c r="G30" s="53"/>
      <c r="H30" s="53"/>
      <c r="I30" s="53"/>
      <c r="J30" s="53"/>
      <c r="K30" s="53"/>
      <c r="L30" s="53"/>
      <c r="M30" s="54"/>
      <c r="N30" s="53"/>
      <c r="O30" s="53"/>
    </row>
    <row r="31" spans="1:15" x14ac:dyDescent="0.25">
      <c r="A31" s="65"/>
      <c r="B31" s="35"/>
      <c r="C31" s="33" t="s">
        <v>39</v>
      </c>
      <c r="D31" s="18"/>
      <c r="E31" s="53"/>
      <c r="F31" s="53"/>
      <c r="G31" s="53"/>
      <c r="H31" s="53"/>
      <c r="I31" s="53"/>
      <c r="J31" s="53"/>
      <c r="K31" s="53"/>
      <c r="L31" s="53"/>
      <c r="M31" s="54"/>
      <c r="N31" s="53"/>
      <c r="O31" s="53"/>
    </row>
    <row r="32" spans="1:15" x14ac:dyDescent="0.25">
      <c r="A32" s="65">
        <v>12</v>
      </c>
      <c r="B32" s="35"/>
      <c r="C32" s="18" t="s">
        <v>40</v>
      </c>
      <c r="D32" s="18"/>
      <c r="E32" s="34">
        <f>-133.9/1000</f>
        <v>-0.13390000000000002</v>
      </c>
      <c r="F32" s="34">
        <f>1485.8/1000</f>
        <v>1.4858</v>
      </c>
      <c r="G32" s="34">
        <f>575.2/1000</f>
        <v>0.57520000000000004</v>
      </c>
      <c r="H32" s="34">
        <f>-361.6/1000</f>
        <v>-0.36160000000000003</v>
      </c>
      <c r="I32" s="44">
        <v>0</v>
      </c>
      <c r="J32" s="34">
        <f>-1212.6/1000</f>
        <v>-1.2125999999999999</v>
      </c>
      <c r="K32" s="34">
        <f>3395.2/1000</f>
        <v>3.3952</v>
      </c>
      <c r="L32" s="34">
        <f>3748.1/1000</f>
        <v>3.7481</v>
      </c>
      <c r="M32" s="34"/>
      <c r="N32" s="34">
        <f>592.01/1000</f>
        <v>0.59201000000000004</v>
      </c>
      <c r="O32" s="34">
        <f>4340.11/1000</f>
        <v>4.3401099999999992</v>
      </c>
    </row>
    <row r="33" spans="1:15" ht="16.5" x14ac:dyDescent="0.35">
      <c r="A33" s="65">
        <v>13</v>
      </c>
      <c r="B33" s="35"/>
      <c r="C33" s="18" t="s">
        <v>41</v>
      </c>
      <c r="D33" s="18"/>
      <c r="E33" s="57">
        <f>66.7/1000</f>
        <v>6.6700000000000009E-2</v>
      </c>
      <c r="F33" s="57">
        <f>-183.6/1000</f>
        <v>-0.18359999999999999</v>
      </c>
      <c r="G33" s="57">
        <f>54.2/1000</f>
        <v>5.4200000000000005E-2</v>
      </c>
      <c r="H33" s="57">
        <f>-43/1000</f>
        <v>-4.2999999999999997E-2</v>
      </c>
      <c r="I33" s="57">
        <f>-240.5/1000</f>
        <v>-0.24049999999999999</v>
      </c>
      <c r="J33" s="57">
        <f>87.5/1000</f>
        <v>8.7499999999999994E-2</v>
      </c>
      <c r="K33" s="57">
        <f>-443.8/1000</f>
        <v>-0.44380000000000003</v>
      </c>
      <c r="L33" s="57">
        <f>-702.5/1000</f>
        <v>-0.70250000000000001</v>
      </c>
      <c r="M33" s="48"/>
      <c r="N33" s="47">
        <v>0</v>
      </c>
      <c r="O33" s="57">
        <f>-702.5/1000</f>
        <v>-0.70250000000000001</v>
      </c>
    </row>
    <row r="34" spans="1:15" x14ac:dyDescent="0.25">
      <c r="A34" s="65">
        <v>14</v>
      </c>
      <c r="B34" s="35"/>
      <c r="C34" s="18" t="s">
        <v>42</v>
      </c>
      <c r="D34" s="18"/>
      <c r="E34" s="34">
        <f t="shared" ref="E34:L34" si="1">SUM(E32:E33)</f>
        <v>-6.720000000000001E-2</v>
      </c>
      <c r="F34" s="34">
        <f t="shared" si="1"/>
        <v>1.3022</v>
      </c>
      <c r="G34" s="34">
        <f t="shared" si="1"/>
        <v>0.62940000000000007</v>
      </c>
      <c r="H34" s="34">
        <f t="shared" si="1"/>
        <v>-0.40460000000000002</v>
      </c>
      <c r="I34" s="34">
        <f t="shared" si="1"/>
        <v>-0.24049999999999999</v>
      </c>
      <c r="J34" s="34">
        <f t="shared" si="1"/>
        <v>-1.1251</v>
      </c>
      <c r="K34" s="34">
        <f t="shared" si="1"/>
        <v>2.9514</v>
      </c>
      <c r="L34" s="34">
        <f t="shared" si="1"/>
        <v>3.0455999999999999</v>
      </c>
      <c r="M34" s="34"/>
      <c r="N34" s="34">
        <f>SUM(N32:N33)</f>
        <v>0.59201000000000004</v>
      </c>
      <c r="O34" s="34">
        <f>SUM(O32:O33)</f>
        <v>3.6376099999999991</v>
      </c>
    </row>
    <row r="35" spans="1:15" x14ac:dyDescent="0.25">
      <c r="A35" s="66"/>
      <c r="B35" s="42"/>
      <c r="C35" s="9"/>
      <c r="D35" s="9"/>
      <c r="E35" s="49"/>
      <c r="F35" s="49"/>
      <c r="G35" s="49"/>
      <c r="H35" s="49"/>
      <c r="I35" s="49"/>
      <c r="J35" s="49"/>
      <c r="K35" s="49"/>
      <c r="L35" s="49"/>
      <c r="M35" s="50"/>
      <c r="N35" s="49"/>
      <c r="O35" s="49"/>
    </row>
    <row r="36" spans="1:15" x14ac:dyDescent="0.25">
      <c r="A36" s="67"/>
      <c r="B36" s="52"/>
      <c r="C36" s="56" t="s">
        <v>43</v>
      </c>
      <c r="D36" s="2"/>
      <c r="E36" s="6"/>
      <c r="F36" s="6"/>
      <c r="G36" s="6"/>
      <c r="H36" s="6"/>
      <c r="I36" s="6"/>
      <c r="J36" s="6"/>
      <c r="K36" s="6"/>
      <c r="L36" s="6"/>
      <c r="M36" s="15"/>
      <c r="N36" s="6"/>
      <c r="O36" s="6"/>
    </row>
    <row r="37" spans="1:15" x14ac:dyDescent="0.25">
      <c r="A37" s="65">
        <v>15</v>
      </c>
      <c r="B37" s="35"/>
      <c r="C37" s="2" t="s">
        <v>44</v>
      </c>
      <c r="D37" s="2"/>
      <c r="E37" s="34">
        <f>-322.3/1000</f>
        <v>-0.32230000000000003</v>
      </c>
      <c r="F37" s="34">
        <f>5711.3/1000</f>
        <v>5.7113000000000005</v>
      </c>
      <c r="G37" s="34">
        <f>-1/1000</f>
        <v>-1E-3</v>
      </c>
      <c r="H37" s="34">
        <f>-182.3/1000</f>
        <v>-0.18230000000000002</v>
      </c>
      <c r="I37" s="34">
        <f>10813.9/1000</f>
        <v>10.8139</v>
      </c>
      <c r="J37" s="34">
        <f>-8503/1000</f>
        <v>-8.5030000000000001</v>
      </c>
      <c r="K37" s="34">
        <f>25876.1/1000</f>
        <v>25.876099999999997</v>
      </c>
      <c r="L37" s="34">
        <f>33392.7/1000</f>
        <v>33.392699999999998</v>
      </c>
      <c r="M37" s="36"/>
      <c r="N37" s="34">
        <f>2234/1000</f>
        <v>2.234</v>
      </c>
      <c r="O37" s="34">
        <f>35626.7/1000</f>
        <v>35.6267</v>
      </c>
    </row>
    <row r="38" spans="1:15" x14ac:dyDescent="0.25">
      <c r="A38" s="65">
        <v>16</v>
      </c>
      <c r="B38" s="35"/>
      <c r="C38" s="2" t="s">
        <v>45</v>
      </c>
      <c r="D38" s="2"/>
      <c r="E38" s="57">
        <f>-236.9/1000</f>
        <v>-0.2369</v>
      </c>
      <c r="F38" s="57">
        <f>4197.8/1000</f>
        <v>4.1978</v>
      </c>
      <c r="G38" s="57">
        <f>-0.7/1000</f>
        <v>-6.9999999999999999E-4</v>
      </c>
      <c r="H38" s="57">
        <f>-134/1000</f>
        <v>-0.13400000000000001</v>
      </c>
      <c r="I38" s="57">
        <f>7948.2/1000</f>
        <v>7.9481999999999999</v>
      </c>
      <c r="J38" s="57">
        <f>-6249.7/1000</f>
        <v>-6.2496999999999998</v>
      </c>
      <c r="K38" s="57">
        <f>19018.9/1000</f>
        <v>19.018900000000002</v>
      </c>
      <c r="L38" s="57">
        <f>24543.6/1000</f>
        <v>24.543599999999998</v>
      </c>
      <c r="M38" s="34"/>
      <c r="N38" s="57">
        <f>1642/1000</f>
        <v>1.6419999999999999</v>
      </c>
      <c r="O38" s="57">
        <f>26185.6/1000</f>
        <v>26.185599999999997</v>
      </c>
    </row>
    <row r="39" spans="1:15" x14ac:dyDescent="0.25">
      <c r="A39" s="65">
        <v>17</v>
      </c>
      <c r="B39" s="35"/>
      <c r="C39" s="2" t="s">
        <v>46</v>
      </c>
      <c r="D39" s="2"/>
      <c r="E39" s="39">
        <f t="shared" ref="E39:L39" si="2">E38-E37</f>
        <v>8.5400000000000031E-2</v>
      </c>
      <c r="F39" s="39">
        <f t="shared" si="2"/>
        <v>-1.5135000000000005</v>
      </c>
      <c r="G39" s="39">
        <f t="shared" si="2"/>
        <v>3.0000000000000003E-4</v>
      </c>
      <c r="H39" s="39">
        <f t="shared" si="2"/>
        <v>4.830000000000001E-2</v>
      </c>
      <c r="I39" s="39">
        <f t="shared" si="2"/>
        <v>-2.8657000000000004</v>
      </c>
      <c r="J39" s="39">
        <f t="shared" si="2"/>
        <v>2.2533000000000003</v>
      </c>
      <c r="K39" s="39">
        <f t="shared" si="2"/>
        <v>-6.8571999999999953</v>
      </c>
      <c r="L39" s="39">
        <f t="shared" si="2"/>
        <v>-8.8491</v>
      </c>
      <c r="M39" s="40"/>
      <c r="N39" s="39">
        <f>N38-N37</f>
        <v>-0.59200000000000008</v>
      </c>
      <c r="O39" s="39">
        <f>O38-O37</f>
        <v>-9.4411000000000023</v>
      </c>
    </row>
    <row r="40" spans="1:15" x14ac:dyDescent="0.25">
      <c r="A40" s="66"/>
      <c r="B40" s="42"/>
      <c r="C40" s="9"/>
      <c r="D40" s="9"/>
      <c r="E40" s="58"/>
      <c r="F40" s="58"/>
      <c r="G40" s="58"/>
      <c r="H40" s="58"/>
      <c r="I40" s="58"/>
      <c r="J40" s="58"/>
      <c r="K40" s="58"/>
      <c r="L40" s="58"/>
      <c r="M40" s="59"/>
      <c r="N40" s="58"/>
      <c r="O40" s="58"/>
    </row>
    <row r="41" spans="1:15" x14ac:dyDescent="0.25">
      <c r="A41" s="65">
        <v>18</v>
      </c>
      <c r="B41" s="35"/>
      <c r="C41" s="18" t="s">
        <v>47</v>
      </c>
      <c r="D41" s="18"/>
      <c r="E41" s="39">
        <f t="shared" ref="E41:L41" si="3">SUM(E39,E34,E24,E17)</f>
        <v>0.32200699999999993</v>
      </c>
      <c r="F41" s="39">
        <f t="shared" si="3"/>
        <v>-5.7119</v>
      </c>
      <c r="G41" s="39">
        <f t="shared" si="3"/>
        <v>1.2000000000000344E-3</v>
      </c>
      <c r="H41" s="39">
        <f t="shared" si="3"/>
        <v>0.18219999999999997</v>
      </c>
      <c r="I41" s="39">
        <f t="shared" si="3"/>
        <v>-10.814500000000001</v>
      </c>
      <c r="J41" s="39">
        <f t="shared" si="3"/>
        <v>8.5025870604853697</v>
      </c>
      <c r="K41" s="39">
        <f t="shared" si="3"/>
        <v>-25.874904490709099</v>
      </c>
      <c r="L41" s="39">
        <f t="shared" si="3"/>
        <v>-33.3933104302237</v>
      </c>
      <c r="M41" s="39"/>
      <c r="N41" s="39">
        <f>SUM(N39,N34,N24,N17)</f>
        <v>-2.2339899999999999</v>
      </c>
      <c r="O41" s="39">
        <f>SUM(O39,O34,O24,O17)</f>
        <v>-35.627300430223706</v>
      </c>
    </row>
    <row r="42" spans="1:15" x14ac:dyDescent="0.25">
      <c r="A42" s="65"/>
      <c r="B42" s="35"/>
      <c r="C42" s="15"/>
      <c r="D42" s="15"/>
      <c r="E42" s="39"/>
      <c r="F42" s="39"/>
      <c r="G42" s="39"/>
      <c r="H42" s="39"/>
      <c r="I42" s="39"/>
      <c r="J42" s="39"/>
      <c r="K42" s="39"/>
      <c r="L42" s="39"/>
      <c r="M42" s="40"/>
      <c r="N42" s="39"/>
      <c r="O42" s="39"/>
    </row>
    <row r="43" spans="1:15" x14ac:dyDescent="0.25">
      <c r="A43" s="65"/>
      <c r="B43" s="35"/>
      <c r="C43" s="33" t="s">
        <v>48</v>
      </c>
      <c r="D43" s="18"/>
      <c r="E43" s="39"/>
      <c r="F43" s="39"/>
      <c r="G43" s="39"/>
      <c r="H43" s="39"/>
      <c r="I43" s="39"/>
      <c r="J43" s="39"/>
      <c r="K43" s="39"/>
      <c r="L43" s="39"/>
      <c r="M43" s="40"/>
      <c r="N43" s="39"/>
      <c r="O43" s="39"/>
    </row>
    <row r="44" spans="1:15" x14ac:dyDescent="0.25">
      <c r="A44" s="65">
        <v>19</v>
      </c>
      <c r="B44" s="35"/>
      <c r="C44" s="2" t="s">
        <v>49</v>
      </c>
      <c r="D44" s="2"/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/>
      <c r="N44" s="44">
        <v>0</v>
      </c>
      <c r="O44" s="44">
        <v>0</v>
      </c>
    </row>
    <row r="45" spans="1:15" x14ac:dyDescent="0.25">
      <c r="A45" s="65">
        <v>20</v>
      </c>
      <c r="B45" s="35"/>
      <c r="C45" s="2" t="s">
        <v>50</v>
      </c>
      <c r="D45" s="2"/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/>
      <c r="N45" s="44">
        <v>0</v>
      </c>
      <c r="O45" s="44">
        <v>0</v>
      </c>
    </row>
    <row r="46" spans="1:15" x14ac:dyDescent="0.25">
      <c r="A46" s="65">
        <v>21</v>
      </c>
      <c r="B46" s="35"/>
      <c r="C46" s="2" t="s">
        <v>51</v>
      </c>
      <c r="D46" s="2"/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/>
      <c r="N46" s="44">
        <v>0</v>
      </c>
      <c r="O46" s="44">
        <v>0</v>
      </c>
    </row>
    <row r="47" spans="1:15" x14ac:dyDescent="0.25">
      <c r="A47" s="65">
        <v>22</v>
      </c>
      <c r="B47" s="35"/>
      <c r="C47" s="2" t="s">
        <v>52</v>
      </c>
      <c r="D47" s="2"/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4"/>
      <c r="N47" s="47">
        <v>0</v>
      </c>
      <c r="O47" s="47">
        <v>0</v>
      </c>
    </row>
    <row r="48" spans="1:15" x14ac:dyDescent="0.25">
      <c r="A48" s="65">
        <v>23</v>
      </c>
      <c r="B48" s="35"/>
      <c r="C48" s="2" t="s">
        <v>53</v>
      </c>
      <c r="D48" s="2"/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/>
      <c r="N48" s="44">
        <v>0</v>
      </c>
      <c r="O48" s="44">
        <v>0</v>
      </c>
    </row>
    <row r="49" spans="1:15" x14ac:dyDescent="0.25">
      <c r="A49" s="65"/>
      <c r="B49" s="35"/>
      <c r="C49" s="15"/>
      <c r="D49" s="15"/>
      <c r="E49" s="39"/>
      <c r="F49" s="39"/>
      <c r="G49" s="39"/>
      <c r="H49" s="39"/>
      <c r="I49" s="39"/>
      <c r="J49" s="39"/>
      <c r="K49" s="39"/>
      <c r="L49" s="39"/>
      <c r="M49" s="40"/>
      <c r="N49" s="39"/>
      <c r="O49" s="39"/>
    </row>
    <row r="50" spans="1:15" ht="15.75" thickBot="1" x14ac:dyDescent="0.3">
      <c r="A50" s="65">
        <v>24</v>
      </c>
      <c r="B50" s="35"/>
      <c r="C50" s="2" t="s">
        <v>54</v>
      </c>
      <c r="D50" s="2"/>
      <c r="E50" s="60">
        <f>E48-E41</f>
        <v>-0.32200699999999993</v>
      </c>
      <c r="F50" s="60">
        <f t="shared" ref="F50:L50" si="4">F48-F41</f>
        <v>5.7119</v>
      </c>
      <c r="G50" s="60">
        <f t="shared" si="4"/>
        <v>-1.2000000000000344E-3</v>
      </c>
      <c r="H50" s="60">
        <f t="shared" si="4"/>
        <v>-0.18219999999999997</v>
      </c>
      <c r="I50" s="60">
        <f t="shared" si="4"/>
        <v>10.814500000000001</v>
      </c>
      <c r="J50" s="60">
        <f t="shared" si="4"/>
        <v>-8.5025870604853697</v>
      </c>
      <c r="K50" s="60">
        <f t="shared" si="4"/>
        <v>25.874904490709099</v>
      </c>
      <c r="L50" s="60">
        <f t="shared" si="4"/>
        <v>33.3933104302237</v>
      </c>
      <c r="M50" s="40"/>
      <c r="N50" s="60">
        <f>N48-N41</f>
        <v>2.2339899999999999</v>
      </c>
      <c r="O50" s="60">
        <f>O48-O41</f>
        <v>35.627300430223706</v>
      </c>
    </row>
    <row r="51" spans="1:15" ht="15.75" thickTop="1" x14ac:dyDescent="0.25">
      <c r="A51" s="63"/>
      <c r="B51" s="52"/>
      <c r="C51" s="68"/>
      <c r="D51" s="68"/>
      <c r="E51" s="69"/>
      <c r="F51" s="69"/>
      <c r="G51" s="69"/>
      <c r="H51" s="69"/>
      <c r="I51" s="39"/>
      <c r="J51" s="39"/>
      <c r="K51" s="39"/>
      <c r="L51" s="39"/>
      <c r="M51" s="40"/>
      <c r="N51" s="39"/>
      <c r="O51" s="39"/>
    </row>
  </sheetData>
  <mergeCells count="6">
    <mergeCell ref="A6:O6"/>
    <mergeCell ref="A7:O7"/>
    <mergeCell ref="A8:O8"/>
    <mergeCell ref="E10:F10"/>
    <mergeCell ref="G10:H10"/>
    <mergeCell ref="J10:K10"/>
  </mergeCells>
  <pageMargins left="0.7" right="0.7" top="0.75" bottom="0.75" header="0.3" footer="0.3"/>
  <pageSetup scale="59" orientation="landscape" r:id="rId1"/>
  <headerFooter>
    <oddHeader>&amp;R&amp;"Arial,Regular"&amp;10Filed: 2022-10-31
EB-2022-0200
Exhibit 9
Tab 2
Schedule 1
Attachment 3
Page 5 of 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2022-11-01T21:01:46Z</dcterms:created>
  <dcterms:modified xsi:type="dcterms:W3CDTF">2022-11-01T21:24:16Z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2022-11-01T21:01:51Z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b86b5538-d3ab-425a-987f-8481cae1b213</vt:lpwstr>
  </property>
  <property fmtid="{D5CDD505-2E9C-101B-9397-08002B2CF9AE}" pid="8" name="MSIP_Label_67694783-de61-499c-97f7-53d7c605e6e9_ContentBits">
    <vt:lpwstr>0</vt:lpwstr>
  </property>
</Properties>
</file>