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filterPrivacy="1" defaultThemeVersion="166925"/>
  <xr:revisionPtr revIDLastSave="2" documentId="6_{BE2B7C0D-4406-4D79-8DD1-F85EC0AB1C8D}" xr6:coauthVersionLast="47" xr6:coauthVersionMax="47" xr10:uidLastSave="{778498B2-8CAE-44BF-9AD8-A8117E97A383}"/>
  <bookViews>
    <workbookView xWindow="8805" yWindow="2940" windowWidth="19185" windowHeight="10380" xr2:uid="{0E304D2F-8CA1-43EF-9CCC-96B265B21AB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30" i="1" l="1"/>
  <c r="S24" i="1"/>
  <c r="Q24" i="1"/>
  <c r="S22" i="1"/>
  <c r="Q22" i="1"/>
  <c r="M22" i="1"/>
  <c r="K22" i="1"/>
  <c r="I22" i="1"/>
  <c r="E22" i="1"/>
  <c r="S21" i="1"/>
  <c r="Q21" i="1"/>
  <c r="M21" i="1"/>
  <c r="I21" i="1"/>
  <c r="K21" i="1" s="1"/>
  <c r="E21" i="1"/>
  <c r="M20" i="1"/>
  <c r="I20" i="1"/>
  <c r="K20" i="1" s="1"/>
  <c r="E20" i="1"/>
  <c r="S19" i="1"/>
  <c r="Q19" i="1"/>
  <c r="M19" i="1"/>
  <c r="K19" i="1"/>
  <c r="I19" i="1"/>
  <c r="E19" i="1"/>
  <c r="S15" i="1"/>
  <c r="Q15" i="1"/>
  <c r="M15" i="1"/>
  <c r="I15" i="1"/>
  <c r="K15" i="1" s="1"/>
  <c r="E15" i="1"/>
  <c r="S14" i="1"/>
  <c r="Q14" i="1"/>
  <c r="M14" i="1"/>
  <c r="M24" i="1" s="1"/>
  <c r="M26" i="1" s="1"/>
  <c r="I14" i="1"/>
  <c r="I24" i="1" s="1"/>
  <c r="E14" i="1"/>
  <c r="E24" i="1" s="1"/>
  <c r="Q26" i="1" l="1"/>
  <c r="K14" i="1"/>
  <c r="K24" i="1" s="1"/>
  <c r="S26" i="1" s="1"/>
  <c r="S28" i="1" l="1"/>
  <c r="S32" i="1" s="1"/>
</calcChain>
</file>

<file path=xl/sharedStrings.xml><?xml version="1.0" encoding="utf-8"?>
<sst xmlns="http://schemas.openxmlformats.org/spreadsheetml/2006/main" count="54" uniqueCount="50">
  <si>
    <t xml:space="preserve">OEB-Approved </t>
  </si>
  <si>
    <t xml:space="preserve">Actual/Forecast </t>
  </si>
  <si>
    <t xml:space="preserve">Line 
No. </t>
  </si>
  <si>
    <t>Particulars ($ millions)</t>
  </si>
  <si>
    <t xml:space="preserve"> ICM Capital</t>
  </si>
  <si>
    <t xml:space="preserve"> 
In-Service Date</t>
  </si>
  <si>
    <t xml:space="preserve"> Total Revenue Requirement</t>
  </si>
  <si>
    <t xml:space="preserve"> Revenue Collection</t>
  </si>
  <si>
    <t xml:space="preserve"> ICM Capital </t>
  </si>
  <si>
    <t xml:space="preserve"> In-Service Date</t>
  </si>
  <si>
    <t>Total Revenue Requirement</t>
  </si>
  <si>
    <t>Total Revenue Collected</t>
  </si>
  <si>
    <t>(a)</t>
  </si>
  <si>
    <t>(b)</t>
  </si>
  <si>
    <t>(c)</t>
  </si>
  <si>
    <t>(d)</t>
  </si>
  <si>
    <t>(e)</t>
  </si>
  <si>
    <t>(f)</t>
  </si>
  <si>
    <t>(g)</t>
  </si>
  <si>
    <t>(h)</t>
  </si>
  <si>
    <t xml:space="preserve">ICMDA - EGD Rate Zone </t>
  </si>
  <si>
    <t>NPS 20 Don River Replacement Project</t>
  </si>
  <si>
    <t>April 2020</t>
  </si>
  <si>
    <t>NPS 20 Replacement Cherry to Bathurst Project</t>
  </si>
  <si>
    <t>Oct 2022</t>
  </si>
  <si>
    <t>N/A</t>
  </si>
  <si>
    <t>ICMDA - Union Rate Zones</t>
  </si>
  <si>
    <t>Kingsville Transmission Reinforcement Project</t>
  </si>
  <si>
    <t>Nov 2019</t>
  </si>
  <si>
    <t>Oct 2019</t>
  </si>
  <si>
    <t>Stratford Reinforcement Project</t>
  </si>
  <si>
    <t>Sep 2019</t>
  </si>
  <si>
    <t>-</t>
  </si>
  <si>
    <t>Windsor Line Reinforcement Project</t>
  </si>
  <si>
    <t>Nov 2020</t>
  </si>
  <si>
    <t>Sep 2021</t>
  </si>
  <si>
    <t>London Lines Replacement Project</t>
  </si>
  <si>
    <t>Dec 2021</t>
  </si>
  <si>
    <t>Total Cumulative OEB-Approved and Actual/Forecast</t>
  </si>
  <si>
    <t>(j)</t>
  </si>
  <si>
    <t>(i)</t>
  </si>
  <si>
    <t xml:space="preserve">Variance of Actual/Forecast to OEB-Approved </t>
  </si>
  <si>
    <t>(i)-(j)</t>
  </si>
  <si>
    <t xml:space="preserve">(k) </t>
  </si>
  <si>
    <t xml:space="preserve">Total Cumulative ICMDA Balance </t>
  </si>
  <si>
    <t>(k)+(l)</t>
  </si>
  <si>
    <t>Cumulative Interest to December 31, 2023</t>
  </si>
  <si>
    <t>Total Balance Proposed for Clearance</t>
  </si>
  <si>
    <t>Incremental Capital Module Deferral Accounts</t>
  </si>
  <si>
    <t>OEB-Approved Compared to Actual/Forecast by Project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</si>
</sst>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_);\(#,##0.0\)"/>
    <numFmt numFmtId="165" formatCode="#,##0.0"/>
  </numFmts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rgb="FFFF0000"/>
      <name val="Arial"/>
      <family val="2"/>
    </font>
    <font>
      <u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 vertic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/>
    </xf>
    <xf numFmtId="0" fontId="1" fillId="0" borderId="0" xfId="0" quotePrefix="1" applyFont="1" applyAlignment="1">
      <alignment horizontal="center" vertical="center"/>
    </xf>
    <xf numFmtId="0" fontId="1" fillId="0" borderId="0" xfId="0" quotePrefix="1" applyFont="1" applyAlignment="1">
      <alignment horizontal="center"/>
    </xf>
    <xf numFmtId="164" fontId="1" fillId="0" borderId="0" xfId="0" applyNumberFormat="1" applyFont="1" applyAlignment="1">
      <alignment horizontal="center" vertical="center"/>
    </xf>
    <xf numFmtId="17" fontId="1" fillId="0" borderId="0" xfId="0" quotePrefix="1" applyNumberFormat="1" applyFont="1" applyAlignment="1">
      <alignment horizontal="center"/>
    </xf>
    <xf numFmtId="165" fontId="1" fillId="0" borderId="0" xfId="0" applyNumberFormat="1" applyFont="1" applyAlignment="1">
      <alignment horizontal="center" vertical="center"/>
    </xf>
    <xf numFmtId="37" fontId="1" fillId="0" borderId="0" xfId="0" applyNumberFormat="1" applyFont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right"/>
    </xf>
    <xf numFmtId="164" fontId="1" fillId="0" borderId="2" xfId="0" applyNumberFormat="1" applyFont="1" applyBorder="1" applyAlignment="1">
      <alignment horizontal="center" vertical="center"/>
    </xf>
    <xf numFmtId="164" fontId="1" fillId="0" borderId="0" xfId="0" quotePrefix="1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164" fontId="1" fillId="0" borderId="3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64" fontId="1" fillId="0" borderId="2" xfId="0" applyNumberFormat="1" applyFont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0" fontId="1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C33480-B7DC-436C-BAB6-0E5BB1A3F75E}">
  <sheetPr>
    <pageSetUpPr fitToPage="1"/>
  </sheetPr>
  <dimension ref="A1:T38"/>
  <sheetViews>
    <sheetView tabSelected="1" view="pageLayout" zoomScaleNormal="100" workbookViewId="0">
      <selection activeCell="E5" sqref="E5"/>
    </sheetView>
  </sheetViews>
  <sheetFormatPr defaultRowHeight="15" x14ac:dyDescent="0.25"/>
  <cols>
    <col min="1" max="1" width="5.5703125" style="1" customWidth="1"/>
    <col min="2" max="2" width="1.28515625" style="1" customWidth="1"/>
    <col min="3" max="3" width="44.5703125" style="1" bestFit="1" customWidth="1"/>
    <col min="4" max="4" width="1.28515625" style="1" customWidth="1"/>
    <col min="5" max="5" width="16.140625" style="1" customWidth="1"/>
    <col min="6" max="6" width="2.28515625" style="1" customWidth="1"/>
    <col min="7" max="7" width="14" style="1" customWidth="1"/>
    <col min="8" max="8" width="1.28515625" style="1" customWidth="1"/>
    <col min="9" max="9" width="15.42578125" style="1" customWidth="1"/>
    <col min="10" max="10" width="1.28515625" style="1" customWidth="1"/>
    <col min="11" max="11" width="16.5703125" style="1" customWidth="1"/>
    <col min="12" max="12" width="2.140625" style="1" customWidth="1"/>
    <col min="13" max="13" width="16.5703125" style="1" customWidth="1"/>
    <col min="14" max="14" width="2.5703125" style="1" customWidth="1"/>
    <col min="15" max="15" width="14.140625" style="1" customWidth="1"/>
    <col min="16" max="16" width="1.5703125" style="1" customWidth="1"/>
    <col min="17" max="17" width="13.42578125" style="1" customWidth="1"/>
    <col min="18" max="18" width="2.85546875" style="1" customWidth="1"/>
    <col min="19" max="19" width="13.28515625" style="1" customWidth="1"/>
  </cols>
  <sheetData>
    <row r="1" spans="1:20" x14ac:dyDescent="0.25">
      <c r="K1" s="2"/>
    </row>
    <row r="2" spans="1:20" x14ac:dyDescent="0.25">
      <c r="K2" s="2"/>
    </row>
    <row r="3" spans="1:20" x14ac:dyDescent="0.25">
      <c r="C3" s="3"/>
      <c r="K3" s="2"/>
    </row>
    <row r="4" spans="1:20" x14ac:dyDescent="0.25">
      <c r="C4" s="3"/>
      <c r="K4" s="2"/>
    </row>
    <row r="5" spans="1:20" x14ac:dyDescent="0.25">
      <c r="C5" s="3"/>
      <c r="K5" s="2"/>
    </row>
    <row r="6" spans="1:20" s="1" customFormat="1" ht="12.75" x14ac:dyDescent="0.2">
      <c r="A6" s="29" t="s">
        <v>48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</row>
    <row r="7" spans="1:20" s="1" customFormat="1" ht="12.75" x14ac:dyDescent="0.2">
      <c r="A7" s="29" t="s">
        <v>49</v>
      </c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</row>
    <row r="8" spans="1:20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5"/>
      <c r="M8" s="5"/>
    </row>
    <row r="9" spans="1:20" x14ac:dyDescent="0.25">
      <c r="A9" s="6"/>
      <c r="B9" s="6"/>
      <c r="C9" s="6"/>
      <c r="D9" s="6"/>
      <c r="E9" s="28" t="s">
        <v>0</v>
      </c>
      <c r="F9" s="28"/>
      <c r="G9" s="28"/>
      <c r="H9" s="28"/>
      <c r="I9" s="28"/>
      <c r="J9" s="28"/>
      <c r="K9" s="28"/>
      <c r="L9" s="6"/>
      <c r="M9" s="28" t="s">
        <v>1</v>
      </c>
      <c r="N9" s="28"/>
      <c r="O9" s="28"/>
      <c r="P9" s="28"/>
      <c r="Q9" s="28"/>
      <c r="R9" s="28"/>
      <c r="S9" s="28"/>
    </row>
    <row r="10" spans="1:20" ht="26.25" x14ac:dyDescent="0.25">
      <c r="A10" s="7" t="s">
        <v>2</v>
      </c>
      <c r="B10" s="8"/>
      <c r="C10" s="9" t="s">
        <v>3</v>
      </c>
      <c r="D10" s="8"/>
      <c r="E10" s="7" t="s">
        <v>4</v>
      </c>
      <c r="F10" s="8"/>
      <c r="G10" s="7" t="s">
        <v>5</v>
      </c>
      <c r="H10" s="10"/>
      <c r="I10" s="7" t="s">
        <v>6</v>
      </c>
      <c r="J10" s="10"/>
      <c r="K10" s="7" t="s">
        <v>7</v>
      </c>
      <c r="L10" s="10"/>
      <c r="M10" s="7" t="s">
        <v>8</v>
      </c>
      <c r="N10" s="8"/>
      <c r="O10" s="7" t="s">
        <v>9</v>
      </c>
      <c r="P10" s="10"/>
      <c r="Q10" s="7" t="s">
        <v>10</v>
      </c>
      <c r="R10" s="10"/>
      <c r="S10" s="7" t="s">
        <v>11</v>
      </c>
    </row>
    <row r="11" spans="1:20" x14ac:dyDescent="0.25">
      <c r="A11" s="11"/>
      <c r="B11" s="11"/>
      <c r="D11" s="11"/>
      <c r="E11" s="12" t="s">
        <v>12</v>
      </c>
      <c r="F11" s="11"/>
      <c r="G11" s="13" t="s">
        <v>13</v>
      </c>
      <c r="H11" s="6"/>
      <c r="I11" s="13" t="s">
        <v>14</v>
      </c>
      <c r="J11" s="6"/>
      <c r="K11" s="13" t="s">
        <v>15</v>
      </c>
      <c r="M11" s="12" t="s">
        <v>16</v>
      </c>
      <c r="N11" s="11"/>
      <c r="O11" s="13" t="s">
        <v>17</v>
      </c>
      <c r="Q11" s="12" t="s">
        <v>18</v>
      </c>
      <c r="S11" s="12" t="s">
        <v>19</v>
      </c>
    </row>
    <row r="12" spans="1:20" x14ac:dyDescent="0.25">
      <c r="A12" s="11"/>
      <c r="B12" s="11"/>
      <c r="C12" s="5" t="s">
        <v>20</v>
      </c>
      <c r="D12" s="11"/>
      <c r="E12" s="11"/>
      <c r="F12" s="11"/>
      <c r="G12" s="6"/>
      <c r="H12" s="6"/>
      <c r="I12" s="6"/>
      <c r="J12" s="6"/>
      <c r="K12" s="6"/>
      <c r="L12" s="6"/>
      <c r="M12" s="11"/>
      <c r="N12" s="11"/>
      <c r="O12" s="6"/>
      <c r="P12" s="6"/>
      <c r="Q12" s="6"/>
      <c r="R12" s="6"/>
      <c r="S12" s="6"/>
    </row>
    <row r="13" spans="1:20" x14ac:dyDescent="0.25">
      <c r="A13" s="11"/>
      <c r="B13" s="11"/>
      <c r="C13" s="5"/>
      <c r="D13" s="11"/>
      <c r="E13" s="11"/>
      <c r="F13" s="11"/>
      <c r="G13" s="6"/>
      <c r="H13" s="6"/>
      <c r="I13" s="6"/>
      <c r="J13" s="6"/>
      <c r="K13" s="6"/>
      <c r="L13" s="6"/>
      <c r="M13" s="11"/>
      <c r="N13" s="11"/>
      <c r="O13" s="6"/>
      <c r="P13" s="6"/>
      <c r="Q13" s="6"/>
      <c r="R13" s="6"/>
      <c r="S13" s="6"/>
    </row>
    <row r="14" spans="1:20" x14ac:dyDescent="0.25">
      <c r="A14" s="12">
        <v>1</v>
      </c>
      <c r="B14" s="11"/>
      <c r="C14" s="1" t="s">
        <v>21</v>
      </c>
      <c r="D14" s="11"/>
      <c r="E14" s="14">
        <f>30.047</f>
        <v>30.047000000000001</v>
      </c>
      <c r="F14" s="11"/>
      <c r="G14" s="15" t="s">
        <v>22</v>
      </c>
      <c r="H14" s="6"/>
      <c r="I14" s="16">
        <f>8191/1000</f>
        <v>8.1910000000000007</v>
      </c>
      <c r="J14" s="16"/>
      <c r="K14" s="14">
        <f>-I14</f>
        <v>-8.1910000000000007</v>
      </c>
      <c r="L14" s="6"/>
      <c r="M14" s="14">
        <f>29833.1/1000</f>
        <v>29.833099999999998</v>
      </c>
      <c r="N14" s="11"/>
      <c r="O14" s="15" t="s">
        <v>22</v>
      </c>
      <c r="P14" s="6"/>
      <c r="Q14" s="14">
        <f>8210.21183595422/1000</f>
        <v>8.2102118359542207</v>
      </c>
      <c r="R14" s="14"/>
      <c r="S14" s="14">
        <f>-8153.7110823114/1000</f>
        <v>-8.1537110823113998</v>
      </c>
    </row>
    <row r="15" spans="1:20" x14ac:dyDescent="0.25">
      <c r="A15" s="12">
        <v>2</v>
      </c>
      <c r="B15" s="11"/>
      <c r="C15" s="1" t="s">
        <v>23</v>
      </c>
      <c r="D15" s="11"/>
      <c r="E15" s="14">
        <f>126.73</f>
        <v>126.73</v>
      </c>
      <c r="F15" s="11"/>
      <c r="G15" s="15" t="s">
        <v>24</v>
      </c>
      <c r="H15" s="6"/>
      <c r="I15" s="16">
        <f>6149/1000</f>
        <v>6.149</v>
      </c>
      <c r="J15" s="16"/>
      <c r="K15" s="14">
        <f>-I15</f>
        <v>-6.149</v>
      </c>
      <c r="L15" s="6"/>
      <c r="M15" s="14">
        <f>126729.864/1000</f>
        <v>126.72986400000001</v>
      </c>
      <c r="N15" s="11"/>
      <c r="O15" s="15" t="s">
        <v>25</v>
      </c>
      <c r="P15" s="6"/>
      <c r="Q15" s="14">
        <f>6115.36477543734/1000</f>
        <v>6.1153647754373397</v>
      </c>
      <c r="R15" s="14"/>
      <c r="S15" s="14">
        <f>-4140.71396659822/1000</f>
        <v>-4.14071396659822</v>
      </c>
    </row>
    <row r="16" spans="1:20" x14ac:dyDescent="0.25">
      <c r="A16" s="11"/>
      <c r="B16" s="11"/>
      <c r="C16" s="5"/>
      <c r="D16" s="11"/>
      <c r="E16" s="17"/>
      <c r="F16" s="11"/>
      <c r="G16" s="6"/>
      <c r="H16" s="6"/>
      <c r="I16" s="16"/>
      <c r="J16" s="16"/>
      <c r="K16" s="14"/>
      <c r="L16" s="6"/>
      <c r="M16" s="14"/>
      <c r="N16" s="11"/>
      <c r="O16" s="6"/>
      <c r="P16" s="6"/>
      <c r="Q16" s="14"/>
      <c r="R16" s="14"/>
      <c r="S16" s="14"/>
    </row>
    <row r="17" spans="1:19" x14ac:dyDescent="0.25">
      <c r="A17" s="11"/>
      <c r="B17" s="11"/>
      <c r="C17" s="5" t="s">
        <v>26</v>
      </c>
      <c r="D17" s="11"/>
      <c r="E17" s="17"/>
      <c r="F17" s="11"/>
      <c r="I17" s="16"/>
      <c r="J17" s="16"/>
      <c r="K17" s="14"/>
      <c r="M17" s="14"/>
      <c r="N17" s="11"/>
      <c r="Q17" s="14"/>
      <c r="R17" s="14"/>
      <c r="S17" s="14"/>
    </row>
    <row r="18" spans="1:19" x14ac:dyDescent="0.25">
      <c r="A18" s="11"/>
      <c r="B18" s="11"/>
      <c r="D18" s="11"/>
      <c r="E18" s="17"/>
      <c r="F18" s="11"/>
      <c r="I18" s="16"/>
      <c r="J18" s="16"/>
      <c r="K18" s="14"/>
      <c r="M18" s="14"/>
      <c r="N18" s="11"/>
      <c r="Q18" s="14"/>
      <c r="R18" s="14"/>
      <c r="S18" s="14"/>
    </row>
    <row r="19" spans="1:19" x14ac:dyDescent="0.25">
      <c r="A19" s="12">
        <v>3</v>
      </c>
      <c r="B19" s="11"/>
      <c r="C19" s="1" t="s">
        <v>27</v>
      </c>
      <c r="D19" s="11"/>
      <c r="E19" s="14">
        <f>118.183</f>
        <v>118.18300000000001</v>
      </c>
      <c r="F19" s="11"/>
      <c r="G19" s="15" t="s">
        <v>28</v>
      </c>
      <c r="H19" s="6"/>
      <c r="I19" s="16">
        <f>36908/1000</f>
        <v>36.908000000000001</v>
      </c>
      <c r="J19" s="16"/>
      <c r="K19" s="14">
        <f>-I19</f>
        <v>-36.908000000000001</v>
      </c>
      <c r="L19" s="6"/>
      <c r="M19" s="14">
        <f>91845/1000</f>
        <v>91.844999999999999</v>
      </c>
      <c r="N19" s="11"/>
      <c r="O19" s="15" t="s">
        <v>29</v>
      </c>
      <c r="P19" s="6"/>
      <c r="Q19" s="14">
        <f>25654.7556856782/1000</f>
        <v>25.6547556856782</v>
      </c>
      <c r="R19" s="14"/>
      <c r="S19" s="14">
        <f>-39761.6760388407/1000</f>
        <v>-39.761676038840697</v>
      </c>
    </row>
    <row r="20" spans="1:19" x14ac:dyDescent="0.25">
      <c r="A20" s="12">
        <v>4</v>
      </c>
      <c r="B20" s="11"/>
      <c r="C20" s="1" t="s">
        <v>30</v>
      </c>
      <c r="D20" s="11"/>
      <c r="E20" s="14">
        <f>1.8</f>
        <v>1.8</v>
      </c>
      <c r="F20" s="11"/>
      <c r="G20" s="15" t="s">
        <v>28</v>
      </c>
      <c r="H20" s="6"/>
      <c r="I20" s="16">
        <f>550/1000</f>
        <v>0.55000000000000004</v>
      </c>
      <c r="J20" s="16"/>
      <c r="K20" s="14">
        <f>-I20</f>
        <v>-0.55000000000000004</v>
      </c>
      <c r="L20" s="6"/>
      <c r="M20" s="14">
        <f>1800/1000</f>
        <v>1.8</v>
      </c>
      <c r="N20" s="11"/>
      <c r="O20" s="15" t="s">
        <v>31</v>
      </c>
      <c r="P20" s="6"/>
      <c r="Q20" s="11" t="s">
        <v>32</v>
      </c>
      <c r="R20" s="11"/>
      <c r="S20" s="11" t="s">
        <v>32</v>
      </c>
    </row>
    <row r="21" spans="1:19" x14ac:dyDescent="0.25">
      <c r="A21" s="12">
        <v>5</v>
      </c>
      <c r="B21" s="11"/>
      <c r="C21" s="1" t="s">
        <v>33</v>
      </c>
      <c r="D21" s="11"/>
      <c r="E21" s="14">
        <f>82.9</f>
        <v>82.9</v>
      </c>
      <c r="F21" s="11"/>
      <c r="G21" s="15" t="s">
        <v>34</v>
      </c>
      <c r="H21" s="6"/>
      <c r="I21" s="16">
        <f>22230/1000</f>
        <v>22.23</v>
      </c>
      <c r="J21" s="16"/>
      <c r="K21" s="14">
        <f>-I21</f>
        <v>-22.23</v>
      </c>
      <c r="L21" s="6"/>
      <c r="M21" s="14">
        <f>74183/1000</f>
        <v>74.183000000000007</v>
      </c>
      <c r="N21" s="11"/>
      <c r="O21" s="13" t="s">
        <v>35</v>
      </c>
      <c r="P21" s="6"/>
      <c r="Q21" s="14">
        <f>14210.7696569472/1000</f>
        <v>14.2107696569472</v>
      </c>
      <c r="R21" s="14"/>
      <c r="S21" s="14">
        <f>-22285.7958776941/1000</f>
        <v>-22.285795877694103</v>
      </c>
    </row>
    <row r="22" spans="1:19" x14ac:dyDescent="0.25">
      <c r="A22" s="12">
        <v>6</v>
      </c>
      <c r="B22" s="11"/>
      <c r="C22" s="1" t="s">
        <v>36</v>
      </c>
      <c r="D22" s="11"/>
      <c r="E22" s="18">
        <f>124.039</f>
        <v>124.039</v>
      </c>
      <c r="F22" s="11"/>
      <c r="G22" s="13" t="s">
        <v>37</v>
      </c>
      <c r="H22" s="6"/>
      <c r="I22" s="19">
        <f>19357/1000</f>
        <v>19.356999999999999</v>
      </c>
      <c r="J22" s="16"/>
      <c r="K22" s="18">
        <f>-I22</f>
        <v>-19.356999999999999</v>
      </c>
      <c r="L22" s="6"/>
      <c r="M22" s="18">
        <f>100163/1000</f>
        <v>100.163</v>
      </c>
      <c r="N22" s="11"/>
      <c r="O22" s="13" t="s">
        <v>37</v>
      </c>
      <c r="P22" s="6"/>
      <c r="Q22" s="18">
        <f>15034/1000</f>
        <v>15.034000000000001</v>
      </c>
      <c r="R22" s="14"/>
      <c r="S22" s="18">
        <f>-19248.0048977505/1000</f>
        <v>-19.248004897750498</v>
      </c>
    </row>
    <row r="23" spans="1:19" x14ac:dyDescent="0.25">
      <c r="A23" s="11"/>
      <c r="B23" s="11"/>
      <c r="D23" s="11"/>
      <c r="E23" s="17"/>
      <c r="F23" s="11"/>
      <c r="G23" s="6"/>
      <c r="H23" s="6"/>
      <c r="I23" s="16"/>
      <c r="J23" s="16"/>
      <c r="K23" s="14"/>
      <c r="L23" s="6"/>
      <c r="M23" s="14"/>
      <c r="N23" s="11"/>
      <c r="O23" s="6"/>
      <c r="P23" s="6"/>
      <c r="Q23" s="14"/>
      <c r="R23" s="14"/>
      <c r="S23" s="14"/>
    </row>
    <row r="24" spans="1:19" x14ac:dyDescent="0.25">
      <c r="A24" s="12">
        <v>7</v>
      </c>
      <c r="B24" s="11"/>
      <c r="C24" s="1" t="s">
        <v>38</v>
      </c>
      <c r="D24" s="11"/>
      <c r="E24" s="18">
        <f>SUM(E14:E22)</f>
        <v>483.69900000000007</v>
      </c>
      <c r="F24" s="11" t="s">
        <v>39</v>
      </c>
      <c r="G24" s="6"/>
      <c r="H24" s="6"/>
      <c r="I24" s="19">
        <f>SUM(I14:I22)</f>
        <v>93.385000000000005</v>
      </c>
      <c r="J24" s="16"/>
      <c r="K24" s="18">
        <f t="shared" ref="K24" si="0">SUM(K14:K22)</f>
        <v>-93.385000000000005</v>
      </c>
      <c r="L24" s="6"/>
      <c r="M24" s="18">
        <f>SUM(M14:M22)</f>
        <v>424.55396400000001</v>
      </c>
      <c r="N24" s="11" t="s">
        <v>40</v>
      </c>
      <c r="O24" s="6"/>
      <c r="P24" s="6"/>
      <c r="Q24" s="18">
        <f>SUM(Q14:Q22)</f>
        <v>69.225101954016964</v>
      </c>
      <c r="R24" s="14"/>
      <c r="S24" s="18">
        <f>SUM(S14:S22)</f>
        <v>-93.58990186319491</v>
      </c>
    </row>
    <row r="25" spans="1:19" x14ac:dyDescent="0.25">
      <c r="A25" s="11"/>
      <c r="B25" s="11"/>
      <c r="D25" s="11"/>
      <c r="E25" s="11"/>
      <c r="F25" s="11"/>
      <c r="G25" s="6"/>
      <c r="H25" s="6"/>
      <c r="I25" s="14"/>
      <c r="J25" s="14"/>
      <c r="K25" s="14"/>
      <c r="L25" s="6"/>
      <c r="M25" s="14"/>
      <c r="N25" s="11"/>
      <c r="O25" s="6"/>
      <c r="P25" s="6"/>
      <c r="Q25" s="14"/>
      <c r="R25" s="14"/>
      <c r="S25" s="14"/>
    </row>
    <row r="26" spans="1:19" ht="15.75" thickBot="1" x14ac:dyDescent="0.3">
      <c r="A26" s="12">
        <v>8</v>
      </c>
      <c r="B26" s="11"/>
      <c r="C26" s="1" t="s">
        <v>41</v>
      </c>
      <c r="D26" s="11"/>
      <c r="E26" s="11"/>
      <c r="F26" s="11"/>
      <c r="G26" s="6"/>
      <c r="H26" s="6"/>
      <c r="I26" s="14"/>
      <c r="J26" s="14"/>
      <c r="K26" s="14"/>
      <c r="L26" s="20" t="s">
        <v>42</v>
      </c>
      <c r="M26" s="21">
        <f>M24-E24</f>
        <v>-59.145036000000061</v>
      </c>
      <c r="N26" s="11"/>
      <c r="O26" s="6"/>
      <c r="P26" s="6"/>
      <c r="Q26" s="18">
        <f>Q24-I24</f>
        <v>-24.159898045983041</v>
      </c>
      <c r="R26" s="22" t="s">
        <v>43</v>
      </c>
      <c r="S26" s="18">
        <f>S24-K24</f>
        <v>-0.20490186319490533</v>
      </c>
    </row>
    <row r="27" spans="1:19" ht="15.75" thickTop="1" x14ac:dyDescent="0.25">
      <c r="A27" s="12"/>
      <c r="B27" s="11"/>
      <c r="M27" s="11"/>
      <c r="N27" s="11"/>
      <c r="O27" s="6"/>
      <c r="P27" s="6"/>
      <c r="Q27" s="14"/>
      <c r="R27" s="14"/>
      <c r="S27" s="14"/>
    </row>
    <row r="28" spans="1:19" x14ac:dyDescent="0.25">
      <c r="A28" s="12">
        <v>9</v>
      </c>
      <c r="B28" s="11"/>
      <c r="C28" s="1" t="s">
        <v>44</v>
      </c>
      <c r="M28" s="11"/>
      <c r="N28" s="11"/>
      <c r="O28" s="6"/>
      <c r="P28" s="6"/>
      <c r="Q28" s="14"/>
      <c r="R28" s="23" t="s">
        <v>45</v>
      </c>
      <c r="S28" s="24">
        <f>SUM(Q26,S26)</f>
        <v>-24.364799909177947</v>
      </c>
    </row>
    <row r="29" spans="1:19" x14ac:dyDescent="0.25">
      <c r="A29" s="11"/>
      <c r="B29" s="11"/>
      <c r="M29" s="11"/>
      <c r="N29" s="11"/>
      <c r="O29" s="6"/>
      <c r="P29" s="6"/>
      <c r="Q29" s="14"/>
      <c r="R29" s="14"/>
      <c r="S29" s="6"/>
    </row>
    <row r="30" spans="1:19" x14ac:dyDescent="0.25">
      <c r="A30" s="12">
        <v>10</v>
      </c>
      <c r="B30" s="11"/>
      <c r="C30" s="1" t="s">
        <v>46</v>
      </c>
      <c r="M30" s="11"/>
      <c r="N30" s="11"/>
      <c r="O30" s="6"/>
      <c r="P30" s="6"/>
      <c r="Q30" s="14"/>
      <c r="R30" s="14"/>
      <c r="S30" s="25">
        <f>-1282.99044480817/1000</f>
        <v>-1.2829904448081699</v>
      </c>
    </row>
    <row r="31" spans="1:19" x14ac:dyDescent="0.25">
      <c r="A31" s="11"/>
      <c r="B31" s="11"/>
      <c r="M31" s="11"/>
      <c r="N31" s="11"/>
      <c r="O31" s="6"/>
      <c r="P31" s="6"/>
      <c r="Q31" s="6"/>
      <c r="R31" s="6"/>
      <c r="S31" s="6"/>
    </row>
    <row r="32" spans="1:19" ht="15.75" thickBot="1" x14ac:dyDescent="0.3">
      <c r="A32" s="12">
        <v>11</v>
      </c>
      <c r="B32" s="11"/>
      <c r="C32" s="1" t="s">
        <v>47</v>
      </c>
      <c r="M32" s="11"/>
      <c r="N32" s="11"/>
      <c r="S32" s="26">
        <f>SUM(S28:S30)</f>
        <v>-25.647790353986117</v>
      </c>
    </row>
    <row r="33" spans="13:13" ht="15.75" thickTop="1" x14ac:dyDescent="0.25">
      <c r="M33" s="27"/>
    </row>
    <row r="34" spans="13:13" x14ac:dyDescent="0.25">
      <c r="M34" s="27"/>
    </row>
    <row r="35" spans="13:13" x14ac:dyDescent="0.25">
      <c r="M35" s="27"/>
    </row>
    <row r="36" spans="13:13" x14ac:dyDescent="0.25">
      <c r="M36" s="27"/>
    </row>
    <row r="37" spans="13:13" x14ac:dyDescent="0.25">
      <c r="M37" s="27"/>
    </row>
    <row r="38" spans="13:13" x14ac:dyDescent="0.25">
      <c r="M38" s="27"/>
    </row>
  </sheetData>
  <mergeCells count="4">
    <mergeCell ref="E9:K9"/>
    <mergeCell ref="M9:S9"/>
    <mergeCell ref="A6:T6"/>
    <mergeCell ref="A7:T7"/>
  </mergeCells>
  <pageMargins left="0.7" right="0.7" top="0.75" bottom="0.75" header="0.3" footer="0.3"/>
  <pageSetup scale="63" orientation="landscape" r:id="rId1"/>
  <headerFooter>
    <oddHeader>&amp;R&amp;"Arial,Regular"&amp;10Filed: 2022-10-31
EB-2022-0200
Exhibit 9
Tab 2
Schedule 1
Attachment 7
Page &amp;P of 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2022-11-01T20:58:43Z</dcterms:created>
  <dcterms:modified xsi:type="dcterms:W3CDTF">2022-11-01T20:58:48Z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7694783-de61-499c-97f7-53d7c605e6e9_Enabled">
    <vt:lpwstr>true</vt:lpwstr>
  </property>
  <property fmtid="{D5CDD505-2E9C-101B-9397-08002B2CF9AE}" pid="3" name="MSIP_Label_67694783-de61-499c-97f7-53d7c605e6e9_SetDate">
    <vt:lpwstr>2022-11-01T20:58:48Z</vt:lpwstr>
  </property>
  <property fmtid="{D5CDD505-2E9C-101B-9397-08002B2CF9AE}" pid="4" name="MSIP_Label_67694783-de61-499c-97f7-53d7c605e6e9_Method">
    <vt:lpwstr>Privileged</vt:lpwstr>
  </property>
  <property fmtid="{D5CDD505-2E9C-101B-9397-08002B2CF9AE}" pid="5" name="MSIP_Label_67694783-de61-499c-97f7-53d7c605e6e9_Name">
    <vt:lpwstr>67694783-de61-499c-97f7-53d7c605e6e9</vt:lpwstr>
  </property>
  <property fmtid="{D5CDD505-2E9C-101B-9397-08002B2CF9AE}" pid="6" name="MSIP_Label_67694783-de61-499c-97f7-53d7c605e6e9_SiteId">
    <vt:lpwstr>271df5c2-953a-497b-93ad-7adf7a4b3cd7</vt:lpwstr>
  </property>
  <property fmtid="{D5CDD505-2E9C-101B-9397-08002B2CF9AE}" pid="7" name="MSIP_Label_67694783-de61-499c-97f7-53d7c605e6e9_ActionId">
    <vt:lpwstr>edfd460d-da1d-4e23-8c44-6452c8f6f5c3</vt:lpwstr>
  </property>
  <property fmtid="{D5CDD505-2E9C-101B-9397-08002B2CF9AE}" pid="8" name="MSIP_Label_67694783-de61-499c-97f7-53d7c605e6e9_ContentBits">
    <vt:lpwstr>0</vt:lpwstr>
  </property>
</Properties>
</file>