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Owner\Desktop\LK Documents and Settings\Ontario\EGI\2021 Update\Results\Canadian TFP Results\"/>
    </mc:Choice>
  </mc:AlternateContent>
  <xr:revisionPtr revIDLastSave="0" documentId="13_ncr:1_{6CC6DF33-F660-4185-A080-40D8CF32E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FP Calcs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N66" i="2" l="1"/>
  <c r="CN71" i="2"/>
  <c r="CN70" i="2"/>
  <c r="CN69" i="2"/>
  <c r="AE32" i="2"/>
  <c r="AD32" i="2"/>
  <c r="AD64" i="2"/>
  <c r="CO17" i="2"/>
  <c r="CO32" i="2"/>
  <c r="CO31" i="2"/>
  <c r="CO34" i="2" s="1"/>
  <c r="CO30" i="2"/>
  <c r="CO29" i="2"/>
  <c r="CO28" i="2"/>
  <c r="CO27" i="2"/>
  <c r="CO26" i="2"/>
  <c r="CO25" i="2"/>
  <c r="CO24" i="2"/>
  <c r="CO23" i="2"/>
  <c r="CO22" i="2"/>
  <c r="CO21" i="2"/>
  <c r="CO20" i="2"/>
  <c r="CO19" i="2"/>
  <c r="CO18" i="2"/>
  <c r="CO66" i="2"/>
  <c r="CO64" i="2"/>
  <c r="CO63" i="2"/>
  <c r="CO62" i="2"/>
  <c r="CO61" i="2"/>
  <c r="CO60" i="2"/>
  <c r="CO59" i="2"/>
  <c r="CO58" i="2"/>
  <c r="CO57" i="2"/>
  <c r="CO56" i="2"/>
  <c r="CO55" i="2"/>
  <c r="CO54" i="2"/>
  <c r="CO53" i="2"/>
  <c r="CO52" i="2"/>
  <c r="CO51" i="2"/>
  <c r="CO50" i="2"/>
  <c r="CO49" i="2"/>
  <c r="Q64" i="2"/>
  <c r="Q63" i="2"/>
  <c r="Q62" i="2"/>
  <c r="Q61" i="2"/>
  <c r="R62" i="2" s="1"/>
  <c r="Q60" i="2"/>
  <c r="Q59" i="2"/>
  <c r="Q58" i="2"/>
  <c r="Q57" i="2"/>
  <c r="R58" i="2" s="1"/>
  <c r="Q56" i="2"/>
  <c r="Q55" i="2"/>
  <c r="Q54" i="2"/>
  <c r="Q53" i="2"/>
  <c r="R54" i="2" s="1"/>
  <c r="Q52" i="2"/>
  <c r="Q51" i="2"/>
  <c r="Q50" i="2"/>
  <c r="Q49" i="2"/>
  <c r="R50" i="2" s="1"/>
  <c r="Q48" i="2"/>
  <c r="Q47" i="2"/>
  <c r="R48" i="2" s="1"/>
  <c r="Q46" i="2"/>
  <c r="Q45" i="2"/>
  <c r="R45" i="2" s="1"/>
  <c r="Q44" i="2"/>
  <c r="R46" i="2" s="1"/>
  <c r="Q43" i="2"/>
  <c r="R47" i="2" l="1"/>
  <c r="R52" i="2"/>
  <c r="R56" i="2"/>
  <c r="R60" i="2"/>
  <c r="R64" i="2"/>
  <c r="Q66" i="2"/>
  <c r="R49" i="2"/>
  <c r="R51" i="2"/>
  <c r="R53" i="2"/>
  <c r="R55" i="2"/>
  <c r="R57" i="2"/>
  <c r="R59" i="2"/>
  <c r="R61" i="2"/>
  <c r="R63" i="2"/>
  <c r="AF12" i="2"/>
  <c r="AF11" i="2" s="1"/>
  <c r="AF10" i="2" s="1"/>
  <c r="AF9" i="2" s="1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F12" i="2"/>
  <c r="D12" i="2"/>
  <c r="E11" i="2"/>
  <c r="E10" i="2"/>
  <c r="E6" i="2"/>
  <c r="E7" i="2" s="1"/>
  <c r="E9" i="2"/>
  <c r="E8" i="2"/>
  <c r="E17" i="2"/>
  <c r="E16" i="2"/>
  <c r="D7" i="2"/>
  <c r="D14" i="2" s="1"/>
  <c r="E12" i="2" l="1"/>
  <c r="E14" i="2" s="1"/>
  <c r="CF32" i="2" l="1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50" i="2"/>
  <c r="BY51" i="2"/>
  <c r="BY52" i="2"/>
  <c r="BY53" i="2"/>
  <c r="BY54" i="2"/>
  <c r="BY55" i="2"/>
  <c r="BY56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CF51" i="2"/>
  <c r="CF50" i="2"/>
  <c r="BY64" i="2"/>
  <c r="BY63" i="2"/>
  <c r="BY62" i="2"/>
  <c r="BY61" i="2"/>
  <c r="BY60" i="2"/>
  <c r="BY59" i="2"/>
  <c r="BY58" i="2"/>
  <c r="BY57" i="2"/>
  <c r="BS66" i="2"/>
  <c r="BQ66" i="2"/>
  <c r="BO66" i="2"/>
  <c r="BM66" i="2"/>
  <c r="BJ66" i="2"/>
  <c r="BI66" i="2"/>
  <c r="BG66" i="2"/>
  <c r="BC66" i="2"/>
  <c r="BB66" i="2"/>
  <c r="AY66" i="2"/>
  <c r="AV66" i="2"/>
  <c r="AR66" i="2"/>
  <c r="AQ66" i="2"/>
  <c r="AN66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50" i="2"/>
  <c r="X50" i="2"/>
  <c r="Y49" i="2"/>
  <c r="X49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BY66" i="2" l="1"/>
  <c r="BY34" i="2"/>
  <c r="CF66" i="2"/>
  <c r="CF34" i="2"/>
  <c r="Q32" i="2" l="1"/>
  <c r="Q31" i="2"/>
  <c r="Q30" i="2"/>
  <c r="Q29" i="2"/>
  <c r="R29" i="2" s="1"/>
  <c r="Q28" i="2"/>
  <c r="Q27" i="2"/>
  <c r="Q26" i="2"/>
  <c r="Q25" i="2"/>
  <c r="R25" i="2" s="1"/>
  <c r="Q24" i="2"/>
  <c r="Q23" i="2"/>
  <c r="Q22" i="2"/>
  <c r="Q21" i="2"/>
  <c r="R21" i="2" s="1"/>
  <c r="Q20" i="2"/>
  <c r="Q19" i="2"/>
  <c r="Q18" i="2"/>
  <c r="Q17" i="2"/>
  <c r="R17" i="2" s="1"/>
  <c r="Q16" i="2"/>
  <c r="Q15" i="2"/>
  <c r="Q14" i="2"/>
  <c r="Q13" i="2"/>
  <c r="R13" i="2" s="1"/>
  <c r="Q12" i="2"/>
  <c r="Q11" i="2"/>
  <c r="BV64" i="2"/>
  <c r="BV32" i="2"/>
  <c r="CJ64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G48" i="2"/>
  <c r="CG47" i="2"/>
  <c r="BZ64" i="2"/>
  <c r="CJ32" i="2"/>
  <c r="CG32" i="2"/>
  <c r="CG31" i="2"/>
  <c r="CG30" i="2"/>
  <c r="AE64" i="2"/>
  <c r="M64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R22" i="2" l="1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Q34" i="2"/>
  <c r="CH32" i="2"/>
  <c r="CH64" i="2"/>
  <c r="CD32" i="2"/>
  <c r="AG64" i="2"/>
  <c r="BZ32" i="2"/>
  <c r="CR64" i="2" l="1"/>
  <c r="L32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31" i="2"/>
  <c r="BV30" i="2"/>
  <c r="AG32" i="2" l="1"/>
  <c r="CB46" i="2"/>
  <c r="CG46" i="2" s="1"/>
  <c r="CB45" i="2"/>
  <c r="CG45" i="2" s="1"/>
  <c r="CB44" i="2"/>
  <c r="CB43" i="2"/>
  <c r="CB41" i="2"/>
  <c r="CJ63" i="2"/>
  <c r="BZ63" i="2"/>
  <c r="CA64" i="2" s="1"/>
  <c r="AE63" i="2"/>
  <c r="AG63" i="2"/>
  <c r="M63" i="2"/>
  <c r="CJ62" i="2"/>
  <c r="BZ62" i="2"/>
  <c r="AE62" i="2"/>
  <c r="AG62" i="2"/>
  <c r="M62" i="2"/>
  <c r="CJ61" i="2"/>
  <c r="AE61" i="2"/>
  <c r="AG61" i="2"/>
  <c r="CJ60" i="2"/>
  <c r="AE60" i="2"/>
  <c r="AG60" i="2"/>
  <c r="M60" i="2"/>
  <c r="CJ59" i="2"/>
  <c r="BZ59" i="2"/>
  <c r="AE59" i="2"/>
  <c r="AG59" i="2"/>
  <c r="CJ58" i="2"/>
  <c r="BZ58" i="2"/>
  <c r="AE58" i="2"/>
  <c r="AG58" i="2"/>
  <c r="M59" i="2"/>
  <c r="CJ57" i="2"/>
  <c r="BZ57" i="2"/>
  <c r="AE57" i="2"/>
  <c r="AG57" i="2"/>
  <c r="CJ56" i="2"/>
  <c r="AE56" i="2"/>
  <c r="AG56" i="2"/>
  <c r="CJ55" i="2"/>
  <c r="BZ55" i="2"/>
  <c r="AE55" i="2"/>
  <c r="AG55" i="2"/>
  <c r="M55" i="2"/>
  <c r="CJ54" i="2"/>
  <c r="BZ54" i="2"/>
  <c r="AE54" i="2"/>
  <c r="AG54" i="2"/>
  <c r="M54" i="2"/>
  <c r="CJ53" i="2"/>
  <c r="BZ53" i="2"/>
  <c r="AE53" i="2"/>
  <c r="AG53" i="2"/>
  <c r="CJ52" i="2"/>
  <c r="BZ52" i="2"/>
  <c r="AE52" i="2"/>
  <c r="AG52" i="2"/>
  <c r="M52" i="2"/>
  <c r="CJ51" i="2"/>
  <c r="AE51" i="2"/>
  <c r="AG51" i="2"/>
  <c r="CJ50" i="2"/>
  <c r="BZ50" i="2"/>
  <c r="AE50" i="2"/>
  <c r="AG50" i="2"/>
  <c r="M50" i="2"/>
  <c r="CJ49" i="2"/>
  <c r="BZ49" i="2"/>
  <c r="AE49" i="2"/>
  <c r="AG49" i="2"/>
  <c r="CJ48" i="2"/>
  <c r="BZ48" i="2"/>
  <c r="AE48" i="2"/>
  <c r="AG48" i="2"/>
  <c r="M49" i="2"/>
  <c r="CJ47" i="2"/>
  <c r="BZ47" i="2"/>
  <c r="AE47" i="2"/>
  <c r="AG47" i="2"/>
  <c r="M47" i="2"/>
  <c r="M48" i="2"/>
  <c r="CJ46" i="2"/>
  <c r="BZ46" i="2"/>
  <c r="AE46" i="2"/>
  <c r="AG46" i="2"/>
  <c r="AE45" i="2"/>
  <c r="AE44" i="2"/>
  <c r="M44" i="2"/>
  <c r="AE43" i="2"/>
  <c r="M43" i="2"/>
  <c r="BR42" i="2"/>
  <c r="BT42" i="2" s="1"/>
  <c r="BN42" i="2"/>
  <c r="BN43" i="2" s="1"/>
  <c r="BP43" i="2" s="1"/>
  <c r="BK42" i="2"/>
  <c r="BL42" i="2" s="1"/>
  <c r="AZ42" i="2"/>
  <c r="AZ43" i="2" s="1"/>
  <c r="BA43" i="2" s="1"/>
  <c r="AX42" i="2"/>
  <c r="AO42" i="2"/>
  <c r="AP42" i="2" s="1"/>
  <c r="AE42" i="2"/>
  <c r="BU41" i="2"/>
  <c r="BU42" i="2" s="1"/>
  <c r="BU43" i="2" s="1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L41" i="2"/>
  <c r="BD41" i="2"/>
  <c r="BA41" i="2"/>
  <c r="AS41" i="2"/>
  <c r="AP41" i="2"/>
  <c r="I41" i="2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CJ66" i="2" l="1"/>
  <c r="CJ34" i="2"/>
  <c r="BV45" i="2"/>
  <c r="CH47" i="2"/>
  <c r="BV46" i="2"/>
  <c r="BP42" i="2"/>
  <c r="CA50" i="2"/>
  <c r="BA42" i="2"/>
  <c r="BD42" i="2"/>
  <c r="BF42" i="2" s="1"/>
  <c r="BH42" i="2" s="1"/>
  <c r="CH46" i="2"/>
  <c r="CA54" i="2"/>
  <c r="CA59" i="2"/>
  <c r="CA63" i="2"/>
  <c r="CA53" i="2"/>
  <c r="CA49" i="2"/>
  <c r="CA47" i="2"/>
  <c r="CH48" i="2"/>
  <c r="CH62" i="2"/>
  <c r="CH53" i="2"/>
  <c r="CH63" i="2"/>
  <c r="CH58" i="2"/>
  <c r="CH52" i="2"/>
  <c r="CH51" i="2"/>
  <c r="BK43" i="2"/>
  <c r="BZ45" i="2"/>
  <c r="CA46" i="2" s="1"/>
  <c r="M42" i="2"/>
  <c r="CA48" i="2"/>
  <c r="CH49" i="2"/>
  <c r="AZ44" i="2"/>
  <c r="M46" i="2"/>
  <c r="M45" i="2"/>
  <c r="AO43" i="2"/>
  <c r="AS42" i="2"/>
  <c r="BD43" i="2"/>
  <c r="BR43" i="2"/>
  <c r="BN44" i="2"/>
  <c r="M53" i="2"/>
  <c r="BZ61" i="2"/>
  <c r="BZ51" i="2"/>
  <c r="CA51" i="2" s="1"/>
  <c r="CA55" i="2"/>
  <c r="CA58" i="2"/>
  <c r="M51" i="2"/>
  <c r="M56" i="2"/>
  <c r="M57" i="2"/>
  <c r="CH56" i="2"/>
  <c r="CH57" i="2"/>
  <c r="M58" i="2"/>
  <c r="CH59" i="2"/>
  <c r="BZ56" i="2"/>
  <c r="CA56" i="2" s="1"/>
  <c r="M61" i="2"/>
  <c r="BZ60" i="2"/>
  <c r="CA60" i="2" s="1"/>
  <c r="BE42" i="2" l="1"/>
  <c r="CA52" i="2"/>
  <c r="CH60" i="2"/>
  <c r="BF43" i="2"/>
  <c r="BH43" i="2" s="1"/>
  <c r="BE43" i="2"/>
  <c r="CH54" i="2"/>
  <c r="CH55" i="2"/>
  <c r="CA61" i="2"/>
  <c r="CA62" i="2"/>
  <c r="AT42" i="2"/>
  <c r="AU42" i="2"/>
  <c r="BK44" i="2"/>
  <c r="BL43" i="2"/>
  <c r="BN45" i="2"/>
  <c r="BP44" i="2"/>
  <c r="AO44" i="2"/>
  <c r="AP43" i="2"/>
  <c r="AS43" i="2"/>
  <c r="AT43" i="2" s="1"/>
  <c r="CH61" i="2"/>
  <c r="CH50" i="2"/>
  <c r="CA57" i="2"/>
  <c r="BR44" i="2"/>
  <c r="BT43" i="2"/>
  <c r="AZ45" i="2"/>
  <c r="BD44" i="2"/>
  <c r="BA44" i="2"/>
  <c r="CA66" i="2" l="1"/>
  <c r="CH66" i="2"/>
  <c r="BT44" i="2"/>
  <c r="BR45" i="2"/>
  <c r="BF44" i="2"/>
  <c r="BH44" i="2" s="1"/>
  <c r="BE44" i="2"/>
  <c r="BN46" i="2"/>
  <c r="BP45" i="2"/>
  <c r="BL44" i="2"/>
  <c r="BK45" i="2"/>
  <c r="AZ46" i="2"/>
  <c r="BD45" i="2"/>
  <c r="BA45" i="2"/>
  <c r="AX43" i="2"/>
  <c r="AU43" i="2" s="1"/>
  <c r="AW42" i="2"/>
  <c r="AP44" i="2"/>
  <c r="AO45" i="2"/>
  <c r="AS44" i="2"/>
  <c r="AT44" i="2" s="1"/>
  <c r="AX44" i="2" l="1"/>
  <c r="AU44" i="2" s="1"/>
  <c r="AW43" i="2"/>
  <c r="BD46" i="2"/>
  <c r="AZ47" i="2"/>
  <c r="BA46" i="2"/>
  <c r="BN47" i="2"/>
  <c r="BP46" i="2"/>
  <c r="BK46" i="2"/>
  <c r="BL45" i="2"/>
  <c r="BR46" i="2"/>
  <c r="BT45" i="2"/>
  <c r="AO46" i="2"/>
  <c r="AS45" i="2"/>
  <c r="AT45" i="2" s="1"/>
  <c r="AP45" i="2"/>
  <c r="BF45" i="2"/>
  <c r="BH45" i="2" s="1"/>
  <c r="BE45" i="2"/>
  <c r="AX45" i="2" l="1"/>
  <c r="AU45" i="2" s="1"/>
  <c r="AW44" i="2"/>
  <c r="BL46" i="2"/>
  <c r="BK47" i="2"/>
  <c r="BA47" i="2"/>
  <c r="AZ48" i="2"/>
  <c r="BD47" i="2"/>
  <c r="AO47" i="2"/>
  <c r="AP46" i="2"/>
  <c r="AS46" i="2"/>
  <c r="AT46" i="2" s="1"/>
  <c r="BF46" i="2"/>
  <c r="BH46" i="2" s="1"/>
  <c r="BE46" i="2"/>
  <c r="BP47" i="2"/>
  <c r="BN48" i="2"/>
  <c r="BR47" i="2"/>
  <c r="BT46" i="2"/>
  <c r="AW45" i="2" l="1"/>
  <c r="AX46" i="2"/>
  <c r="AU46" i="2" s="1"/>
  <c r="BK48" i="2"/>
  <c r="BL47" i="2"/>
  <c r="BP48" i="2"/>
  <c r="BN49" i="2"/>
  <c r="AO48" i="2"/>
  <c r="AS47" i="2"/>
  <c r="AT47" i="2" s="1"/>
  <c r="AP47" i="2"/>
  <c r="BF47" i="2"/>
  <c r="BH47" i="2" s="1"/>
  <c r="BE47" i="2"/>
  <c r="BR48" i="2"/>
  <c r="BT47" i="2"/>
  <c r="BD48" i="2"/>
  <c r="BA48" i="2"/>
  <c r="AZ49" i="2"/>
  <c r="AW46" i="2" l="1"/>
  <c r="AX47" i="2"/>
  <c r="AU47" i="2" s="1"/>
  <c r="BF48" i="2"/>
  <c r="BH48" i="2" s="1"/>
  <c r="BE48" i="2"/>
  <c r="BN50" i="2"/>
  <c r="BP49" i="2"/>
  <c r="AZ50" i="2"/>
  <c r="BD49" i="2"/>
  <c r="BA49" i="2"/>
  <c r="BR49" i="2"/>
  <c r="BT48" i="2"/>
  <c r="AP48" i="2"/>
  <c r="AO49" i="2"/>
  <c r="AS48" i="2"/>
  <c r="AT48" i="2" s="1"/>
  <c r="BK49" i="2"/>
  <c r="BL48" i="2"/>
  <c r="AX48" i="2" l="1"/>
  <c r="AU48" i="2" s="1"/>
  <c r="AW47" i="2"/>
  <c r="BK50" i="2"/>
  <c r="BL49" i="2"/>
  <c r="BP50" i="2"/>
  <c r="BN51" i="2"/>
  <c r="BE49" i="2"/>
  <c r="BF49" i="2"/>
  <c r="BH49" i="2" s="1"/>
  <c r="BA50" i="2"/>
  <c r="AZ51" i="2"/>
  <c r="BD50" i="2"/>
  <c r="AS49" i="2"/>
  <c r="AT49" i="2" s="1"/>
  <c r="AP49" i="2"/>
  <c r="AO50" i="2"/>
  <c r="BR50" i="2"/>
  <c r="BT49" i="2"/>
  <c r="AX49" i="2" l="1"/>
  <c r="AU49" i="2" s="1"/>
  <c r="AW48" i="2"/>
  <c r="AZ52" i="2"/>
  <c r="BD51" i="2"/>
  <c r="BA51" i="2"/>
  <c r="BK51" i="2"/>
  <c r="BL50" i="2"/>
  <c r="BN52" i="2"/>
  <c r="BP51" i="2"/>
  <c r="BR51" i="2"/>
  <c r="BT50" i="2"/>
  <c r="AO51" i="2"/>
  <c r="AS50" i="2"/>
  <c r="AP50" i="2"/>
  <c r="BF50" i="2"/>
  <c r="BE50" i="2"/>
  <c r="BH50" i="2" l="1"/>
  <c r="AT50" i="2"/>
  <c r="BT51" i="2"/>
  <c r="BR52" i="2"/>
  <c r="BL51" i="2"/>
  <c r="BK52" i="2"/>
  <c r="AZ53" i="2"/>
  <c r="BD52" i="2"/>
  <c r="BA52" i="2"/>
  <c r="AX50" i="2"/>
  <c r="AW49" i="2"/>
  <c r="AS51" i="2"/>
  <c r="AT51" i="2" s="1"/>
  <c r="AP51" i="2"/>
  <c r="AO52" i="2"/>
  <c r="BN53" i="2"/>
  <c r="BP52" i="2"/>
  <c r="BE51" i="2"/>
  <c r="BF51" i="2"/>
  <c r="BH51" i="2" s="1"/>
  <c r="AU50" i="2" l="1"/>
  <c r="AW50" i="2" s="1"/>
  <c r="BL52" i="2"/>
  <c r="BK53" i="2"/>
  <c r="BP53" i="2"/>
  <c r="BN54" i="2"/>
  <c r="BF52" i="2"/>
  <c r="BE52" i="2"/>
  <c r="BT52" i="2"/>
  <c r="BR53" i="2"/>
  <c r="AO53" i="2"/>
  <c r="AS52" i="2"/>
  <c r="AT52" i="2" s="1"/>
  <c r="AP52" i="2"/>
  <c r="BA53" i="2"/>
  <c r="AZ54" i="2"/>
  <c r="BD53" i="2"/>
  <c r="AX51" i="2" l="1"/>
  <c r="AU51" i="2" s="1"/>
  <c r="AW51" i="2" s="1"/>
  <c r="BH52" i="2"/>
  <c r="BK54" i="2"/>
  <c r="BL53" i="2"/>
  <c r="AX52" i="2"/>
  <c r="AO54" i="2"/>
  <c r="AS53" i="2"/>
  <c r="AT53" i="2" s="1"/>
  <c r="AP53" i="2"/>
  <c r="BR54" i="2"/>
  <c r="BT53" i="2"/>
  <c r="BF53" i="2"/>
  <c r="BH53" i="2" s="1"/>
  <c r="BE53" i="2"/>
  <c r="BP54" i="2"/>
  <c r="BN55" i="2"/>
  <c r="BD54" i="2"/>
  <c r="BA54" i="2"/>
  <c r="AZ55" i="2"/>
  <c r="AU52" i="2" l="1"/>
  <c r="AX53" i="2" s="1"/>
  <c r="AU53" i="2" s="1"/>
  <c r="BP55" i="2"/>
  <c r="BN56" i="2"/>
  <c r="AP54" i="2"/>
  <c r="AO55" i="2"/>
  <c r="AS54" i="2"/>
  <c r="AT54" i="2" s="1"/>
  <c r="BR55" i="2"/>
  <c r="BT54" i="2"/>
  <c r="BD55" i="2"/>
  <c r="BA55" i="2"/>
  <c r="AZ56" i="2"/>
  <c r="BF54" i="2"/>
  <c r="BE54" i="2"/>
  <c r="BK55" i="2"/>
  <c r="BL54" i="2"/>
  <c r="BH54" i="2" l="1"/>
  <c r="AW52" i="2"/>
  <c r="AW53" i="2"/>
  <c r="AX54" i="2"/>
  <c r="BK56" i="2"/>
  <c r="BL55" i="2"/>
  <c r="AZ57" i="2"/>
  <c r="BD56" i="2"/>
  <c r="BA56" i="2"/>
  <c r="AS55" i="2"/>
  <c r="AT55" i="2" s="1"/>
  <c r="AP55" i="2"/>
  <c r="AO56" i="2"/>
  <c r="BE55" i="2"/>
  <c r="BF55" i="2"/>
  <c r="BH55" i="2" s="1"/>
  <c r="BR56" i="2"/>
  <c r="BT55" i="2"/>
  <c r="BN57" i="2"/>
  <c r="BP56" i="2"/>
  <c r="AU54" i="2" l="1"/>
  <c r="AW54" i="2" s="1"/>
  <c r="BL56" i="2"/>
  <c r="BK57" i="2"/>
  <c r="BT56" i="2"/>
  <c r="BR57" i="2"/>
  <c r="BE56" i="2"/>
  <c r="BF56" i="2"/>
  <c r="BH56" i="2" s="1"/>
  <c r="AZ58" i="2"/>
  <c r="BD57" i="2"/>
  <c r="BA57" i="2"/>
  <c r="BN58" i="2"/>
  <c r="BP57" i="2"/>
  <c r="AS56" i="2"/>
  <c r="AT56" i="2" s="1"/>
  <c r="AP56" i="2"/>
  <c r="AO57" i="2"/>
  <c r="AX55" i="2" l="1"/>
  <c r="AU55" i="2" s="1"/>
  <c r="AX56" i="2" s="1"/>
  <c r="AU56" i="2" s="1"/>
  <c r="BT57" i="2"/>
  <c r="BR58" i="2"/>
  <c r="BF57" i="2"/>
  <c r="BH57" i="2" s="1"/>
  <c r="BE57" i="2"/>
  <c r="BA58" i="2"/>
  <c r="AZ59" i="2"/>
  <c r="BD58" i="2"/>
  <c r="BL57" i="2"/>
  <c r="BK58" i="2"/>
  <c r="AO58" i="2"/>
  <c r="AS57" i="2"/>
  <c r="AT57" i="2" s="1"/>
  <c r="AP57" i="2"/>
  <c r="BP58" i="2"/>
  <c r="BN59" i="2"/>
  <c r="AW55" i="2" l="1"/>
  <c r="BD59" i="2"/>
  <c r="BA59" i="2"/>
  <c r="AZ60" i="2"/>
  <c r="BK59" i="2"/>
  <c r="BL58" i="2"/>
  <c r="AX57" i="2"/>
  <c r="AU57" i="2" s="1"/>
  <c r="AW56" i="2"/>
  <c r="BF58" i="2"/>
  <c r="BH58" i="2" s="1"/>
  <c r="BE58" i="2"/>
  <c r="BP59" i="2"/>
  <c r="BN60" i="2"/>
  <c r="AO59" i="2"/>
  <c r="AS58" i="2"/>
  <c r="AT58" i="2" s="1"/>
  <c r="AP58" i="2"/>
  <c r="BR59" i="2"/>
  <c r="BT58" i="2"/>
  <c r="AX58" i="2" l="1"/>
  <c r="AU58" i="2" s="1"/>
  <c r="AW57" i="2"/>
  <c r="BR60" i="2"/>
  <c r="BT59" i="2"/>
  <c r="BN61" i="2"/>
  <c r="BP60" i="2"/>
  <c r="AZ61" i="2"/>
  <c r="BD60" i="2"/>
  <c r="BA60" i="2"/>
  <c r="BK60" i="2"/>
  <c r="BL59" i="2"/>
  <c r="AP59" i="2"/>
  <c r="AO60" i="2"/>
  <c r="AS59" i="2"/>
  <c r="AT59" i="2" s="1"/>
  <c r="BF59" i="2"/>
  <c r="BH59" i="2" s="1"/>
  <c r="BE59" i="2"/>
  <c r="AX59" i="2" l="1"/>
  <c r="AU59" i="2" s="1"/>
  <c r="AW58" i="2"/>
  <c r="AZ62" i="2"/>
  <c r="BD61" i="2"/>
  <c r="BA61" i="2"/>
  <c r="BT60" i="2"/>
  <c r="BR61" i="2"/>
  <c r="BL60" i="2"/>
  <c r="BK61" i="2"/>
  <c r="AS60" i="2"/>
  <c r="AT60" i="2" s="1"/>
  <c r="AP60" i="2"/>
  <c r="AO61" i="2"/>
  <c r="BN62" i="2"/>
  <c r="BP61" i="2"/>
  <c r="BE60" i="2"/>
  <c r="BF60" i="2"/>
  <c r="BH60" i="2" s="1"/>
  <c r="AZ63" i="2" l="1"/>
  <c r="AZ66" i="2" s="1"/>
  <c r="BA62" i="2"/>
  <c r="BD62" i="2"/>
  <c r="BT61" i="2"/>
  <c r="BR62" i="2"/>
  <c r="AO62" i="2"/>
  <c r="AS61" i="2"/>
  <c r="AT61" i="2" s="1"/>
  <c r="AP61" i="2"/>
  <c r="BL61" i="2"/>
  <c r="BK62" i="2"/>
  <c r="BN63" i="2"/>
  <c r="BP62" i="2"/>
  <c r="BF61" i="2"/>
  <c r="BH61" i="2" s="1"/>
  <c r="BE61" i="2"/>
  <c r="AX60" i="2"/>
  <c r="AU60" i="2" s="1"/>
  <c r="AW59" i="2"/>
  <c r="BP63" i="2" l="1"/>
  <c r="BP66" i="2" s="1"/>
  <c r="BN66" i="2"/>
  <c r="AS62" i="2"/>
  <c r="AT62" i="2" s="1"/>
  <c r="AO63" i="2"/>
  <c r="AO66" i="2" s="1"/>
  <c r="AP62" i="2"/>
  <c r="BR63" i="2"/>
  <c r="BT62" i="2"/>
  <c r="BF62" i="2"/>
  <c r="BH62" i="2" s="1"/>
  <c r="BE62" i="2"/>
  <c r="BK63" i="2"/>
  <c r="BL62" i="2"/>
  <c r="AX61" i="2"/>
  <c r="AU61" i="2" s="1"/>
  <c r="AW60" i="2"/>
  <c r="BD63" i="2"/>
  <c r="BD66" i="2" s="1"/>
  <c r="BA63" i="2"/>
  <c r="BA66" i="2" s="1"/>
  <c r="BT63" i="2" l="1"/>
  <c r="BT66" i="2" s="1"/>
  <c r="BR66" i="2"/>
  <c r="BL63" i="2"/>
  <c r="BL66" i="2" s="1"/>
  <c r="BK66" i="2"/>
  <c r="AX62" i="2"/>
  <c r="AU62" i="2" s="1"/>
  <c r="AW61" i="2"/>
  <c r="AS63" i="2"/>
  <c r="AP63" i="2"/>
  <c r="AP66" i="2" s="1"/>
  <c r="BF63" i="2"/>
  <c r="BE63" i="2"/>
  <c r="BE66" i="2" s="1"/>
  <c r="AT63" i="2" l="1"/>
  <c r="AT66" i="2" s="1"/>
  <c r="AS66" i="2"/>
  <c r="BH63" i="2"/>
  <c r="BH66" i="2" s="1"/>
  <c r="BF66" i="2"/>
  <c r="AX63" i="2"/>
  <c r="AW62" i="2"/>
  <c r="AU63" i="2" l="1"/>
  <c r="AX66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3" i="2"/>
  <c r="AE14" i="2"/>
  <c r="AE12" i="2"/>
  <c r="AE11" i="2"/>
  <c r="AE10" i="2"/>
  <c r="AD31" i="2"/>
  <c r="AD30" i="2"/>
  <c r="AD29" i="2"/>
  <c r="AD28" i="2"/>
  <c r="AD27" i="2"/>
  <c r="AD26" i="2"/>
  <c r="AD25" i="2"/>
  <c r="AG25" i="2" s="1"/>
  <c r="AD24" i="2"/>
  <c r="AG24" i="2" s="1"/>
  <c r="AD23" i="2"/>
  <c r="AD22" i="2"/>
  <c r="AD21" i="2"/>
  <c r="AG21" i="2" s="1"/>
  <c r="AD20" i="2"/>
  <c r="AG20" i="2" s="1"/>
  <c r="AD19" i="2"/>
  <c r="AD18" i="2"/>
  <c r="AD16" i="2"/>
  <c r="AG16" i="2" s="1"/>
  <c r="AD17" i="2"/>
  <c r="AG17" i="2" s="1"/>
  <c r="AD15" i="2"/>
  <c r="AD14" i="2"/>
  <c r="AG14" i="2" s="1"/>
  <c r="AD13" i="2"/>
  <c r="AD12" i="2"/>
  <c r="AG12" i="2" s="1"/>
  <c r="AD11" i="2"/>
  <c r="AD10" i="2"/>
  <c r="F7" i="2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G29" i="2" s="1"/>
  <c r="CB28" i="2"/>
  <c r="CG28" i="2" s="1"/>
  <c r="CB27" i="2"/>
  <c r="CG27" i="2" s="1"/>
  <c r="CB26" i="2"/>
  <c r="CG26" i="2" s="1"/>
  <c r="CB25" i="2"/>
  <c r="CG25" i="2" s="1"/>
  <c r="CB19" i="2"/>
  <c r="CG19" i="2" s="1"/>
  <c r="CB10" i="2"/>
  <c r="CB24" i="2"/>
  <c r="CG24" i="2" s="1"/>
  <c r="CB23" i="2"/>
  <c r="CG23" i="2" s="1"/>
  <c r="CB22" i="2"/>
  <c r="CG22" i="2" s="1"/>
  <c r="CB21" i="2"/>
  <c r="CG21" i="2" s="1"/>
  <c r="CB20" i="2"/>
  <c r="CG20" i="2" s="1"/>
  <c r="CB18" i="2"/>
  <c r="CG18" i="2" s="1"/>
  <c r="CB17" i="2"/>
  <c r="CG17" i="2" s="1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F14" i="2" l="1"/>
  <c r="F23" i="2"/>
  <c r="F24" i="2" s="1"/>
  <c r="AB9" i="2" s="1"/>
  <c r="F21" i="2"/>
  <c r="F22" i="2" s="1"/>
  <c r="AB41" i="2" s="1"/>
  <c r="AG11" i="2"/>
  <c r="AG15" i="2"/>
  <c r="AG19" i="2"/>
  <c r="AG23" i="2"/>
  <c r="AG27" i="2"/>
  <c r="AG31" i="2"/>
  <c r="AG28" i="2"/>
  <c r="AG29" i="2"/>
  <c r="AG13" i="2"/>
  <c r="AG10" i="2"/>
  <c r="AG18" i="2"/>
  <c r="AG22" i="2"/>
  <c r="AG26" i="2"/>
  <c r="AG30" i="2"/>
  <c r="AW63" i="2"/>
  <c r="AW66" i="2" s="1"/>
  <c r="AU66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CH30" i="2"/>
  <c r="BZ18" i="2"/>
  <c r="BZ15" i="2"/>
  <c r="BZ19" i="2"/>
  <c r="BZ23" i="2"/>
  <c r="CA23" i="2" s="1"/>
  <c r="BZ13" i="2"/>
  <c r="BZ25" i="2"/>
  <c r="BZ14" i="2"/>
  <c r="CH27" i="2"/>
  <c r="BZ16" i="2"/>
  <c r="BZ20" i="2"/>
  <c r="BZ24" i="2"/>
  <c r="BZ28" i="2"/>
  <c r="CA31" i="2"/>
  <c r="CH31" i="2"/>
  <c r="BZ27" i="2"/>
  <c r="CA25" i="2" l="1"/>
  <c r="CA16" i="2"/>
  <c r="CA24" i="2"/>
  <c r="CA18" i="2"/>
  <c r="CH15" i="2"/>
  <c r="CH17" i="2"/>
  <c r="CA22" i="2"/>
  <c r="CR46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A34" i="2" l="1"/>
  <c r="CH34" i="2"/>
  <c r="BR10" i="2" l="1"/>
  <c r="BT10" i="2" s="1"/>
  <c r="CR47" i="2" l="1"/>
  <c r="CR48" i="2" l="1"/>
  <c r="CM49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L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M10" i="2" l="1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AB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AC22" i="2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AH22" i="2" l="1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AA24" i="2" l="1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AA25" i="2" l="1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AK23" i="2" l="1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N24" i="2" l="1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AA28" i="2" l="1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AH30" i="2" l="1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B32" i="2"/>
  <c r="AC30" i="2"/>
  <c r="AW29" i="2"/>
  <c r="BT35" i="2"/>
  <c r="BP31" i="2"/>
  <c r="BP35" i="2" s="1"/>
  <c r="BQ35" i="2"/>
  <c r="BL31" i="2"/>
  <c r="BF31" i="2"/>
  <c r="BE31" i="2"/>
  <c r="AX30" i="2"/>
  <c r="AU30" i="2" s="1"/>
  <c r="AW30" i="2" s="1"/>
  <c r="M31" i="2"/>
  <c r="AP31" i="2"/>
  <c r="AS31" i="2"/>
  <c r="AT31" i="2" s="1"/>
  <c r="AI28" i="2" l="1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C32" i="2"/>
  <c r="CN30" i="2"/>
  <c r="AM30" i="2"/>
  <c r="AL30" i="2"/>
  <c r="AK30" i="2"/>
  <c r="BI35" i="2"/>
  <c r="BH31" i="2"/>
  <c r="BH35" i="2" s="1"/>
  <c r="AO35" i="2"/>
  <c r="AX31" i="2"/>
  <c r="AU31" i="2" s="1"/>
  <c r="AJ30" i="2" l="1"/>
  <c r="AA31" i="2"/>
  <c r="CN29" i="2"/>
  <c r="AL29" i="2"/>
  <c r="AJ29" i="2"/>
  <c r="AK29" i="2"/>
  <c r="AJ28" i="2"/>
  <c r="AL28" i="2"/>
  <c r="CN28" i="2"/>
  <c r="AK28" i="2"/>
  <c r="AC34" i="2"/>
  <c r="AN35" i="2"/>
  <c r="AW31" i="2"/>
  <c r="AW35" i="2" s="1"/>
  <c r="AX35" i="2"/>
  <c r="AA32" i="2" l="1"/>
  <c r="AA34" i="2" s="1"/>
  <c r="AH32" i="2"/>
  <c r="AI32" i="2" s="1"/>
  <c r="CN32" i="2" s="1"/>
  <c r="AH31" i="2"/>
  <c r="AL32" i="2" l="1"/>
  <c r="AM32" i="2"/>
  <c r="AK32" i="2"/>
  <c r="AI31" i="2"/>
  <c r="CN31" i="2" l="1"/>
  <c r="CN34" i="2" s="1"/>
  <c r="CN35" i="2" s="1"/>
  <c r="AJ31" i="2"/>
  <c r="AK31" i="2"/>
  <c r="AK34" i="2" s="1"/>
  <c r="AL31" i="2"/>
  <c r="AL34" i="2" s="1"/>
  <c r="AJ32" i="2"/>
  <c r="AM31" i="2"/>
  <c r="AM34" i="2" s="1"/>
  <c r="AI17" i="2" l="1"/>
  <c r="AL17" i="2" s="1"/>
  <c r="AM17" i="2" l="1"/>
  <c r="CN17" i="2"/>
  <c r="AJ18" i="2"/>
  <c r="AJ34" i="2" s="1"/>
  <c r="AK17" i="2"/>
  <c r="CK17" i="2" l="1"/>
  <c r="CL17" i="2" s="1"/>
  <c r="CK18" i="2" l="1"/>
  <c r="CL18" i="2" s="1"/>
  <c r="CM17" i="2"/>
  <c r="CK19" i="2" l="1"/>
  <c r="CK20" i="2" s="1"/>
  <c r="CM18" i="2"/>
  <c r="CL19" i="2" l="1"/>
  <c r="CM19" i="2" s="1"/>
  <c r="CL20" i="2"/>
  <c r="CK21" i="2"/>
  <c r="CM20" i="2" l="1"/>
  <c r="CK22" i="2"/>
  <c r="CL21" i="2"/>
  <c r="CM21" i="2" s="1"/>
  <c r="CK23" i="2" l="1"/>
  <c r="CL22" i="2"/>
  <c r="CM22" i="2" s="1"/>
  <c r="CK24" i="2" l="1"/>
  <c r="CL23" i="2"/>
  <c r="CM23" i="2" s="1"/>
  <c r="CK25" i="2" l="1"/>
  <c r="CL24" i="2"/>
  <c r="CM24" i="2" s="1"/>
  <c r="CK26" i="2" l="1"/>
  <c r="CL25" i="2"/>
  <c r="CM25" i="2" s="1"/>
  <c r="CK27" i="2" l="1"/>
  <c r="CL26" i="2"/>
  <c r="CM26" i="2" s="1"/>
  <c r="CK28" i="2" l="1"/>
  <c r="CL27" i="2"/>
  <c r="CM27" i="2" s="1"/>
  <c r="CK29" i="2" l="1"/>
  <c r="CL28" i="2"/>
  <c r="CM28" i="2" s="1"/>
  <c r="CK30" i="2" l="1"/>
  <c r="CL29" i="2"/>
  <c r="CM29" i="2" s="1"/>
  <c r="CK31" i="2" l="1"/>
  <c r="CL30" i="2"/>
  <c r="CM30" i="2" s="1"/>
  <c r="CK32" i="2" l="1"/>
  <c r="CL32" i="2" s="1"/>
  <c r="CL31" i="2"/>
  <c r="CM31" i="2" s="1"/>
  <c r="CL34" i="2" l="1"/>
  <c r="CM32" i="2"/>
  <c r="CM34" i="2" s="1"/>
  <c r="AG45" i="2"/>
  <c r="AG44" i="2"/>
  <c r="AG43" i="2"/>
  <c r="AG42" i="2"/>
  <c r="AB42" i="2" s="1"/>
  <c r="AC42" i="2" s="1"/>
  <c r="AB59" i="2" l="1"/>
  <c r="AB51" i="2"/>
  <c r="AB54" i="2"/>
  <c r="AB58" i="2"/>
  <c r="AB53" i="2"/>
  <c r="AB49" i="2"/>
  <c r="AB50" i="2"/>
  <c r="AC50" i="2" s="1"/>
  <c r="AB46" i="2"/>
  <c r="AB43" i="2"/>
  <c r="AC43" i="2" s="1"/>
  <c r="AB62" i="2"/>
  <c r="AB61" i="2"/>
  <c r="AB52" i="2"/>
  <c r="AB45" i="2"/>
  <c r="AB56" i="2"/>
  <c r="AB44" i="2"/>
  <c r="AB48" i="2"/>
  <c r="AB64" i="2"/>
  <c r="AB60" i="2"/>
  <c r="AB63" i="2"/>
  <c r="AB55" i="2"/>
  <c r="AB47" i="2"/>
  <c r="AB57" i="2"/>
  <c r="AC58" i="2" l="1"/>
  <c r="N54" i="2"/>
  <c r="Z54" i="2" s="1"/>
  <c r="N59" i="2"/>
  <c r="N51" i="2"/>
  <c r="N50" i="2"/>
  <c r="AC46" i="2"/>
  <c r="AC59" i="2"/>
  <c r="AC54" i="2"/>
  <c r="AC51" i="2"/>
  <c r="N49" i="2"/>
  <c r="Z49" i="2" s="1"/>
  <c r="AC49" i="2"/>
  <c r="AC48" i="2"/>
  <c r="AC63" i="2"/>
  <c r="N64" i="2"/>
  <c r="Z64" i="2" s="1"/>
  <c r="AC44" i="2"/>
  <c r="N45" i="2"/>
  <c r="AC60" i="2"/>
  <c r="N61" i="2"/>
  <c r="Z61" i="2" s="1"/>
  <c r="N57" i="2"/>
  <c r="Z57" i="2" s="1"/>
  <c r="AC56" i="2"/>
  <c r="N63" i="2"/>
  <c r="Z63" i="2" s="1"/>
  <c r="AC62" i="2"/>
  <c r="AH54" i="2"/>
  <c r="N56" i="2"/>
  <c r="Z56" i="2" s="1"/>
  <c r="AC55" i="2"/>
  <c r="AC52" i="2"/>
  <c r="N53" i="2"/>
  <c r="AC53" i="2"/>
  <c r="N52" i="2"/>
  <c r="Z52" i="2" s="1"/>
  <c r="AC61" i="2"/>
  <c r="N62" i="2"/>
  <c r="Z62" i="2" s="1"/>
  <c r="N58" i="2"/>
  <c r="AC57" i="2"/>
  <c r="AC47" i="2"/>
  <c r="N48" i="2"/>
  <c r="N47" i="2"/>
  <c r="AC64" i="2"/>
  <c r="N46" i="2"/>
  <c r="AC45" i="2"/>
  <c r="N55" i="2"/>
  <c r="Z55" i="2" s="1"/>
  <c r="N60" i="2"/>
  <c r="Z60" i="2" s="1"/>
  <c r="Z58" i="2" l="1"/>
  <c r="AA58" i="2" s="1"/>
  <c r="Z50" i="2"/>
  <c r="AH50" i="2" s="1"/>
  <c r="AI50" i="2" s="1"/>
  <c r="Z51" i="2"/>
  <c r="AA51" i="2" s="1"/>
  <c r="Z53" i="2"/>
  <c r="AA54" i="2" s="1"/>
  <c r="Z59" i="2"/>
  <c r="AA59" i="2" s="1"/>
  <c r="AC66" i="2"/>
  <c r="AH60" i="2"/>
  <c r="AA60" i="2"/>
  <c r="AA55" i="2"/>
  <c r="AH55" i="2"/>
  <c r="AH52" i="2"/>
  <c r="AI54" i="2"/>
  <c r="AH61" i="2"/>
  <c r="AA61" i="2"/>
  <c r="AH58" i="2"/>
  <c r="AH56" i="2"/>
  <c r="AA56" i="2"/>
  <c r="AA63" i="2"/>
  <c r="AH63" i="2"/>
  <c r="AH57" i="2"/>
  <c r="AA57" i="2"/>
  <c r="AH62" i="2"/>
  <c r="AA62" i="2"/>
  <c r="AA64" i="2"/>
  <c r="AH64" i="2"/>
  <c r="AH49" i="2"/>
  <c r="AA50" i="2"/>
  <c r="AH59" i="2" l="1"/>
  <c r="AI59" i="2" s="1"/>
  <c r="AH53" i="2"/>
  <c r="AA53" i="2"/>
  <c r="AH51" i="2"/>
  <c r="AI51" i="2" s="1"/>
  <c r="AL51" i="2" s="1"/>
  <c r="AM50" i="2"/>
  <c r="AL50" i="2"/>
  <c r="AK50" i="2"/>
  <c r="CN50" i="2"/>
  <c r="CR50" i="2" s="1"/>
  <c r="AA52" i="2"/>
  <c r="AA66" i="2" s="1"/>
  <c r="AI64" i="2"/>
  <c r="AM64" i="2" s="1"/>
  <c r="AI63" i="2"/>
  <c r="AM63" i="2" s="1"/>
  <c r="AL54" i="2"/>
  <c r="AK54" i="2"/>
  <c r="CN54" i="2"/>
  <c r="CR54" i="2" s="1"/>
  <c r="AI62" i="2"/>
  <c r="AM62" i="2" s="1"/>
  <c r="AI53" i="2"/>
  <c r="AJ54" i="2" s="1"/>
  <c r="CN59" i="2"/>
  <c r="CR59" i="2" s="1"/>
  <c r="AK59" i="2"/>
  <c r="AL59" i="2"/>
  <c r="AI58" i="2"/>
  <c r="AM58" i="2" s="1"/>
  <c r="AI55" i="2"/>
  <c r="AM54" i="2"/>
  <c r="AI49" i="2"/>
  <c r="AI57" i="2"/>
  <c r="AM57" i="2" s="1"/>
  <c r="AI56" i="2"/>
  <c r="AM56" i="2" s="1"/>
  <c r="AI61" i="2"/>
  <c r="AM61" i="2" s="1"/>
  <c r="AI52" i="2"/>
  <c r="AM59" i="2"/>
  <c r="AI60" i="2"/>
  <c r="AM60" i="2" s="1"/>
  <c r="AK51" i="2" l="1"/>
  <c r="AJ51" i="2"/>
  <c r="AM51" i="2"/>
  <c r="CN51" i="2"/>
  <c r="CR51" i="2" s="1"/>
  <c r="AJ59" i="2"/>
  <c r="CN52" i="2"/>
  <c r="CR52" i="2" s="1"/>
  <c r="AL52" i="2"/>
  <c r="AJ52" i="2"/>
  <c r="AK52" i="2"/>
  <c r="AL49" i="2"/>
  <c r="CN49" i="2"/>
  <c r="AK49" i="2"/>
  <c r="AJ50" i="2"/>
  <c r="AL55" i="2"/>
  <c r="AJ55" i="2"/>
  <c r="CN55" i="2"/>
  <c r="CR55" i="2" s="1"/>
  <c r="AK55" i="2"/>
  <c r="CN63" i="2"/>
  <c r="CR63" i="2" s="1"/>
  <c r="AL63" i="2"/>
  <c r="AK63" i="2"/>
  <c r="AJ63" i="2"/>
  <c r="AM52" i="2"/>
  <c r="AM49" i="2"/>
  <c r="AM55" i="2"/>
  <c r="AL53" i="2"/>
  <c r="AJ53" i="2"/>
  <c r="CN53" i="2"/>
  <c r="CR53" i="2" s="1"/>
  <c r="AK53" i="2"/>
  <c r="AJ56" i="2"/>
  <c r="AL56" i="2"/>
  <c r="AK56" i="2"/>
  <c r="CN56" i="2"/>
  <c r="CR56" i="2" s="1"/>
  <c r="AL60" i="2"/>
  <c r="AK60" i="2"/>
  <c r="AJ60" i="2"/>
  <c r="CN60" i="2"/>
  <c r="CR60" i="2" s="1"/>
  <c r="CN61" i="2"/>
  <c r="AK61" i="2"/>
  <c r="AJ61" i="2"/>
  <c r="AL61" i="2"/>
  <c r="AL57" i="2"/>
  <c r="CN57" i="2"/>
  <c r="CR57" i="2" s="1"/>
  <c r="AK57" i="2"/>
  <c r="AJ57" i="2"/>
  <c r="AK58" i="2"/>
  <c r="AL58" i="2"/>
  <c r="CN58" i="2"/>
  <c r="CR58" i="2" s="1"/>
  <c r="AJ58" i="2"/>
  <c r="AM53" i="2"/>
  <c r="AJ62" i="2"/>
  <c r="CN62" i="2"/>
  <c r="AL62" i="2"/>
  <c r="AK62" i="2"/>
  <c r="CN64" i="2"/>
  <c r="AJ64" i="2"/>
  <c r="AK64" i="2"/>
  <c r="AL64" i="2"/>
  <c r="CR61" i="2" l="1"/>
  <c r="CN67" i="2"/>
  <c r="CR67" i="2" s="1"/>
  <c r="CK50" i="2"/>
  <c r="CL50" i="2" s="1"/>
  <c r="AJ66" i="2"/>
  <c r="CR62" i="2"/>
  <c r="CR66" i="2" s="1"/>
  <c r="CQ50" i="2"/>
  <c r="CT49" i="2"/>
  <c r="CR49" i="2"/>
  <c r="AL66" i="2"/>
  <c r="AK66" i="2"/>
  <c r="AM66" i="2"/>
  <c r="CK51" i="2" l="1"/>
  <c r="CL51" i="2" s="1"/>
  <c r="CM51" i="2" s="1"/>
  <c r="CM50" i="2"/>
  <c r="CT50" i="2"/>
  <c r="CS50" i="2"/>
  <c r="CQ51" i="2"/>
  <c r="CK52" i="2" l="1"/>
  <c r="CL52" i="2" s="1"/>
  <c r="CM52" i="2" s="1"/>
  <c r="CT51" i="2"/>
  <c r="CQ52" i="2"/>
  <c r="CS51" i="2"/>
  <c r="CK53" i="2" l="1"/>
  <c r="CL53" i="2" s="1"/>
  <c r="CQ53" i="2"/>
  <c r="CT52" i="2"/>
  <c r="CS52" i="2"/>
  <c r="CK54" i="2" l="1"/>
  <c r="CL54" i="2" s="1"/>
  <c r="CM54" i="2" s="1"/>
  <c r="CS53" i="2"/>
  <c r="CT53" i="2"/>
  <c r="CQ54" i="2"/>
  <c r="CK55" i="2"/>
  <c r="CM53" i="2"/>
  <c r="CK56" i="2" l="1"/>
  <c r="CL55" i="2"/>
  <c r="CT54" i="2"/>
  <c r="CS54" i="2"/>
  <c r="CQ55" i="2"/>
  <c r="CM55" i="2" l="1"/>
  <c r="CT55" i="2"/>
  <c r="CQ56" i="2"/>
  <c r="CS55" i="2"/>
  <c r="CK57" i="2"/>
  <c r="CL56" i="2"/>
  <c r="CM56" i="2" s="1"/>
  <c r="CK58" i="2" l="1"/>
  <c r="CL57" i="2"/>
  <c r="CM57" i="2" s="1"/>
  <c r="CS56" i="2"/>
  <c r="CT56" i="2"/>
  <c r="CQ57" i="2"/>
  <c r="CS57" i="2" l="1"/>
  <c r="CT57" i="2"/>
  <c r="CQ58" i="2"/>
  <c r="CK59" i="2"/>
  <c r="CL58" i="2"/>
  <c r="CM58" i="2" s="1"/>
  <c r="CK60" i="2" l="1"/>
  <c r="CL59" i="2"/>
  <c r="CM59" i="2" s="1"/>
  <c r="CT58" i="2"/>
  <c r="CQ59" i="2"/>
  <c r="CS58" i="2"/>
  <c r="CS59" i="2" l="1"/>
  <c r="CT59" i="2"/>
  <c r="CQ60" i="2"/>
  <c r="CL60" i="2"/>
  <c r="CM60" i="2" s="1"/>
  <c r="CK61" i="2"/>
  <c r="CT60" i="2" l="1"/>
  <c r="CQ61" i="2"/>
  <c r="CS60" i="2"/>
  <c r="CK62" i="2"/>
  <c r="CL61" i="2"/>
  <c r="CM61" i="2" s="1"/>
  <c r="CT61" i="2" l="1"/>
  <c r="CQ62" i="2"/>
  <c r="CS61" i="2"/>
  <c r="CK63" i="2"/>
  <c r="CL62" i="2"/>
  <c r="CM62" i="2" s="1"/>
  <c r="CQ63" i="2" l="1"/>
  <c r="CS62" i="2"/>
  <c r="CT62" i="2"/>
  <c r="CL63" i="2"/>
  <c r="CM63" i="2" s="1"/>
  <c r="CK64" i="2"/>
  <c r="CL64" i="2" s="1"/>
  <c r="CM64" i="2" l="1"/>
  <c r="CM66" i="2" s="1"/>
  <c r="CL66" i="2"/>
  <c r="CT63" i="2"/>
  <c r="CS63" i="2"/>
  <c r="CQ64" i="2"/>
  <c r="CT64" i="2" l="1"/>
  <c r="CT66" i="2" s="1"/>
  <c r="CS64" i="2"/>
  <c r="CS66" i="2" s="1"/>
</calcChain>
</file>

<file path=xl/sharedStrings.xml><?xml version="1.0" encoding="utf-8"?>
<sst xmlns="http://schemas.openxmlformats.org/spreadsheetml/2006/main" count="194" uniqueCount="92">
  <si>
    <t>Year</t>
  </si>
  <si>
    <t>ASL</t>
  </si>
  <si>
    <t>Beta</t>
  </si>
  <si>
    <t>Capital services</t>
  </si>
  <si>
    <t>Depreciation</t>
  </si>
  <si>
    <t>Sample Year</t>
  </si>
  <si>
    <t>CapExpends</t>
  </si>
  <si>
    <t>Hyperbolic BLS, Beta = 0.75</t>
  </si>
  <si>
    <t>One Hoss Shay, Beta = 1.0</t>
  </si>
  <si>
    <t>Regulatory Straight Line, Beta = 0</t>
  </si>
  <si>
    <t>Geometric Decay</t>
  </si>
  <si>
    <t>Dep rate 1</t>
  </si>
  <si>
    <t>Dep rate 2</t>
  </si>
  <si>
    <t>TWA</t>
  </si>
  <si>
    <t>Growth K</t>
  </si>
  <si>
    <t>Est. Retirements</t>
  </si>
  <si>
    <t>Capital stock</t>
  </si>
  <si>
    <t>NonL O&amp;M</t>
  </si>
  <si>
    <t>Real NonLOM</t>
  </si>
  <si>
    <t>GrowthNonL</t>
  </si>
  <si>
    <t>Growth L</t>
  </si>
  <si>
    <t>GDP-IPI</t>
  </si>
  <si>
    <t>AWE</t>
  </si>
  <si>
    <t>Real Labor</t>
  </si>
  <si>
    <t>Labor</t>
  </si>
  <si>
    <t>1998 Gross</t>
  </si>
  <si>
    <t>1998 AccumD</t>
  </si>
  <si>
    <t>1998 Net Plant</t>
  </si>
  <si>
    <t>Union Dx</t>
  </si>
  <si>
    <t>Union Tx</t>
  </si>
  <si>
    <t>Union General</t>
  </si>
  <si>
    <t>Real Capital Additions</t>
  </si>
  <si>
    <t>Distribution CapAdds</t>
  </si>
  <si>
    <t>Other CapAdds</t>
  </si>
  <si>
    <t>K Input Price</t>
  </si>
  <si>
    <t>K Costs</t>
  </si>
  <si>
    <t>Total Costs</t>
  </si>
  <si>
    <t>L Share Costs</t>
  </si>
  <si>
    <t>M Share Costs</t>
  </si>
  <si>
    <t>K Share Costs</t>
  </si>
  <si>
    <t>Change in Output</t>
  </si>
  <si>
    <t>Change in Input</t>
  </si>
  <si>
    <t>Index Total Input</t>
  </si>
  <si>
    <t>Change in EGI TFP</t>
  </si>
  <si>
    <t>"Index" Total Output</t>
  </si>
  <si>
    <t>EGI TFP Trends, All Regulated Operations</t>
  </si>
  <si>
    <t>%Ch TC</t>
  </si>
  <si>
    <t>Input Price Index</t>
  </si>
  <si>
    <t>Real Distr Additions</t>
  </si>
  <si>
    <t>Distribution Only costs for EGI Benchmarking</t>
  </si>
  <si>
    <t>UC</t>
  </si>
  <si>
    <t>TFP Level</t>
  </si>
  <si>
    <t>C$</t>
  </si>
  <si>
    <t>US$</t>
  </si>
  <si>
    <t>O&amp;M/Cust</t>
  </si>
  <si>
    <t>AHE</t>
  </si>
  <si>
    <t>Avg % Change</t>
  </si>
  <si>
    <t>Hyperbolic Depreciation</t>
  </si>
  <si>
    <t>Actual Depreciation</t>
  </si>
  <si>
    <t>Moodys</t>
  </si>
  <si>
    <t>u</t>
  </si>
  <si>
    <t>z</t>
  </si>
  <si>
    <t>2006-2021</t>
  </si>
  <si>
    <t>1-uz</t>
  </si>
  <si>
    <t>1-u</t>
  </si>
  <si>
    <t>%Ch Input Price Index</t>
  </si>
  <si>
    <t>TFP Level Index</t>
  </si>
  <si>
    <t>%Ch K Price</t>
  </si>
  <si>
    <t>%Ch GDPIPI</t>
  </si>
  <si>
    <t>%Ch AHE</t>
  </si>
  <si>
    <t>EGD Dx</t>
  </si>
  <si>
    <t>EGD Storage</t>
  </si>
  <si>
    <t>Union Storage</t>
  </si>
  <si>
    <t>DX/(DX+NonDX)</t>
  </si>
  <si>
    <t>EGD General</t>
  </si>
  <si>
    <t>Union Intangible</t>
  </si>
  <si>
    <t>Total Dx</t>
  </si>
  <si>
    <t>Totaln Non-DX</t>
  </si>
  <si>
    <t>Alloc of General to DX</t>
  </si>
  <si>
    <t>Total DX plus allocated general capital 1998</t>
  </si>
  <si>
    <t>Net Dx capital/TWA</t>
  </si>
  <si>
    <t>Dx Net Capital 1998/TWA</t>
  </si>
  <si>
    <t>Total Net Capital 1998 /TWA</t>
  </si>
  <si>
    <t xml:space="preserve">Avg % Change </t>
  </si>
  <si>
    <t>Gross and Net 1998 Capital Stocks</t>
  </si>
  <si>
    <t>Distribution and Alloc. Gen CapAdds</t>
  </si>
  <si>
    <t>GDP_IPD</t>
  </si>
  <si>
    <t>GDIIPD</t>
  </si>
  <si>
    <t>%ChGDPIIPD</t>
  </si>
  <si>
    <t>38 Yr TWA</t>
  </si>
  <si>
    <t xml:space="preserve">3 Yr Avg </t>
  </si>
  <si>
    <t>OM/Customer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</si>
</sst>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</numFmts>
  <fonts count="9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center"/>
    </xf>
    <xf numFmtId="166" fontId="0" fillId="0" borderId="0" xfId="0" applyNumberFormat="1"/>
    <xf numFmtId="0" fontId="1" fillId="0" borderId="0" xfId="0" applyFont="1" applyAlignment="1">
      <alignment horizontal="center" wrapText="1"/>
    </xf>
    <xf numFmtId="2" fontId="0" fillId="0" borderId="0" xfId="0" applyNumberFormat="1"/>
    <xf numFmtId="1" fontId="0" fillId="0" borderId="0" xfId="1" applyNumberFormat="1" applyFont="1" applyBorder="1"/>
    <xf numFmtId="1" fontId="0" fillId="0" borderId="0" xfId="0" applyNumberFormat="1" applyAlignment="1">
      <alignment wrapText="1"/>
    </xf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68" fontId="0" fillId="0" borderId="0" xfId="0" applyNumberFormat="1"/>
    <xf numFmtId="1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Fill="1"/>
    <xf numFmtId="166" fontId="0" fillId="0" borderId="0" xfId="0" applyNumberFormat="1" applyFill="1"/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2" fontId="0" fillId="0" borderId="0" xfId="0" applyNumberFormat="1" applyFill="1"/>
    <xf numFmtId="10" fontId="0" fillId="0" borderId="0" xfId="0" applyNumberFormat="1" applyFill="1"/>
    <xf numFmtId="10" fontId="0" fillId="0" borderId="0" xfId="0" applyNumberFormat="1" applyFill="1" applyAlignment="1">
      <alignment horizontal="center"/>
    </xf>
    <xf numFmtId="1" fontId="0" fillId="0" borderId="0" xfId="0" applyNumberFormat="1" applyFill="1"/>
    <xf numFmtId="2" fontId="0" fillId="0" borderId="0" xfId="0" applyNumberFormat="1" applyFill="1" applyAlignment="1">
      <alignment vertical="top"/>
    </xf>
    <xf numFmtId="2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/>
    <xf numFmtId="169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right"/>
    </xf>
    <xf numFmtId="10" fontId="0" fillId="0" borderId="0" xfId="0" applyNumberFormat="1" applyFill="1" applyAlignment="1">
      <alignment horizontal="right"/>
    </xf>
    <xf numFmtId="170" fontId="0" fillId="0" borderId="0" xfId="0" applyNumberFormat="1" applyFill="1"/>
    <xf numFmtId="168" fontId="0" fillId="0" borderId="0" xfId="0" applyNumberFormat="1" applyFill="1"/>
    <xf numFmtId="167" fontId="5" fillId="0" borderId="0" xfId="0" applyNumberFormat="1" applyFont="1" applyFill="1" applyAlignment="1">
      <alignment horizontal="right"/>
    </xf>
    <xf numFmtId="3" fontId="0" fillId="0" borderId="0" xfId="0" applyNumberFormat="1" applyFill="1"/>
    <xf numFmtId="2" fontId="5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2" fontId="0" fillId="0" borderId="0" xfId="0" applyNumberFormat="1" applyFont="1" applyFill="1"/>
    <xf numFmtId="0" fontId="0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93"/>
  <sheetViews>
    <sheetView tabSelected="1" workbookViewId="0">
      <selection activeCell="I4" sqref="I4"/>
    </sheetView>
  </sheetViews>
  <sheetFormatPr defaultColWidth="12.7109375" defaultRowHeight="15" x14ac:dyDescent="0.25"/>
  <cols>
    <col min="1" max="2" width="16.7109375" customWidth="1"/>
    <col min="3" max="3" width="14.7109375" customWidth="1"/>
    <col min="4" max="6" width="12.7109375" customWidth="1"/>
    <col min="10" max="18" width="12.7109375" customWidth="1"/>
    <col min="19" max="21" width="1.7109375" customWidth="1"/>
    <col min="22" max="28" width="12.7109375" customWidth="1"/>
    <col min="29" max="29" width="9.28515625" bestFit="1" customWidth="1"/>
    <col min="30" max="30" width="12.7109375" customWidth="1"/>
    <col min="31" max="32" width="9.28515625" customWidth="1"/>
    <col min="33" max="33" width="11.7109375" bestFit="1" customWidth="1"/>
    <col min="34" max="39" width="11.7109375" customWidth="1"/>
    <col min="40" max="45" width="0" hidden="1" customWidth="1"/>
    <col min="46" max="46" width="12.42578125" hidden="1" customWidth="1"/>
    <col min="47" max="48" width="12.7109375" hidden="1" customWidth="1"/>
    <col min="49" max="72" width="0" hidden="1" customWidth="1"/>
    <col min="74" max="74" width="0" hidden="1" customWidth="1"/>
    <col min="81" max="82" width="0" hidden="1" customWidth="1"/>
    <col min="88" max="88" width="13.28515625" bestFit="1" customWidth="1"/>
    <col min="93" max="93" width="14.7109375" customWidth="1"/>
    <col min="94" max="94" width="3.7109375" customWidth="1"/>
    <col min="96" max="96" width="12.7109375" hidden="1" customWidth="1"/>
    <col min="100" max="103" width="12.7109375" customWidth="1"/>
  </cols>
  <sheetData>
    <row r="1" spans="1:113" ht="26.25" x14ac:dyDescent="0.4">
      <c r="A1" s="16"/>
      <c r="B1" s="16"/>
      <c r="C1" s="16"/>
      <c r="D1" s="16"/>
      <c r="E1" s="16"/>
      <c r="F1" s="16"/>
      <c r="G1" s="17"/>
      <c r="H1" s="16"/>
      <c r="I1" s="18"/>
      <c r="J1" s="18"/>
      <c r="K1" s="18" t="s">
        <v>45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</row>
    <row r="2" spans="1:11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</row>
    <row r="3" spans="1:113" ht="18.75" x14ac:dyDescent="0.3">
      <c r="A3" s="19" t="s">
        <v>84</v>
      </c>
      <c r="B3" s="20"/>
      <c r="C3" s="20"/>
      <c r="D3" s="20"/>
      <c r="E3" s="20"/>
      <c r="F3" s="20"/>
      <c r="G3" s="20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</row>
    <row r="4" spans="1:113" x14ac:dyDescent="0.25">
      <c r="A4" s="21"/>
      <c r="B4" s="21"/>
      <c r="C4" s="16"/>
      <c r="D4" s="21" t="s">
        <v>25</v>
      </c>
      <c r="E4" s="21" t="s">
        <v>26</v>
      </c>
      <c r="F4" s="21" t="s">
        <v>27</v>
      </c>
      <c r="G4" s="16" t="s">
        <v>13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</row>
    <row r="5" spans="1:113" x14ac:dyDescent="0.25">
      <c r="A5" s="22" t="s">
        <v>70</v>
      </c>
      <c r="B5" s="21"/>
      <c r="C5" s="16"/>
      <c r="D5" s="22">
        <v>2704.3</v>
      </c>
      <c r="E5" s="22">
        <v>669.7</v>
      </c>
      <c r="F5" s="22">
        <f>+D5-E5</f>
        <v>2034.6000000000001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</row>
    <row r="6" spans="1:113" ht="18.75" x14ac:dyDescent="0.3">
      <c r="A6" s="22" t="s">
        <v>28</v>
      </c>
      <c r="B6" s="16"/>
      <c r="C6" s="16"/>
      <c r="D6" s="16">
        <v>2384.9</v>
      </c>
      <c r="E6" s="22">
        <f>+D6-F6</f>
        <v>679</v>
      </c>
      <c r="F6" s="16">
        <v>1705.9</v>
      </c>
      <c r="G6" s="48">
        <v>49.91</v>
      </c>
      <c r="H6" s="49" t="s">
        <v>89</v>
      </c>
      <c r="I6" s="19" t="s">
        <v>7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3"/>
      <c r="AI6" s="23"/>
      <c r="AJ6" s="23"/>
      <c r="AK6" s="23"/>
      <c r="AL6" s="23"/>
      <c r="AM6" s="23"/>
      <c r="AN6" s="16"/>
      <c r="AO6" s="16"/>
      <c r="AP6" s="19" t="s">
        <v>8</v>
      </c>
      <c r="AQ6" s="19"/>
      <c r="AR6" s="19"/>
      <c r="AS6" s="19"/>
      <c r="AT6" s="19"/>
      <c r="AU6" s="19"/>
      <c r="AV6" s="19"/>
      <c r="AW6" s="16"/>
      <c r="AX6" s="16"/>
      <c r="AY6" s="16"/>
      <c r="AZ6" s="19" t="s">
        <v>9</v>
      </c>
      <c r="BA6" s="19"/>
      <c r="BB6" s="19"/>
      <c r="BC6" s="19"/>
      <c r="BD6" s="19"/>
      <c r="BE6" s="19"/>
      <c r="BF6" s="19"/>
      <c r="BG6" s="19"/>
      <c r="BH6" s="19"/>
      <c r="BI6" s="16"/>
      <c r="BJ6" s="16"/>
      <c r="BK6" s="19" t="s">
        <v>10</v>
      </c>
      <c r="BL6" s="19"/>
      <c r="BM6" s="19"/>
      <c r="BN6" s="19"/>
      <c r="BO6" s="19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X6" s="3"/>
    </row>
    <row r="7" spans="1:113" x14ac:dyDescent="0.25">
      <c r="A7" s="16" t="s">
        <v>76</v>
      </c>
      <c r="B7" s="16"/>
      <c r="C7" s="16"/>
      <c r="D7" s="22">
        <f>+D6+D5</f>
        <v>5089.2000000000007</v>
      </c>
      <c r="E7" s="22">
        <f>+E6+E5</f>
        <v>1348.7</v>
      </c>
      <c r="F7" s="22">
        <f t="shared" ref="F7" si="0">+D7-E7</f>
        <v>3740.5000000000009</v>
      </c>
      <c r="G7" s="16"/>
      <c r="H7" s="24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X7" s="10"/>
      <c r="CY7" s="1"/>
    </row>
    <row r="8" spans="1:113" ht="30" x14ac:dyDescent="0.25">
      <c r="A8" s="22" t="s">
        <v>71</v>
      </c>
      <c r="B8" s="16"/>
      <c r="C8" s="16"/>
      <c r="D8" s="22">
        <v>180.6</v>
      </c>
      <c r="E8" s="22">
        <f>+D8-F8</f>
        <v>41.400000000000006</v>
      </c>
      <c r="F8" s="22">
        <v>139.19999999999999</v>
      </c>
      <c r="G8" s="16"/>
      <c r="H8" s="21" t="s">
        <v>0</v>
      </c>
      <c r="I8" s="21" t="s">
        <v>5</v>
      </c>
      <c r="J8" s="25" t="s">
        <v>1</v>
      </c>
      <c r="K8" s="25" t="s">
        <v>2</v>
      </c>
      <c r="L8" s="26" t="s">
        <v>3</v>
      </c>
      <c r="M8" s="26" t="s">
        <v>57</v>
      </c>
      <c r="N8" s="26" t="s">
        <v>58</v>
      </c>
      <c r="O8" s="26" t="s">
        <v>59</v>
      </c>
      <c r="P8" s="25" t="s">
        <v>87</v>
      </c>
      <c r="Q8" s="26" t="s">
        <v>88</v>
      </c>
      <c r="R8" s="26" t="s">
        <v>90</v>
      </c>
      <c r="S8" s="26"/>
      <c r="T8" s="26"/>
      <c r="U8" s="26"/>
      <c r="V8" s="26" t="s">
        <v>60</v>
      </c>
      <c r="W8" s="26" t="s">
        <v>61</v>
      </c>
      <c r="X8" s="26" t="s">
        <v>63</v>
      </c>
      <c r="Y8" s="26" t="s">
        <v>64</v>
      </c>
      <c r="Z8" s="26" t="s">
        <v>34</v>
      </c>
      <c r="AA8" s="26" t="s">
        <v>67</v>
      </c>
      <c r="AB8" s="25" t="s">
        <v>16</v>
      </c>
      <c r="AC8" s="25" t="s">
        <v>14</v>
      </c>
      <c r="AD8" s="26" t="s">
        <v>32</v>
      </c>
      <c r="AE8" s="26" t="s">
        <v>33</v>
      </c>
      <c r="AF8" s="25" t="s">
        <v>86</v>
      </c>
      <c r="AG8" s="26" t="s">
        <v>31</v>
      </c>
      <c r="AH8" s="26" t="s">
        <v>35</v>
      </c>
      <c r="AI8" s="26" t="s">
        <v>36</v>
      </c>
      <c r="AJ8" s="26" t="s">
        <v>46</v>
      </c>
      <c r="AK8" s="26" t="s">
        <v>37</v>
      </c>
      <c r="AL8" s="26" t="s">
        <v>38</v>
      </c>
      <c r="AM8" s="26" t="s">
        <v>39</v>
      </c>
      <c r="AN8" s="16"/>
      <c r="AO8" s="21" t="s">
        <v>0</v>
      </c>
      <c r="AP8" s="21" t="s">
        <v>5</v>
      </c>
      <c r="AQ8" s="25" t="s">
        <v>1</v>
      </c>
      <c r="AR8" s="25" t="s">
        <v>2</v>
      </c>
      <c r="AS8" s="26" t="s">
        <v>3</v>
      </c>
      <c r="AT8" s="25" t="s">
        <v>4</v>
      </c>
      <c r="AU8" s="25" t="s">
        <v>16</v>
      </c>
      <c r="AV8" s="25" t="s">
        <v>6</v>
      </c>
      <c r="AW8" s="25" t="s">
        <v>14</v>
      </c>
      <c r="AX8" s="26" t="s">
        <v>15</v>
      </c>
      <c r="AY8" s="26"/>
      <c r="AZ8" s="21" t="s">
        <v>0</v>
      </c>
      <c r="BA8" s="21" t="s">
        <v>5</v>
      </c>
      <c r="BB8" s="25" t="s">
        <v>1</v>
      </c>
      <c r="BC8" s="25" t="s">
        <v>2</v>
      </c>
      <c r="BD8" s="26" t="s">
        <v>3</v>
      </c>
      <c r="BE8" s="25" t="s">
        <v>4</v>
      </c>
      <c r="BF8" s="25" t="s">
        <v>16</v>
      </c>
      <c r="BG8" s="25" t="s">
        <v>6</v>
      </c>
      <c r="BH8" s="25" t="s">
        <v>14</v>
      </c>
      <c r="BI8" s="16"/>
      <c r="BJ8" s="16"/>
      <c r="BK8" s="21" t="s">
        <v>0</v>
      </c>
      <c r="BL8" s="21" t="s">
        <v>5</v>
      </c>
      <c r="BM8" s="25" t="s">
        <v>11</v>
      </c>
      <c r="BN8" s="25" t="s">
        <v>16</v>
      </c>
      <c r="BO8" s="25" t="s">
        <v>6</v>
      </c>
      <c r="BP8" s="25" t="s">
        <v>14</v>
      </c>
      <c r="BQ8" s="25" t="s">
        <v>12</v>
      </c>
      <c r="BR8" s="25" t="s">
        <v>16</v>
      </c>
      <c r="BS8" s="25" t="s">
        <v>6</v>
      </c>
      <c r="BT8" s="25" t="s">
        <v>14</v>
      </c>
      <c r="BU8" s="21" t="s">
        <v>5</v>
      </c>
      <c r="BV8" s="21" t="s">
        <v>54</v>
      </c>
      <c r="BW8" s="25" t="s">
        <v>17</v>
      </c>
      <c r="BX8" s="25" t="s">
        <v>21</v>
      </c>
      <c r="BY8" s="25" t="s">
        <v>68</v>
      </c>
      <c r="BZ8" s="25" t="s">
        <v>18</v>
      </c>
      <c r="CA8" s="25" t="s">
        <v>19</v>
      </c>
      <c r="CB8" s="25" t="s">
        <v>24</v>
      </c>
      <c r="CC8" s="25" t="s">
        <v>22</v>
      </c>
      <c r="CD8" s="25"/>
      <c r="CE8" s="25" t="s">
        <v>55</v>
      </c>
      <c r="CF8" s="25" t="s">
        <v>69</v>
      </c>
      <c r="CG8" s="25" t="s">
        <v>23</v>
      </c>
      <c r="CH8" s="25" t="s">
        <v>20</v>
      </c>
      <c r="CI8" s="26" t="s">
        <v>44</v>
      </c>
      <c r="CJ8" s="26" t="s">
        <v>40</v>
      </c>
      <c r="CK8" s="26" t="s">
        <v>42</v>
      </c>
      <c r="CL8" s="26" t="s">
        <v>41</v>
      </c>
      <c r="CM8" s="26" t="s">
        <v>43</v>
      </c>
      <c r="CN8" s="26" t="s">
        <v>50</v>
      </c>
      <c r="CO8" s="26" t="s">
        <v>91</v>
      </c>
      <c r="CP8" s="26"/>
      <c r="CQ8" s="25"/>
      <c r="CR8" s="25"/>
      <c r="CS8" s="16"/>
      <c r="CT8" s="2"/>
      <c r="CU8" s="2"/>
      <c r="CX8" s="3"/>
      <c r="DA8" s="15"/>
      <c r="DB8" s="15"/>
      <c r="DC8" s="15"/>
      <c r="DD8" s="15"/>
      <c r="DE8" s="15"/>
    </row>
    <row r="9" spans="1:113" x14ac:dyDescent="0.25">
      <c r="A9" s="22" t="s">
        <v>72</v>
      </c>
      <c r="B9" s="16"/>
      <c r="C9" s="16"/>
      <c r="D9" s="22">
        <v>481.7</v>
      </c>
      <c r="E9" s="22">
        <f>+D9-F9</f>
        <v>115.59999999999997</v>
      </c>
      <c r="F9" s="22">
        <v>366.1</v>
      </c>
      <c r="G9" s="16"/>
      <c r="H9" s="27">
        <v>0</v>
      </c>
      <c r="I9" s="27">
        <f>+H9+1998</f>
        <v>1998</v>
      </c>
      <c r="J9" s="27">
        <v>51</v>
      </c>
      <c r="K9" s="27">
        <v>0.75</v>
      </c>
      <c r="L9" s="28">
        <f>+(J9-H9)/(J9-K9*H9)</f>
        <v>1</v>
      </c>
      <c r="M9" s="29"/>
      <c r="N9" s="29"/>
      <c r="O9" s="29"/>
      <c r="P9" s="22">
        <v>69.908554920633804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30">
        <f>+$F$24</f>
        <v>125.29753556401526</v>
      </c>
      <c r="AC9" s="31"/>
      <c r="AD9" s="22"/>
      <c r="AE9" s="22"/>
      <c r="AF9" s="22">
        <f t="shared" ref="AF9:AF11" si="1">+AF10*0.98</f>
        <v>76.487379667999988</v>
      </c>
      <c r="AG9" s="30"/>
      <c r="AH9" s="30"/>
      <c r="AI9" s="30"/>
      <c r="AJ9" s="30"/>
      <c r="AK9" s="30"/>
      <c r="AL9" s="30"/>
      <c r="AM9" s="30"/>
      <c r="AN9" s="16"/>
      <c r="AO9" s="27">
        <v>0</v>
      </c>
      <c r="AP9" s="27">
        <f>+AO9+1998</f>
        <v>1998</v>
      </c>
      <c r="AQ9" s="27">
        <v>51</v>
      </c>
      <c r="AR9" s="27">
        <v>1</v>
      </c>
      <c r="AS9" s="28">
        <f>+(AQ9-AO9)/(AQ9-AR9*AO9)</f>
        <v>1</v>
      </c>
      <c r="AT9" s="29"/>
      <c r="AU9" s="30">
        <v>41.7</v>
      </c>
      <c r="AV9" s="30"/>
      <c r="AW9" s="31"/>
      <c r="AX9" s="30"/>
      <c r="AY9" s="30"/>
      <c r="AZ9" s="27">
        <v>0</v>
      </c>
      <c r="BA9" s="27">
        <f>+AZ9+1998</f>
        <v>1998</v>
      </c>
      <c r="BB9" s="27">
        <v>51</v>
      </c>
      <c r="BC9" s="27">
        <v>0</v>
      </c>
      <c r="BD9" s="28">
        <f>+(BB9-AZ9)/(BB9-BC9*AZ9)</f>
        <v>1</v>
      </c>
      <c r="BE9" s="29"/>
      <c r="BF9" s="30">
        <v>30.3</v>
      </c>
      <c r="BG9" s="30"/>
      <c r="BH9" s="31"/>
      <c r="BI9" s="16"/>
      <c r="BJ9" s="16"/>
      <c r="BK9" s="27">
        <v>0</v>
      </c>
      <c r="BL9" s="27">
        <f>+BK9+1998</f>
        <v>1998</v>
      </c>
      <c r="BM9" s="32">
        <v>3.5000000000000003E-2</v>
      </c>
      <c r="BN9" s="30">
        <v>30.3</v>
      </c>
      <c r="BO9" s="33"/>
      <c r="BP9" s="31"/>
      <c r="BQ9" s="31">
        <v>4.5900000000000003E-2</v>
      </c>
      <c r="BR9" s="30">
        <v>30.3</v>
      </c>
      <c r="BS9" s="33"/>
      <c r="BT9" s="31"/>
      <c r="BU9" s="27">
        <f>+BT9+1998</f>
        <v>1998</v>
      </c>
      <c r="BV9" s="27"/>
      <c r="BW9" s="34">
        <f>179+83</f>
        <v>262</v>
      </c>
      <c r="BX9" s="30">
        <v>69.908554920633804</v>
      </c>
      <c r="BY9" s="16"/>
      <c r="BZ9" s="30"/>
      <c r="CA9" s="31"/>
      <c r="CB9" s="30">
        <f>60+191</f>
        <v>251</v>
      </c>
      <c r="CC9" s="16"/>
      <c r="CD9" s="16"/>
      <c r="CE9" s="16"/>
      <c r="CF9" s="16"/>
      <c r="CG9" s="30"/>
      <c r="CH9" s="31"/>
      <c r="CI9" s="31"/>
      <c r="CJ9" s="31"/>
      <c r="CK9" s="31"/>
      <c r="CL9" s="31"/>
      <c r="CM9" s="31"/>
      <c r="CN9" s="31"/>
      <c r="CO9" s="16"/>
      <c r="CP9" s="16"/>
      <c r="CQ9" s="31"/>
      <c r="CR9" s="31"/>
      <c r="CS9" s="16"/>
      <c r="CT9" s="4"/>
      <c r="CU9" s="4"/>
      <c r="CV9" s="4"/>
      <c r="CX9" s="9"/>
      <c r="CY9" s="4"/>
    </row>
    <row r="10" spans="1:113" x14ac:dyDescent="0.25">
      <c r="A10" s="22" t="s">
        <v>29</v>
      </c>
      <c r="B10" s="16"/>
      <c r="C10" s="16"/>
      <c r="D10" s="22">
        <v>917.4</v>
      </c>
      <c r="E10" s="22">
        <f t="shared" ref="E10:E11" si="2">+D10-F10</f>
        <v>254</v>
      </c>
      <c r="F10" s="22">
        <v>663.4</v>
      </c>
      <c r="G10" s="16"/>
      <c r="H10" s="27">
        <f>+H9+1</f>
        <v>1</v>
      </c>
      <c r="I10" s="27">
        <f t="shared" ref="I10:I31" si="3">+H10+1998</f>
        <v>1999</v>
      </c>
      <c r="J10" s="27">
        <v>51</v>
      </c>
      <c r="K10" s="27">
        <v>0.75</v>
      </c>
      <c r="L10" s="28">
        <f t="shared" ref="L10:L30" si="4">+(J10-H10)/(J10-K10*H10)</f>
        <v>0.99502487562189057</v>
      </c>
      <c r="M10" s="29">
        <f>+(L10-L9)/L9</f>
        <v>-4.9751243781094301E-3</v>
      </c>
      <c r="N10" s="29"/>
      <c r="O10" s="29">
        <v>3.1E-2</v>
      </c>
      <c r="P10" s="22">
        <v>71.227065369412202</v>
      </c>
      <c r="Q10" s="29"/>
      <c r="R10" s="29"/>
      <c r="S10" s="16"/>
      <c r="T10" s="16"/>
      <c r="U10" s="35"/>
      <c r="V10" s="36"/>
      <c r="W10" s="36"/>
      <c r="X10" s="36"/>
      <c r="Y10" s="36"/>
      <c r="Z10" s="36"/>
      <c r="AA10" s="29"/>
      <c r="AB10" s="30">
        <f>+$AB$9*L10+AG10</f>
        <v>131.81128987611422</v>
      </c>
      <c r="AC10" s="31">
        <f>LN(AB10/AB9)</f>
        <v>5.0680084126362407E-2</v>
      </c>
      <c r="AD10" s="22">
        <f>181+123.1</f>
        <v>304.10000000000002</v>
      </c>
      <c r="AE10" s="22">
        <f>6.3+123.6+10+17.4+64.3+20.2</f>
        <v>241.8</v>
      </c>
      <c r="AF10" s="22">
        <f t="shared" si="1"/>
        <v>78.048346599999988</v>
      </c>
      <c r="AG10" s="22">
        <f t="shared" ref="AG10:AG32" si="5">+(AD10+AE10)/AF9</f>
        <v>7.1371251358005168</v>
      </c>
      <c r="AH10" s="22"/>
      <c r="AI10" s="22"/>
      <c r="AJ10" s="37"/>
      <c r="AK10" s="37"/>
      <c r="AL10" s="37"/>
      <c r="AM10" s="37"/>
      <c r="AN10" s="16"/>
      <c r="AO10" s="27">
        <f>+AO9+1</f>
        <v>1</v>
      </c>
      <c r="AP10" s="27">
        <f t="shared" ref="AP10:AP31" si="6">+AO10+1998</f>
        <v>1999</v>
      </c>
      <c r="AQ10" s="27">
        <v>51</v>
      </c>
      <c r="AR10" s="27">
        <v>1</v>
      </c>
      <c r="AS10" s="28">
        <f t="shared" ref="AS10:AS31" si="7">+(AQ10-AO10)/(AQ10-AR10*AO10)</f>
        <v>1</v>
      </c>
      <c r="AT10" s="29">
        <f>+(AS10-AS9)/AS9</f>
        <v>0</v>
      </c>
      <c r="AU10" s="30">
        <f t="shared" ref="AU10:AU31" si="8">+AU9*AS10+AV10-AX10</f>
        <v>42.999675792423091</v>
      </c>
      <c r="AV10" s="30">
        <v>2.1336757924230931</v>
      </c>
      <c r="AW10" s="31">
        <f>LN(AU10/AU9)</f>
        <v>3.0691447149291815E-2</v>
      </c>
      <c r="AX10" s="30">
        <f t="shared" ref="AX10:AX31" si="9">+AU9*0.02</f>
        <v>0.83400000000000007</v>
      </c>
      <c r="AY10" s="30"/>
      <c r="AZ10" s="27">
        <f>+AZ9+1</f>
        <v>1</v>
      </c>
      <c r="BA10" s="27">
        <f t="shared" ref="BA10:BA31" si="10">+AZ10+1998</f>
        <v>1999</v>
      </c>
      <c r="BB10" s="27">
        <v>51</v>
      </c>
      <c r="BC10" s="27">
        <v>0</v>
      </c>
      <c r="BD10" s="28">
        <f t="shared" ref="BD10:BD31" si="11">+(BB10-AZ10)/(BB10-BC10*AZ10)</f>
        <v>0.98039215686274506</v>
      </c>
      <c r="BE10" s="29">
        <f>+(BD10-BD9)/BD9</f>
        <v>-1.9607843137254943E-2</v>
      </c>
      <c r="BF10" s="30">
        <f>+BF9*BD10+BG10</f>
        <v>31.839558145364272</v>
      </c>
      <c r="BG10" s="30">
        <v>2.1336757924230931</v>
      </c>
      <c r="BH10" s="31">
        <f>LN(BF10/BF9)</f>
        <v>4.9561771020480552E-2</v>
      </c>
      <c r="BI10" s="16"/>
      <c r="BJ10" s="16"/>
      <c r="BK10" s="27">
        <f>+BK9+1</f>
        <v>1</v>
      </c>
      <c r="BL10" s="27">
        <f t="shared" ref="BL10:BL31" si="12">+BK10+1998</f>
        <v>1999</v>
      </c>
      <c r="BM10" s="32">
        <v>3.5000000000000003E-2</v>
      </c>
      <c r="BN10" s="30">
        <f>+BN9*(1-BM10)+BO10</f>
        <v>31.373175792423094</v>
      </c>
      <c r="BO10" s="30">
        <v>2.1336757924230931</v>
      </c>
      <c r="BP10" s="31">
        <f>LN(BN10/BN9)</f>
        <v>3.4805541172144225E-2</v>
      </c>
      <c r="BQ10" s="31">
        <v>4.5900000000000003E-2</v>
      </c>
      <c r="BR10" s="30">
        <f t="shared" ref="BR10:BR31" si="13">+BR9*(1-BQ10)+BS10</f>
        <v>31.042905792423095</v>
      </c>
      <c r="BS10" s="30">
        <v>2.1336757924230931</v>
      </c>
      <c r="BT10" s="31">
        <f>LN(BR10/BR9)</f>
        <v>2.4222592864756039E-2</v>
      </c>
      <c r="BU10" s="27">
        <f>+BU9+1</f>
        <v>1999</v>
      </c>
      <c r="BV10" s="27"/>
      <c r="BW10" s="34">
        <f>194+76</f>
        <v>270</v>
      </c>
      <c r="BX10" s="30">
        <v>71.227065369412202</v>
      </c>
      <c r="BY10" s="16"/>
      <c r="BZ10" s="30"/>
      <c r="CA10" s="31"/>
      <c r="CB10" s="30">
        <f>60+163</f>
        <v>223</v>
      </c>
      <c r="CC10" s="16"/>
      <c r="CD10" s="16"/>
      <c r="CE10" s="16"/>
      <c r="CF10" s="16"/>
      <c r="CG10" s="30"/>
      <c r="CH10" s="31"/>
      <c r="CI10" s="31"/>
      <c r="CJ10" s="31"/>
      <c r="CK10" s="30"/>
      <c r="CL10" s="31"/>
      <c r="CM10" s="30"/>
      <c r="CN10" s="31"/>
      <c r="CO10" s="16"/>
      <c r="CP10" s="16"/>
      <c r="CQ10" s="31"/>
      <c r="CR10" s="31"/>
      <c r="CS10" s="16"/>
      <c r="CT10" s="4"/>
      <c r="CU10" s="4"/>
      <c r="CV10" s="4"/>
      <c r="CX10" s="9"/>
      <c r="CY10" s="4"/>
    </row>
    <row r="11" spans="1:113" x14ac:dyDescent="0.25">
      <c r="A11" s="22" t="s">
        <v>75</v>
      </c>
      <c r="B11" s="16"/>
      <c r="C11" s="16"/>
      <c r="D11" s="22">
        <v>10.4</v>
      </c>
      <c r="E11" s="22">
        <f t="shared" si="2"/>
        <v>7.6000000000000005</v>
      </c>
      <c r="F11" s="22">
        <v>2.8</v>
      </c>
      <c r="G11" s="16"/>
      <c r="H11" s="27">
        <f t="shared" ref="H11:H31" si="14">+H10+1</f>
        <v>2</v>
      </c>
      <c r="I11" s="27">
        <f t="shared" si="3"/>
        <v>2000</v>
      </c>
      <c r="J11" s="27">
        <v>51</v>
      </c>
      <c r="K11" s="27">
        <v>0.75</v>
      </c>
      <c r="L11" s="28">
        <f t="shared" si="4"/>
        <v>0.98989898989898994</v>
      </c>
      <c r="M11" s="29">
        <f t="shared" ref="M11:M32" si="15">+(L11-L10)/L10</f>
        <v>-5.1515151515151283E-3</v>
      </c>
      <c r="N11" s="29">
        <f t="shared" ref="N11:N32" si="16">+(AB10-AB11+AG11)/AB10</f>
        <v>5.1419642016398261E-3</v>
      </c>
      <c r="O11" s="29">
        <v>3.1E-2</v>
      </c>
      <c r="P11" s="22">
        <v>74.317431550366308</v>
      </c>
      <c r="Q11" s="38">
        <f t="shared" ref="Q11:Q32" si="17">LN(P11/P10)</f>
        <v>4.2472656796238011E-2</v>
      </c>
      <c r="R11" s="38"/>
      <c r="S11" s="16"/>
      <c r="T11" s="16"/>
      <c r="U11" s="35"/>
      <c r="V11" s="36"/>
      <c r="W11" s="36"/>
      <c r="X11" s="36"/>
      <c r="Y11" s="36"/>
      <c r="Z11" s="36"/>
      <c r="AA11" s="29"/>
      <c r="AB11" s="30">
        <f>+AB9*L11+AG10*L10+AG11</f>
        <v>137.09136656298017</v>
      </c>
      <c r="AC11" s="31">
        <f t="shared" ref="AC11:AC32" si="18">LN(AB11/AB10)</f>
        <v>3.9276335210863475E-2</v>
      </c>
      <c r="AD11" s="22">
        <f>184.5+118.1</f>
        <v>302.60000000000002</v>
      </c>
      <c r="AE11" s="22">
        <f>23.9+15.7+30.9+10.2+17.4+64.3</f>
        <v>162.39999999999998</v>
      </c>
      <c r="AF11" s="22">
        <f t="shared" si="1"/>
        <v>79.641169999999988</v>
      </c>
      <c r="AG11" s="22">
        <f t="shared" si="5"/>
        <v>5.957845620780903</v>
      </c>
      <c r="AH11" s="22"/>
      <c r="AI11" s="22"/>
      <c r="AJ11" s="37"/>
      <c r="AK11" s="37"/>
      <c r="AL11" s="37"/>
      <c r="AM11" s="37"/>
      <c r="AN11" s="16"/>
      <c r="AO11" s="27">
        <f t="shared" ref="AO11:AO31" si="19">+AO10+1</f>
        <v>2</v>
      </c>
      <c r="AP11" s="27">
        <f t="shared" si="6"/>
        <v>2000</v>
      </c>
      <c r="AQ11" s="27">
        <v>51</v>
      </c>
      <c r="AR11" s="27">
        <v>1</v>
      </c>
      <c r="AS11" s="28">
        <f t="shared" si="7"/>
        <v>1</v>
      </c>
      <c r="AT11" s="29">
        <f t="shared" ref="AT11:AT31" si="20">+(AS11-AS10)/AS10</f>
        <v>0</v>
      </c>
      <c r="AU11" s="30">
        <f t="shared" si="8"/>
        <v>43.528593648488837</v>
      </c>
      <c r="AV11" s="30">
        <v>1.3889113719142046</v>
      </c>
      <c r="AW11" s="31">
        <f t="shared" ref="AW11:AW31" si="21">LN(AU11/AU10)</f>
        <v>1.2225471449588625E-2</v>
      </c>
      <c r="AX11" s="30">
        <f t="shared" si="9"/>
        <v>0.85999351584846184</v>
      </c>
      <c r="AY11" s="30"/>
      <c r="AZ11" s="27">
        <f t="shared" ref="AZ11:AZ31" si="22">+AZ10+1</f>
        <v>2</v>
      </c>
      <c r="BA11" s="27">
        <f t="shared" si="10"/>
        <v>2000</v>
      </c>
      <c r="BB11" s="27">
        <v>51</v>
      </c>
      <c r="BC11" s="27">
        <v>0</v>
      </c>
      <c r="BD11" s="28">
        <f t="shared" si="11"/>
        <v>0.96078431372549022</v>
      </c>
      <c r="BE11" s="29">
        <f t="shared" ref="BE11:BE31" si="23">+(BD11-BD10)/BD10</f>
        <v>-1.9999999999999931E-2</v>
      </c>
      <c r="BF11" s="30">
        <f>+BF9*BD11+BG10*BD10+BG11</f>
        <v>32.592515089976061</v>
      </c>
      <c r="BG11" s="30">
        <v>1.3889113719142046</v>
      </c>
      <c r="BH11" s="31">
        <f t="shared" ref="BH11:BH31" si="24">LN(BF11/BF10)</f>
        <v>2.3373180008102699E-2</v>
      </c>
      <c r="BI11" s="16"/>
      <c r="BJ11" s="16"/>
      <c r="BK11" s="27">
        <f t="shared" ref="BK11:BK31" si="25">+BK10+1</f>
        <v>2</v>
      </c>
      <c r="BL11" s="27">
        <f t="shared" si="12"/>
        <v>2000</v>
      </c>
      <c r="BM11" s="32">
        <v>3.5000000000000003E-2</v>
      </c>
      <c r="BN11" s="30">
        <f t="shared" ref="BN11:BN31" si="26">+BN10*(1-BM11)+BO11</f>
        <v>31.664026011602488</v>
      </c>
      <c r="BO11" s="30">
        <v>1.3889113719142046</v>
      </c>
      <c r="BP11" s="31">
        <f t="shared" ref="BP11:BP31" si="27">LN(BN11/BN10)</f>
        <v>9.2279566606087403E-3</v>
      </c>
      <c r="BQ11" s="31">
        <v>4.5900000000000003E-2</v>
      </c>
      <c r="BR11" s="30">
        <f t="shared" si="13"/>
        <v>31.006947788465077</v>
      </c>
      <c r="BS11" s="30">
        <v>1.3889113719142046</v>
      </c>
      <c r="BT11" s="31">
        <f t="shared" ref="BT11:BT31" si="28">LN(BR11/BR10)</f>
        <v>-1.1590037980125797E-3</v>
      </c>
      <c r="BU11" s="27">
        <f t="shared" ref="BU11:BU31" si="29">+BU10+1</f>
        <v>2000</v>
      </c>
      <c r="BV11" s="27"/>
      <c r="BW11" s="34">
        <f>145+88</f>
        <v>233</v>
      </c>
      <c r="BX11" s="30">
        <v>74.317431550366308</v>
      </c>
      <c r="BY11" s="16"/>
      <c r="BZ11" s="30"/>
      <c r="CA11" s="31"/>
      <c r="CB11" s="30">
        <f>80+145</f>
        <v>225</v>
      </c>
      <c r="CC11" s="16"/>
      <c r="CD11" s="16"/>
      <c r="CE11" s="16">
        <v>16.66</v>
      </c>
      <c r="CF11" s="16"/>
      <c r="CG11" s="30"/>
      <c r="CH11" s="31"/>
      <c r="CI11" s="31"/>
      <c r="CJ11" s="31"/>
      <c r="CK11" s="30"/>
      <c r="CL11" s="31"/>
      <c r="CM11" s="30"/>
      <c r="CN11" s="31"/>
      <c r="CO11" s="32"/>
      <c r="CP11" s="32"/>
      <c r="CQ11" s="31"/>
      <c r="CR11" s="31"/>
      <c r="CS11" s="16"/>
      <c r="CT11" s="4"/>
      <c r="CU11" s="4"/>
      <c r="CV11" s="4"/>
      <c r="CX11" s="9"/>
      <c r="CY11" s="4"/>
    </row>
    <row r="12" spans="1:113" x14ac:dyDescent="0.25">
      <c r="A12" s="22" t="s">
        <v>77</v>
      </c>
      <c r="B12" s="16"/>
      <c r="C12" s="16"/>
      <c r="D12" s="22">
        <f>+D11+D10+D9+D8</f>
        <v>1590.1</v>
      </c>
      <c r="E12" s="22">
        <f t="shared" ref="E12:F12" si="30">+E11+E10+E9+E8</f>
        <v>418.6</v>
      </c>
      <c r="F12" s="22">
        <f t="shared" si="30"/>
        <v>1171.5</v>
      </c>
      <c r="G12" s="16"/>
      <c r="H12" s="27">
        <f t="shared" si="14"/>
        <v>3</v>
      </c>
      <c r="I12" s="27">
        <f t="shared" si="3"/>
        <v>2001</v>
      </c>
      <c r="J12" s="27">
        <v>51</v>
      </c>
      <c r="K12" s="27">
        <v>0.75</v>
      </c>
      <c r="L12" s="28">
        <f t="shared" si="4"/>
        <v>0.98461538461538467</v>
      </c>
      <c r="M12" s="29">
        <f t="shared" si="15"/>
        <v>-5.3375196232339E-3</v>
      </c>
      <c r="N12" s="29">
        <f t="shared" si="16"/>
        <v>5.3121348923116651E-3</v>
      </c>
      <c r="O12" s="29">
        <v>3.1E-2</v>
      </c>
      <c r="P12" s="22">
        <v>75.560295834173772</v>
      </c>
      <c r="Q12" s="38">
        <f t="shared" si="17"/>
        <v>1.6585423272310523E-2</v>
      </c>
      <c r="R12" s="38"/>
      <c r="S12" s="16"/>
      <c r="T12" s="16"/>
      <c r="U12" s="35"/>
      <c r="V12" s="36"/>
      <c r="W12" s="36"/>
      <c r="X12" s="36"/>
      <c r="Y12" s="36"/>
      <c r="Z12" s="36"/>
      <c r="AA12" s="29"/>
      <c r="AB12" s="30">
        <f>+AB9*L12+AG10*L11+AG11*L10+AG12</f>
        <v>142.272122830488</v>
      </c>
      <c r="AC12" s="31">
        <f t="shared" si="18"/>
        <v>3.7093968929226034E-2</v>
      </c>
      <c r="AD12" s="22">
        <f>210.5+108.6</f>
        <v>319.10000000000002</v>
      </c>
      <c r="AE12" s="22">
        <f>15.1+15.9+34+10.9+24.1+51.5</f>
        <v>151.5</v>
      </c>
      <c r="AF12" s="22">
        <f>+AF13*0.98</f>
        <v>81.266499999999994</v>
      </c>
      <c r="AG12" s="22">
        <f t="shared" si="5"/>
        <v>5.9090040992617272</v>
      </c>
      <c r="AH12" s="22"/>
      <c r="AI12" s="22"/>
      <c r="AJ12" s="37"/>
      <c r="AK12" s="37"/>
      <c r="AL12" s="37"/>
      <c r="AM12" s="37"/>
      <c r="AN12" s="16"/>
      <c r="AO12" s="27">
        <f t="shared" si="19"/>
        <v>3</v>
      </c>
      <c r="AP12" s="27">
        <f t="shared" si="6"/>
        <v>2001</v>
      </c>
      <c r="AQ12" s="27">
        <v>51</v>
      </c>
      <c r="AR12" s="27">
        <v>1</v>
      </c>
      <c r="AS12" s="28">
        <f t="shared" si="7"/>
        <v>1</v>
      </c>
      <c r="AT12" s="29">
        <f t="shared" si="20"/>
        <v>0</v>
      </c>
      <c r="AU12" s="30">
        <f t="shared" si="8"/>
        <v>44.24345594918853</v>
      </c>
      <c r="AV12" s="30">
        <v>1.5854341736694677</v>
      </c>
      <c r="AW12" s="31">
        <f t="shared" si="21"/>
        <v>1.6289424959839267E-2</v>
      </c>
      <c r="AX12" s="30">
        <f t="shared" si="9"/>
        <v>0.87057187296977678</v>
      </c>
      <c r="AY12" s="30"/>
      <c r="AZ12" s="27">
        <f t="shared" si="22"/>
        <v>3</v>
      </c>
      <c r="BA12" s="27">
        <f t="shared" si="10"/>
        <v>2001</v>
      </c>
      <c r="BB12" s="27">
        <v>51</v>
      </c>
      <c r="BC12" s="27">
        <v>0</v>
      </c>
      <c r="BD12" s="28">
        <f t="shared" si="11"/>
        <v>0.94117647058823528</v>
      </c>
      <c r="BE12" s="29">
        <f t="shared" si="23"/>
        <v>-2.0408163265306166E-2</v>
      </c>
      <c r="BF12" s="30">
        <f>+BF9*BD12+BG10*BD11+BG11*BD10+BG12</f>
        <v>33.514761280031074</v>
      </c>
      <c r="BG12" s="30">
        <v>1.5854341736694677</v>
      </c>
      <c r="BH12" s="31">
        <f t="shared" si="24"/>
        <v>2.7903313460729846E-2</v>
      </c>
      <c r="BI12" s="16"/>
      <c r="BJ12" s="16"/>
      <c r="BK12" s="27">
        <f t="shared" si="25"/>
        <v>3</v>
      </c>
      <c r="BL12" s="27">
        <f t="shared" si="12"/>
        <v>2001</v>
      </c>
      <c r="BM12" s="32">
        <v>3.5000000000000003E-2</v>
      </c>
      <c r="BN12" s="30">
        <f t="shared" si="26"/>
        <v>32.141219274865868</v>
      </c>
      <c r="BO12" s="30">
        <v>1.5854341736694677</v>
      </c>
      <c r="BP12" s="31">
        <f t="shared" si="27"/>
        <v>1.4958085609673034E-2</v>
      </c>
      <c r="BQ12" s="31">
        <v>4.5900000000000003E-2</v>
      </c>
      <c r="BR12" s="30">
        <f t="shared" si="13"/>
        <v>31.169163058643996</v>
      </c>
      <c r="BS12" s="30">
        <v>1.5854341736694677</v>
      </c>
      <c r="BT12" s="31">
        <f t="shared" si="28"/>
        <v>5.2179409750900702E-3</v>
      </c>
      <c r="BU12" s="27">
        <f t="shared" si="29"/>
        <v>2001</v>
      </c>
      <c r="BV12" s="27"/>
      <c r="BW12" s="34">
        <f>165+90</f>
        <v>255</v>
      </c>
      <c r="BX12" s="30">
        <v>75.560295834173772</v>
      </c>
      <c r="BY12" s="16"/>
      <c r="BZ12" s="30"/>
      <c r="CA12" s="31"/>
      <c r="CB12" s="30">
        <f>78+146</f>
        <v>224</v>
      </c>
      <c r="CC12" s="16"/>
      <c r="CD12" s="16"/>
      <c r="CE12" s="16">
        <v>17.22</v>
      </c>
      <c r="CF12" s="16"/>
      <c r="CG12" s="30"/>
      <c r="CH12" s="31"/>
      <c r="CI12" s="31"/>
      <c r="CJ12" s="31"/>
      <c r="CK12" s="30"/>
      <c r="CL12" s="31"/>
      <c r="CM12" s="31"/>
      <c r="CN12" s="31"/>
      <c r="CO12" s="31"/>
      <c r="CP12" s="31"/>
      <c r="CQ12" s="31"/>
      <c r="CR12" s="31"/>
      <c r="CS12" s="16"/>
      <c r="CT12" s="4"/>
      <c r="CU12" s="4"/>
      <c r="CV12" s="4"/>
      <c r="CX12" s="9"/>
      <c r="CY12" s="4"/>
      <c r="DB12" s="4"/>
      <c r="DC12" s="4"/>
      <c r="DD12" s="4"/>
      <c r="DE12" s="4"/>
    </row>
    <row r="13" spans="1:113" x14ac:dyDescent="0.25">
      <c r="A13" s="16"/>
      <c r="B13" s="16"/>
      <c r="C13" s="16"/>
      <c r="D13" s="22"/>
      <c r="E13" s="22"/>
      <c r="F13" s="22"/>
      <c r="G13" s="16"/>
      <c r="H13" s="27">
        <f t="shared" si="14"/>
        <v>4</v>
      </c>
      <c r="I13" s="27">
        <f t="shared" si="3"/>
        <v>2002</v>
      </c>
      <c r="J13" s="27">
        <v>51</v>
      </c>
      <c r="K13" s="27">
        <v>0.75</v>
      </c>
      <c r="L13" s="28">
        <f t="shared" si="4"/>
        <v>0.97916666666666663</v>
      </c>
      <c r="M13" s="29">
        <f t="shared" si="15"/>
        <v>-5.5338541666667598E-3</v>
      </c>
      <c r="N13" s="29">
        <f t="shared" si="16"/>
        <v>5.4849673545408362E-3</v>
      </c>
      <c r="O13" s="29">
        <v>3.1E-2</v>
      </c>
      <c r="P13" s="39">
        <v>76.487320344848499</v>
      </c>
      <c r="Q13" s="38">
        <f t="shared" si="17"/>
        <v>1.2194022121116815E-2</v>
      </c>
      <c r="R13" s="38">
        <f>+(Q13+Q12+Q11)/3</f>
        <v>2.3750700729888451E-2</v>
      </c>
      <c r="S13" s="16"/>
      <c r="T13" s="16"/>
      <c r="U13" s="35"/>
      <c r="V13" s="36"/>
      <c r="W13" s="36"/>
      <c r="X13" s="36"/>
      <c r="Y13" s="36"/>
      <c r="Z13" s="36"/>
      <c r="AA13" s="29"/>
      <c r="AB13" s="30">
        <f>+AB9*L13+AG10*L12+AG11*L11+AG12*L10+AG13</f>
        <v>148.57586472564086</v>
      </c>
      <c r="AC13" s="31">
        <f t="shared" si="18"/>
        <v>4.3354119673561856E-2</v>
      </c>
      <c r="AD13" s="22">
        <f>232.1+117</f>
        <v>349.1</v>
      </c>
      <c r="AE13" s="22">
        <f>11.4+33.4+21.6+12.2+85+63</f>
        <v>226.60000000000002</v>
      </c>
      <c r="AF13" s="39">
        <v>82.924999999999997</v>
      </c>
      <c r="AG13" s="22">
        <f t="shared" si="5"/>
        <v>7.0840998443393044</v>
      </c>
      <c r="AH13" s="22"/>
      <c r="AI13" s="22"/>
      <c r="AJ13" s="37"/>
      <c r="AK13" s="37"/>
      <c r="AL13" s="37"/>
      <c r="AM13" s="37"/>
      <c r="AN13" s="16"/>
      <c r="AO13" s="27">
        <f t="shared" si="19"/>
        <v>4</v>
      </c>
      <c r="AP13" s="27">
        <f t="shared" si="6"/>
        <v>2002</v>
      </c>
      <c r="AQ13" s="27">
        <v>51</v>
      </c>
      <c r="AR13" s="27">
        <v>1</v>
      </c>
      <c r="AS13" s="28">
        <f t="shared" si="7"/>
        <v>1</v>
      </c>
      <c r="AT13" s="29">
        <f t="shared" si="20"/>
        <v>0</v>
      </c>
      <c r="AU13" s="30">
        <f t="shared" si="8"/>
        <v>45.059877264786088</v>
      </c>
      <c r="AV13" s="30">
        <v>1.7012904345813322</v>
      </c>
      <c r="AW13" s="31">
        <f t="shared" si="21"/>
        <v>1.8284738819471701E-2</v>
      </c>
      <c r="AX13" s="30">
        <f t="shared" si="9"/>
        <v>0.88486911898377063</v>
      </c>
      <c r="AY13" s="30"/>
      <c r="AZ13" s="27">
        <f t="shared" si="22"/>
        <v>4</v>
      </c>
      <c r="BA13" s="27">
        <f t="shared" si="10"/>
        <v>2002</v>
      </c>
      <c r="BB13" s="27">
        <v>51</v>
      </c>
      <c r="BC13" s="27">
        <v>0</v>
      </c>
      <c r="BD13" s="28">
        <f t="shared" si="11"/>
        <v>0.92156862745098034</v>
      </c>
      <c r="BE13" s="29">
        <f t="shared" si="23"/>
        <v>-2.0833333333333377E-2</v>
      </c>
      <c r="BF13" s="30">
        <f>+BF9*BD13+BG10*BD12+BG11*BD11+BG12*BD10+BG13</f>
        <v>34.52177678641619</v>
      </c>
      <c r="BG13" s="30">
        <v>1.7012904345813322</v>
      </c>
      <c r="BH13" s="31">
        <f t="shared" si="24"/>
        <v>2.9604359103147921E-2</v>
      </c>
      <c r="BI13" s="16"/>
      <c r="BJ13" s="16"/>
      <c r="BK13" s="27">
        <f t="shared" si="25"/>
        <v>4</v>
      </c>
      <c r="BL13" s="27">
        <f t="shared" si="12"/>
        <v>2002</v>
      </c>
      <c r="BM13" s="32">
        <v>3.5000000000000003E-2</v>
      </c>
      <c r="BN13" s="30">
        <f t="shared" si="26"/>
        <v>32.717567034826892</v>
      </c>
      <c r="BO13" s="30">
        <v>1.7012904345813322</v>
      </c>
      <c r="BP13" s="31">
        <f t="shared" si="27"/>
        <v>1.7772855885851244E-2</v>
      </c>
      <c r="BQ13" s="31">
        <v>4.5900000000000003E-2</v>
      </c>
      <c r="BR13" s="30">
        <f t="shared" si="13"/>
        <v>31.439788908833567</v>
      </c>
      <c r="BS13" s="30">
        <v>1.7012904345813322</v>
      </c>
      <c r="BT13" s="31">
        <f t="shared" si="28"/>
        <v>8.6450108856846505E-3</v>
      </c>
      <c r="BU13" s="27">
        <f t="shared" si="29"/>
        <v>2002</v>
      </c>
      <c r="BV13" s="35">
        <f t="shared" ref="BV13:BV32" si="31">+(BW13+CB13)*1000000/CI13</f>
        <v>183.07922377344258</v>
      </c>
      <c r="BW13" s="34">
        <f>154+111</f>
        <v>265</v>
      </c>
      <c r="BX13" s="39">
        <v>76.487320344848499</v>
      </c>
      <c r="BY13" s="39"/>
      <c r="BZ13" s="30">
        <f>+BW13*10/BX13</f>
        <v>34.646265394738464</v>
      </c>
      <c r="CA13" s="31"/>
      <c r="CB13" s="30">
        <f>83+151</f>
        <v>234</v>
      </c>
      <c r="CC13" s="39">
        <v>711.29</v>
      </c>
      <c r="CD13" s="39"/>
      <c r="CE13" s="39">
        <v>17.66</v>
      </c>
      <c r="CF13" s="39"/>
      <c r="CG13" s="30">
        <f t="shared" ref="CG13:CG32" si="32">+(CB13*100)/CE13</f>
        <v>1325.0283125707815</v>
      </c>
      <c r="CH13" s="31"/>
      <c r="CI13" s="14">
        <v>2725596</v>
      </c>
      <c r="CJ13" s="31"/>
      <c r="CK13" s="30"/>
      <c r="CL13" s="31"/>
      <c r="CM13" s="31"/>
      <c r="CN13" s="30"/>
      <c r="CO13" s="31"/>
      <c r="CP13" s="31"/>
      <c r="CQ13" s="30"/>
      <c r="CR13" s="30"/>
      <c r="CS13" s="16"/>
      <c r="CT13" s="4"/>
      <c r="CU13" s="4"/>
      <c r="CV13" s="4"/>
      <c r="CX13" s="9"/>
      <c r="CY13" s="4"/>
      <c r="DB13" s="4"/>
      <c r="DC13" s="4"/>
      <c r="DD13" s="4"/>
      <c r="DE13" s="4"/>
      <c r="DH13" s="8"/>
    </row>
    <row r="14" spans="1:113" x14ac:dyDescent="0.25">
      <c r="A14" s="22" t="s">
        <v>73</v>
      </c>
      <c r="B14" s="16"/>
      <c r="C14" s="16"/>
      <c r="D14" s="37">
        <f>+D7/(D7+D12)</f>
        <v>0.76193613103169489</v>
      </c>
      <c r="E14" s="37">
        <f t="shared" ref="E14:F14" si="33">+E7/(E7+E12)</f>
        <v>0.76314151530583374</v>
      </c>
      <c r="F14" s="37">
        <f t="shared" si="33"/>
        <v>0.76150244299674275</v>
      </c>
      <c r="G14" s="16"/>
      <c r="H14" s="27">
        <f t="shared" si="14"/>
        <v>5</v>
      </c>
      <c r="I14" s="27">
        <f t="shared" si="3"/>
        <v>2003</v>
      </c>
      <c r="J14" s="27">
        <v>51</v>
      </c>
      <c r="K14" s="27">
        <v>0.75</v>
      </c>
      <c r="L14" s="28">
        <f t="shared" si="4"/>
        <v>0.97354497354497349</v>
      </c>
      <c r="M14" s="29">
        <f t="shared" si="15"/>
        <v>-5.7413036136440571E-3</v>
      </c>
      <c r="N14" s="29">
        <f t="shared" si="16"/>
        <v>5.655592443691934E-3</v>
      </c>
      <c r="O14" s="29">
        <v>3.1E-2</v>
      </c>
      <c r="P14" s="39">
        <v>78.982549018001848</v>
      </c>
      <c r="Q14" s="38">
        <f t="shared" si="17"/>
        <v>3.2101949590293312E-2</v>
      </c>
      <c r="R14" s="38">
        <f t="shared" ref="R14:R32" si="34">+(Q14+Q13+Q12)/3</f>
        <v>2.0293798327906884E-2</v>
      </c>
      <c r="S14" s="39"/>
      <c r="T14" s="39"/>
      <c r="U14" s="32"/>
      <c r="V14" s="36"/>
      <c r="W14" s="36"/>
      <c r="X14" s="36"/>
      <c r="Y14" s="36"/>
      <c r="Z14" s="36"/>
      <c r="AA14" s="29"/>
      <c r="AB14" s="30">
        <f>+AB9*L14+AG10*L13+AG11*L12+AG12*L11+AG13*L10+AG14</f>
        <v>150.62734985917334</v>
      </c>
      <c r="AC14" s="31">
        <f t="shared" si="18"/>
        <v>1.3713203483414626E-2</v>
      </c>
      <c r="AD14" s="22">
        <f>211.2+0-42.6</f>
        <v>168.6</v>
      </c>
      <c r="AE14" s="22">
        <f>5.8+33.4+14.4+12.2+3.8+1.6</f>
        <v>71.199999999999989</v>
      </c>
      <c r="AF14" s="39">
        <v>84.25</v>
      </c>
      <c r="AG14" s="22">
        <f t="shared" si="5"/>
        <v>2.89176967138981</v>
      </c>
      <c r="AH14" s="22"/>
      <c r="AI14" s="22"/>
      <c r="AJ14" s="37"/>
      <c r="AK14" s="37"/>
      <c r="AL14" s="37"/>
      <c r="AM14" s="37"/>
      <c r="AN14" s="16"/>
      <c r="AO14" s="27">
        <f t="shared" si="19"/>
        <v>5</v>
      </c>
      <c r="AP14" s="27">
        <f t="shared" si="6"/>
        <v>2003</v>
      </c>
      <c r="AQ14" s="27">
        <v>51</v>
      </c>
      <c r="AR14" s="27">
        <v>1</v>
      </c>
      <c r="AS14" s="28">
        <f t="shared" si="7"/>
        <v>1</v>
      </c>
      <c r="AT14" s="29">
        <f t="shared" si="20"/>
        <v>0</v>
      </c>
      <c r="AU14" s="30">
        <f t="shared" si="8"/>
        <v>45.821399937017134</v>
      </c>
      <c r="AV14" s="30">
        <v>1.6627202175267661</v>
      </c>
      <c r="AW14" s="31">
        <f t="shared" si="21"/>
        <v>1.6759018344179817E-2</v>
      </c>
      <c r="AX14" s="30">
        <f t="shared" si="9"/>
        <v>0.90119754529572182</v>
      </c>
      <c r="AY14" s="30"/>
      <c r="AZ14" s="27">
        <f t="shared" si="22"/>
        <v>5</v>
      </c>
      <c r="BA14" s="27">
        <f t="shared" si="10"/>
        <v>2003</v>
      </c>
      <c r="BB14" s="27">
        <v>51</v>
      </c>
      <c r="BC14" s="27">
        <v>0</v>
      </c>
      <c r="BD14" s="28">
        <f t="shared" si="11"/>
        <v>0.90196078431372551</v>
      </c>
      <c r="BE14" s="29">
        <f t="shared" si="23"/>
        <v>-2.1276595744680778E-2</v>
      </c>
      <c r="BF14" s="30">
        <f>+BF9*BD14+BG10*BD13+BG11*BD12+BG12*BD11+BG13*BD10+BG14</f>
        <v>35.456863439774565</v>
      </c>
      <c r="BG14" s="30">
        <v>1.6627202175267661</v>
      </c>
      <c r="BH14" s="31">
        <f t="shared" si="24"/>
        <v>2.6726507150983347E-2</v>
      </c>
      <c r="BI14" s="16"/>
      <c r="BJ14" s="16"/>
      <c r="BK14" s="27">
        <f t="shared" si="25"/>
        <v>5</v>
      </c>
      <c r="BL14" s="27">
        <f t="shared" si="12"/>
        <v>2003</v>
      </c>
      <c r="BM14" s="32">
        <v>3.5000000000000003E-2</v>
      </c>
      <c r="BN14" s="30">
        <f t="shared" si="26"/>
        <v>33.235172406134716</v>
      </c>
      <c r="BO14" s="30">
        <v>1.6627202175267661</v>
      </c>
      <c r="BP14" s="31">
        <f t="shared" si="27"/>
        <v>1.5696573123617965E-2</v>
      </c>
      <c r="BQ14" s="31">
        <v>4.5900000000000003E-2</v>
      </c>
      <c r="BR14" s="30">
        <f t="shared" si="13"/>
        <v>31.65942281544487</v>
      </c>
      <c r="BS14" s="30">
        <v>1.6627202175267661</v>
      </c>
      <c r="BT14" s="31">
        <f t="shared" si="28"/>
        <v>6.9615701251084967E-3</v>
      </c>
      <c r="BU14" s="27">
        <f t="shared" si="29"/>
        <v>2003</v>
      </c>
      <c r="BV14" s="35">
        <f t="shared" si="31"/>
        <v>189.6200657236692</v>
      </c>
      <c r="BW14" s="34">
        <f>174+113</f>
        <v>287</v>
      </c>
      <c r="BX14" s="39">
        <v>78.982549018001848</v>
      </c>
      <c r="BY14" s="39"/>
      <c r="BZ14" s="30">
        <f t="shared" ref="BZ14:BZ32" si="35">+BW14*10/BX14</f>
        <v>36.337140744164437</v>
      </c>
      <c r="CA14" s="31">
        <f>LN(BZ14/BZ13)</f>
        <v>4.7650440183105637E-2</v>
      </c>
      <c r="CB14" s="30">
        <f>95+150</f>
        <v>245</v>
      </c>
      <c r="CC14" s="39">
        <v>728.71</v>
      </c>
      <c r="CD14" s="40">
        <f>+CC14/CC13-1</f>
        <v>2.4490714054745677E-2</v>
      </c>
      <c r="CE14" s="39">
        <v>18.05</v>
      </c>
      <c r="CF14" s="39"/>
      <c r="CG14" s="30">
        <f t="shared" si="32"/>
        <v>1357.3407202216065</v>
      </c>
      <c r="CH14" s="31">
        <f>LN(CG14/CG13)</f>
        <v>2.4093605583949306E-2</v>
      </c>
      <c r="CI14" s="14">
        <v>2805610.25</v>
      </c>
      <c r="CJ14" s="31">
        <f>LN(CI14/CI13)</f>
        <v>2.8933953447859793E-2</v>
      </c>
      <c r="CK14" s="30">
        <v>100</v>
      </c>
      <c r="CL14" s="31"/>
      <c r="CM14" s="31">
        <f>+CJ14-CL14</f>
        <v>2.8933953447859793E-2</v>
      </c>
      <c r="CN14" s="30"/>
      <c r="CO14" s="30"/>
      <c r="CP14" s="30"/>
      <c r="CQ14" s="30"/>
      <c r="CR14" s="30"/>
      <c r="CS14" s="16"/>
      <c r="CT14" s="4"/>
      <c r="CU14" s="4"/>
      <c r="CV14" s="4"/>
      <c r="CX14" s="9"/>
      <c r="CY14" s="4"/>
      <c r="DB14" s="4"/>
      <c r="DC14" s="4"/>
      <c r="DD14" s="4"/>
      <c r="DE14" s="4"/>
      <c r="DH14" s="12"/>
      <c r="DI14" s="4"/>
    </row>
    <row r="15" spans="1:113" x14ac:dyDescent="0.25">
      <c r="A15" s="22"/>
      <c r="B15" s="16"/>
      <c r="C15" s="16"/>
      <c r="D15" s="22"/>
      <c r="E15" s="22"/>
      <c r="F15" s="22"/>
      <c r="G15" s="16"/>
      <c r="H15" s="27">
        <f t="shared" si="14"/>
        <v>6</v>
      </c>
      <c r="I15" s="27">
        <f t="shared" si="3"/>
        <v>2004</v>
      </c>
      <c r="J15" s="27">
        <v>51</v>
      </c>
      <c r="K15" s="27">
        <v>0.75</v>
      </c>
      <c r="L15" s="28">
        <f t="shared" si="4"/>
        <v>0.967741935483871</v>
      </c>
      <c r="M15" s="29">
        <f t="shared" si="15"/>
        <v>-5.9607293127628891E-3</v>
      </c>
      <c r="N15" s="29">
        <f t="shared" si="16"/>
        <v>5.852932828189621E-3</v>
      </c>
      <c r="O15" s="29">
        <v>3.1E-2</v>
      </c>
      <c r="P15" s="39">
        <v>81.556417024763178</v>
      </c>
      <c r="Q15" s="38">
        <f t="shared" si="17"/>
        <v>3.2068084637396722E-2</v>
      </c>
      <c r="R15" s="38">
        <f t="shared" si="34"/>
        <v>2.545468544960228E-2</v>
      </c>
      <c r="S15" s="39"/>
      <c r="T15" s="40"/>
      <c r="U15" s="32"/>
      <c r="V15" s="36"/>
      <c r="W15" s="36"/>
      <c r="X15" s="36"/>
      <c r="Y15" s="36"/>
      <c r="Z15" s="36"/>
      <c r="AA15" s="29"/>
      <c r="AB15" s="30">
        <f>+AB9*L15+AG10*L14+AG11*L13+AG12*L12+AG13*L11+AG14*L10+AG15</f>
        <v>154.73208824672733</v>
      </c>
      <c r="AC15" s="31">
        <f t="shared" si="18"/>
        <v>2.6886253631290737E-2</v>
      </c>
      <c r="AD15" s="22">
        <f>208+100.6</f>
        <v>308.60000000000002</v>
      </c>
      <c r="AE15" s="22">
        <f>5.1+54.5+18+12.2+3.1+18.6</f>
        <v>111.5</v>
      </c>
      <c r="AF15" s="39">
        <v>85.75</v>
      </c>
      <c r="AG15" s="22">
        <f t="shared" si="5"/>
        <v>4.9863501483679524</v>
      </c>
      <c r="AH15" s="22"/>
      <c r="AI15" s="22"/>
      <c r="AJ15" s="37"/>
      <c r="AK15" s="37"/>
      <c r="AL15" s="37"/>
      <c r="AM15" s="37"/>
      <c r="AN15" s="16"/>
      <c r="AO15" s="27">
        <f t="shared" si="19"/>
        <v>6</v>
      </c>
      <c r="AP15" s="27">
        <f t="shared" si="6"/>
        <v>2004</v>
      </c>
      <c r="AQ15" s="27">
        <v>51</v>
      </c>
      <c r="AR15" s="27">
        <v>1</v>
      </c>
      <c r="AS15" s="28">
        <f t="shared" si="7"/>
        <v>1</v>
      </c>
      <c r="AT15" s="29">
        <f t="shared" si="20"/>
        <v>0</v>
      </c>
      <c r="AU15" s="30">
        <f t="shared" si="8"/>
        <v>46.530610582029688</v>
      </c>
      <c r="AV15" s="30">
        <v>1.6256386437529029</v>
      </c>
      <c r="AW15" s="31">
        <f t="shared" si="21"/>
        <v>1.5359158573650821E-2</v>
      </c>
      <c r="AX15" s="30">
        <f t="shared" si="9"/>
        <v>0.91642799874034264</v>
      </c>
      <c r="AY15" s="30"/>
      <c r="AZ15" s="27">
        <f t="shared" si="22"/>
        <v>6</v>
      </c>
      <c r="BA15" s="27">
        <f t="shared" si="10"/>
        <v>2004</v>
      </c>
      <c r="BB15" s="27">
        <v>51</v>
      </c>
      <c r="BC15" s="27">
        <v>0</v>
      </c>
      <c r="BD15" s="28">
        <f t="shared" si="11"/>
        <v>0.88235294117647056</v>
      </c>
      <c r="BE15" s="29">
        <f t="shared" si="23"/>
        <v>-2.1739130434782653E-2</v>
      </c>
      <c r="BF15" s="30">
        <f>+BF9*BD15+BG10*BD14+BG11*BD13+BG12*BD12+BG13*BD11+BG14*BD10+BG15</f>
        <v>36.322266162152665</v>
      </c>
      <c r="BG15" s="30">
        <v>1.6256386437529029</v>
      </c>
      <c r="BH15" s="31">
        <f t="shared" si="24"/>
        <v>2.4114102860276359E-2</v>
      </c>
      <c r="BI15" s="16"/>
      <c r="BJ15" s="16"/>
      <c r="BK15" s="27">
        <f t="shared" si="25"/>
        <v>6</v>
      </c>
      <c r="BL15" s="27">
        <f t="shared" si="12"/>
        <v>2004</v>
      </c>
      <c r="BM15" s="32">
        <v>3.5000000000000003E-2</v>
      </c>
      <c r="BN15" s="30">
        <f t="shared" si="26"/>
        <v>33.697580015672898</v>
      </c>
      <c r="BO15" s="30">
        <v>1.6256386437529029</v>
      </c>
      <c r="BP15" s="31">
        <f t="shared" si="27"/>
        <v>1.3817300188713263E-2</v>
      </c>
      <c r="BQ15" s="31">
        <v>4.5900000000000003E-2</v>
      </c>
      <c r="BR15" s="30">
        <f t="shared" si="13"/>
        <v>31.831893951968851</v>
      </c>
      <c r="BS15" s="30">
        <v>1.6256386437529029</v>
      </c>
      <c r="BT15" s="31">
        <f t="shared" si="28"/>
        <v>5.4329180598251259E-3</v>
      </c>
      <c r="BU15" s="27">
        <f t="shared" si="29"/>
        <v>2004</v>
      </c>
      <c r="BV15" s="35">
        <f t="shared" si="31"/>
        <v>197.17141036496142</v>
      </c>
      <c r="BW15" s="34">
        <f>189+136</f>
        <v>325</v>
      </c>
      <c r="BX15" s="39">
        <v>81.556417024763178</v>
      </c>
      <c r="BY15" s="39"/>
      <c r="BZ15" s="30">
        <f t="shared" si="35"/>
        <v>39.849715308277879</v>
      </c>
      <c r="CA15" s="31">
        <f t="shared" ref="CA15:CA32" si="36">LN(BZ15/BZ14)</f>
        <v>9.2274881932719752E-2</v>
      </c>
      <c r="CB15" s="30">
        <f>103+141</f>
        <v>244</v>
      </c>
      <c r="CC15" s="39">
        <v>748.49</v>
      </c>
      <c r="CD15" s="40">
        <f t="shared" ref="CD15:CD31" si="37">+CC15/CC14-1</f>
        <v>2.7143856952697165E-2</v>
      </c>
      <c r="CE15" s="16">
        <v>18.5</v>
      </c>
      <c r="CF15" s="16"/>
      <c r="CG15" s="30">
        <f t="shared" si="32"/>
        <v>1318.918918918919</v>
      </c>
      <c r="CH15" s="31">
        <f t="shared" ref="CH15:CH32" si="38">LN(CG15/CG14)</f>
        <v>-2.8715032556914127E-2</v>
      </c>
      <c r="CI15" s="14">
        <v>2885813.916666667</v>
      </c>
      <c r="CJ15" s="31">
        <f t="shared" ref="CJ15:CL31" si="39">LN(CI15/CI14)</f>
        <v>2.8185907088781149E-2</v>
      </c>
      <c r="CK15" s="30">
        <f t="shared" ref="CK15:CK32" si="40">+CK14*EXP((((AK15+AK14)/2)*CH15)+(((AL15+AL14)/2)*CA15)+(((AM15+AM14)/2)*AC15))</f>
        <v>100</v>
      </c>
      <c r="CL15" s="31">
        <f t="shared" si="39"/>
        <v>0</v>
      </c>
      <c r="CM15" s="31">
        <f t="shared" ref="CM15:CM32" si="41">+CJ15-CL15</f>
        <v>2.8185907088781149E-2</v>
      </c>
      <c r="CN15" s="30"/>
      <c r="CO15" s="30"/>
      <c r="CP15" s="30"/>
      <c r="CQ15" s="30"/>
      <c r="CR15" s="30"/>
      <c r="CS15" s="16"/>
      <c r="CT15" s="4"/>
      <c r="CU15" s="4"/>
      <c r="CV15" s="4"/>
      <c r="CX15" s="9"/>
      <c r="CY15" s="4"/>
      <c r="DB15" s="4"/>
      <c r="DC15" s="4"/>
      <c r="DD15" s="4"/>
      <c r="DE15" s="4"/>
      <c r="DH15" s="12"/>
      <c r="DI15" s="4"/>
    </row>
    <row r="16" spans="1:113" x14ac:dyDescent="0.25">
      <c r="A16" s="22" t="s">
        <v>74</v>
      </c>
      <c r="B16" s="16"/>
      <c r="C16" s="16"/>
      <c r="D16" s="22">
        <v>1107.7</v>
      </c>
      <c r="E16" s="22">
        <f>+D16-F16</f>
        <v>377.6</v>
      </c>
      <c r="F16" s="22">
        <v>730.1</v>
      </c>
      <c r="G16" s="16"/>
      <c r="H16" s="27">
        <f t="shared" si="14"/>
        <v>7</v>
      </c>
      <c r="I16" s="27">
        <f t="shared" si="3"/>
        <v>2005</v>
      </c>
      <c r="J16" s="27">
        <v>51</v>
      </c>
      <c r="K16" s="27">
        <v>0.75</v>
      </c>
      <c r="L16" s="28">
        <f t="shared" si="4"/>
        <v>0.96174863387978138</v>
      </c>
      <c r="M16" s="29">
        <f t="shared" si="15"/>
        <v>-6.1930783242259389E-3</v>
      </c>
      <c r="N16" s="29">
        <f t="shared" si="16"/>
        <v>6.0434315671153063E-3</v>
      </c>
      <c r="O16" s="29">
        <v>3.1E-2</v>
      </c>
      <c r="P16" s="39">
        <v>84.099881267124459</v>
      </c>
      <c r="Q16" s="38">
        <f t="shared" si="17"/>
        <v>3.0710140975569684E-2</v>
      </c>
      <c r="R16" s="38">
        <f t="shared" si="34"/>
        <v>3.1626725067753242E-2</v>
      </c>
      <c r="S16" s="39"/>
      <c r="T16" s="40"/>
      <c r="U16" s="32"/>
      <c r="V16" s="36"/>
      <c r="W16" s="36"/>
      <c r="X16" s="36"/>
      <c r="Y16" s="36"/>
      <c r="Z16" s="36"/>
      <c r="AA16" s="36"/>
      <c r="AB16" s="30">
        <f>+AB9*L16+AG10*L15+AG11*L14+AG12*L13+AG13*L12+AG14*L11+AG15*L10+AG16</f>
        <v>159.75382677212474</v>
      </c>
      <c r="AC16" s="31">
        <f t="shared" si="18"/>
        <v>3.1938889246495628E-2</v>
      </c>
      <c r="AD16" s="22">
        <f>286.5+100.6</f>
        <v>387.1</v>
      </c>
      <c r="AE16" s="22">
        <f>5.7+43.4+40.5+12.4+7+14.7</f>
        <v>123.7</v>
      </c>
      <c r="AF16" s="39">
        <v>87.55</v>
      </c>
      <c r="AG16" s="22">
        <f t="shared" si="5"/>
        <v>5.9568513119533533</v>
      </c>
      <c r="AH16" s="22"/>
      <c r="AI16" s="22"/>
      <c r="AJ16" s="37"/>
      <c r="AK16" s="37"/>
      <c r="AL16" s="37"/>
      <c r="AM16" s="37"/>
      <c r="AN16" s="16"/>
      <c r="AO16" s="27">
        <f t="shared" si="19"/>
        <v>7</v>
      </c>
      <c r="AP16" s="27">
        <f t="shared" si="6"/>
        <v>2005</v>
      </c>
      <c r="AQ16" s="27">
        <v>51</v>
      </c>
      <c r="AR16" s="27">
        <v>1</v>
      </c>
      <c r="AS16" s="28">
        <f t="shared" si="7"/>
        <v>1</v>
      </c>
      <c r="AT16" s="29">
        <f t="shared" si="20"/>
        <v>0</v>
      </c>
      <c r="AU16" s="30">
        <f t="shared" si="8"/>
        <v>47.54564146273686</v>
      </c>
      <c r="AV16" s="30">
        <v>1.9456430923477661</v>
      </c>
      <c r="AW16" s="31">
        <f t="shared" si="21"/>
        <v>2.1579734496680446E-2</v>
      </c>
      <c r="AX16" s="30">
        <f t="shared" si="9"/>
        <v>0.93061221164059382</v>
      </c>
      <c r="AY16" s="30"/>
      <c r="AZ16" s="27">
        <f t="shared" si="22"/>
        <v>7</v>
      </c>
      <c r="BA16" s="27">
        <f t="shared" si="10"/>
        <v>2005</v>
      </c>
      <c r="BB16" s="27">
        <v>51</v>
      </c>
      <c r="BC16" s="27">
        <v>0</v>
      </c>
      <c r="BD16" s="28">
        <f t="shared" si="11"/>
        <v>0.86274509803921573</v>
      </c>
      <c r="BE16" s="29">
        <f t="shared" si="23"/>
        <v>-2.2222222222222143E-2</v>
      </c>
      <c r="BF16" s="30">
        <f>+BF9*BD16+BG10*BD15+BG11*BD14+BG12*BD13+BG13*BD12+BG14*BD11+BG15*BD10+BG16</f>
        <v>37.475798065601069</v>
      </c>
      <c r="BG16" s="30">
        <v>1.9456430923477661</v>
      </c>
      <c r="BH16" s="31">
        <f t="shared" si="24"/>
        <v>3.1264393589521218E-2</v>
      </c>
      <c r="BI16" s="16"/>
      <c r="BJ16" s="16"/>
      <c r="BK16" s="27">
        <f t="shared" si="25"/>
        <v>7</v>
      </c>
      <c r="BL16" s="27">
        <f t="shared" si="12"/>
        <v>2005</v>
      </c>
      <c r="BM16" s="32">
        <v>3.5000000000000003E-2</v>
      </c>
      <c r="BN16" s="30">
        <f t="shared" si="26"/>
        <v>34.463807807472108</v>
      </c>
      <c r="BO16" s="30">
        <v>1.9456430923477661</v>
      </c>
      <c r="BP16" s="31">
        <f t="shared" si="27"/>
        <v>2.2483699185508212E-2</v>
      </c>
      <c r="BQ16" s="31">
        <v>4.5900000000000003E-2</v>
      </c>
      <c r="BR16" s="30">
        <f t="shared" si="13"/>
        <v>32.316453111921248</v>
      </c>
      <c r="BS16" s="30">
        <v>1.9456430923477661</v>
      </c>
      <c r="BT16" s="31">
        <f t="shared" si="28"/>
        <v>1.5107743178716222E-2</v>
      </c>
      <c r="BU16" s="27">
        <f t="shared" si="29"/>
        <v>2005</v>
      </c>
      <c r="BV16" s="35">
        <f t="shared" si="31"/>
        <v>186.88140780851134</v>
      </c>
      <c r="BW16" s="34">
        <f>166+127</f>
        <v>293</v>
      </c>
      <c r="BX16" s="39">
        <v>84.099881267124459</v>
      </c>
      <c r="BY16" s="39"/>
      <c r="BZ16" s="30">
        <f t="shared" si="35"/>
        <v>34.839525999965574</v>
      </c>
      <c r="CA16" s="31">
        <f t="shared" si="36"/>
        <v>-0.13436271428823968</v>
      </c>
      <c r="CB16" s="30">
        <f>115+147</f>
        <v>262</v>
      </c>
      <c r="CC16" s="39">
        <v>776.33</v>
      </c>
      <c r="CD16" s="40">
        <f t="shared" si="37"/>
        <v>3.719488570321583E-2</v>
      </c>
      <c r="CE16" s="39">
        <v>19.09</v>
      </c>
      <c r="CF16" s="39"/>
      <c r="CG16" s="30">
        <f t="shared" si="32"/>
        <v>1372.4463069669985</v>
      </c>
      <c r="CH16" s="31">
        <f t="shared" si="38"/>
        <v>3.9782372814517949E-2</v>
      </c>
      <c r="CI16" s="14">
        <v>2969797.833333333</v>
      </c>
      <c r="CJ16" s="31">
        <f t="shared" si="39"/>
        <v>2.8686900579623004E-2</v>
      </c>
      <c r="CK16" s="30">
        <f t="shared" si="40"/>
        <v>100</v>
      </c>
      <c r="CL16" s="31">
        <f t="shared" si="39"/>
        <v>0</v>
      </c>
      <c r="CM16" s="31">
        <f t="shared" si="41"/>
        <v>2.8686900579623004E-2</v>
      </c>
      <c r="CN16" s="30"/>
      <c r="CO16" s="30"/>
      <c r="CP16" s="30"/>
      <c r="CQ16" s="30"/>
      <c r="CR16" s="30"/>
      <c r="CS16" s="16"/>
      <c r="CT16" s="4"/>
      <c r="CU16" s="4"/>
      <c r="CV16" s="4"/>
      <c r="CX16" s="9"/>
      <c r="CY16" s="4"/>
      <c r="DB16" s="4"/>
      <c r="DC16" s="4"/>
      <c r="DD16" s="4"/>
      <c r="DE16" s="4"/>
      <c r="DH16" s="12"/>
      <c r="DI16" s="4"/>
    </row>
    <row r="17" spans="1:113" x14ac:dyDescent="0.25">
      <c r="A17" s="22" t="s">
        <v>30</v>
      </c>
      <c r="B17" s="22"/>
      <c r="C17" s="16"/>
      <c r="D17" s="22">
        <v>849.4</v>
      </c>
      <c r="E17" s="22">
        <f>+D17-F17</f>
        <v>237.89999999999998</v>
      </c>
      <c r="F17" s="16">
        <v>611.5</v>
      </c>
      <c r="G17" s="16"/>
      <c r="H17" s="27">
        <f t="shared" si="14"/>
        <v>8</v>
      </c>
      <c r="I17" s="27">
        <f t="shared" si="3"/>
        <v>2006</v>
      </c>
      <c r="J17" s="27">
        <v>51</v>
      </c>
      <c r="K17" s="27">
        <v>0.75</v>
      </c>
      <c r="L17" s="28">
        <f t="shared" si="4"/>
        <v>0.9555555555555556</v>
      </c>
      <c r="M17" s="29">
        <f t="shared" si="15"/>
        <v>-6.4393939393938464E-3</v>
      </c>
      <c r="N17" s="29">
        <f t="shared" si="16"/>
        <v>6.2322036130433058E-3</v>
      </c>
      <c r="O17" s="29">
        <v>3.1E-2</v>
      </c>
      <c r="P17" s="39">
        <v>86.276080644611369</v>
      </c>
      <c r="Q17" s="38">
        <f t="shared" si="17"/>
        <v>2.5547239315890993E-2</v>
      </c>
      <c r="R17" s="38">
        <f t="shared" si="34"/>
        <v>2.9441821642952466E-2</v>
      </c>
      <c r="S17" s="39"/>
      <c r="T17" s="40"/>
      <c r="U17" s="32"/>
      <c r="V17" s="36">
        <v>0.36120000000000002</v>
      </c>
      <c r="W17" s="36">
        <v>0.375</v>
      </c>
      <c r="X17" s="36">
        <f t="shared" ref="X17:X32" si="42">1-(V17*W17)</f>
        <v>0.86454999999999993</v>
      </c>
      <c r="Y17" s="36">
        <f>+(1-V17)</f>
        <v>0.63880000000000003</v>
      </c>
      <c r="Z17" s="36">
        <f>+(AF17*(O17-N17)-R17)*(X17/Y17)</f>
        <v>2.9619287363879732</v>
      </c>
      <c r="AA17" s="32"/>
      <c r="AB17" s="30">
        <f>+AB9*L17+AG10*L16+AG11*L15+AG12*L14+L13*AG13+L12*AG14+L11*AG15+L10*AG16+AG17</f>
        <v>166.86671781890476</v>
      </c>
      <c r="AC17" s="31">
        <f t="shared" si="18"/>
        <v>4.3561349149273038E-2</v>
      </c>
      <c r="AD17" s="22">
        <f>301.5+116.2</f>
        <v>417.7</v>
      </c>
      <c r="AE17" s="22">
        <f>10.9+41.4+32.5+14.5+56.1+136.8</f>
        <v>292.20000000000005</v>
      </c>
      <c r="AF17" s="39">
        <v>89.55</v>
      </c>
      <c r="AG17" s="22">
        <f t="shared" si="5"/>
        <v>8.1085094231867512</v>
      </c>
      <c r="AH17" s="22">
        <f t="shared" ref="AH17:AH32" si="43">+Z17*AB17</f>
        <v>494.24732665455707</v>
      </c>
      <c r="AI17" s="22">
        <f t="shared" ref="AI17:AI32" si="44">+AH17+BW17+CB17</f>
        <v>1076.2473266545571</v>
      </c>
      <c r="AJ17" s="37"/>
      <c r="AK17" s="37">
        <f t="shared" ref="AK17:AK32" si="45">+CB17/AI17</f>
        <v>0.25273001220406632</v>
      </c>
      <c r="AL17" s="37">
        <f t="shared" ref="AL17:AL32" si="46">+BW17/AI17</f>
        <v>0.28803788155610505</v>
      </c>
      <c r="AM17" s="37">
        <f t="shared" ref="AM17:AM32" si="47">+AH17/AI17</f>
        <v>0.45923210623982857</v>
      </c>
      <c r="AN17" s="16"/>
      <c r="AO17" s="27">
        <f t="shared" si="19"/>
        <v>8</v>
      </c>
      <c r="AP17" s="27">
        <f t="shared" si="6"/>
        <v>2006</v>
      </c>
      <c r="AQ17" s="27">
        <v>51</v>
      </c>
      <c r="AR17" s="27">
        <v>1</v>
      </c>
      <c r="AS17" s="28">
        <f t="shared" si="7"/>
        <v>1</v>
      </c>
      <c r="AT17" s="29">
        <f t="shared" si="20"/>
        <v>0</v>
      </c>
      <c r="AU17" s="30">
        <f t="shared" si="8"/>
        <v>48.497174423856151</v>
      </c>
      <c r="AV17" s="30">
        <v>1.9024457903740346</v>
      </c>
      <c r="AW17" s="31">
        <f t="shared" si="21"/>
        <v>1.9815414346904939E-2</v>
      </c>
      <c r="AX17" s="30">
        <f t="shared" si="9"/>
        <v>0.95091282925473719</v>
      </c>
      <c r="AY17" s="30"/>
      <c r="AZ17" s="27">
        <f t="shared" si="22"/>
        <v>8</v>
      </c>
      <c r="BA17" s="27">
        <f t="shared" si="10"/>
        <v>2006</v>
      </c>
      <c r="BB17" s="27">
        <v>51</v>
      </c>
      <c r="BC17" s="27">
        <v>0</v>
      </c>
      <c r="BD17" s="28">
        <f t="shared" si="11"/>
        <v>0.84313725490196079</v>
      </c>
      <c r="BE17" s="29">
        <f t="shared" si="23"/>
        <v>-2.2727272727272773E-2</v>
      </c>
      <c r="BF17" s="30">
        <f>+BF9*BD17+BG10*BD16+BG11*BD15+BG12*BD14+BD13*BG13+BD12*BG14+BD11*BG15+BD10*BG16+BG17</f>
        <v>38.547982802519883</v>
      </c>
      <c r="BG17" s="30">
        <v>1.9024457903740346</v>
      </c>
      <c r="BH17" s="31">
        <f t="shared" si="24"/>
        <v>2.8208432148796574E-2</v>
      </c>
      <c r="BI17" s="16"/>
      <c r="BJ17" s="16"/>
      <c r="BK17" s="27">
        <f t="shared" si="25"/>
        <v>8</v>
      </c>
      <c r="BL17" s="27">
        <f t="shared" si="12"/>
        <v>2006</v>
      </c>
      <c r="BM17" s="32">
        <v>3.5000000000000003E-2</v>
      </c>
      <c r="BN17" s="30">
        <f t="shared" si="26"/>
        <v>35.160020324584615</v>
      </c>
      <c r="BO17" s="30">
        <v>1.9024457903740346</v>
      </c>
      <c r="BP17" s="31">
        <f t="shared" si="27"/>
        <v>1.9999926535227169E-2</v>
      </c>
      <c r="BQ17" s="31">
        <v>4.5900000000000003E-2</v>
      </c>
      <c r="BR17" s="30">
        <f t="shared" si="13"/>
        <v>32.735573704458098</v>
      </c>
      <c r="BS17" s="30">
        <v>1.9024457903740346</v>
      </c>
      <c r="BT17" s="31">
        <f t="shared" si="28"/>
        <v>1.2885882653414078E-2</v>
      </c>
      <c r="BU17" s="27">
        <f t="shared" si="29"/>
        <v>2006</v>
      </c>
      <c r="BV17" s="35">
        <f t="shared" si="31"/>
        <v>191.48081982633641</v>
      </c>
      <c r="BW17" s="34">
        <f>174+136</f>
        <v>310</v>
      </c>
      <c r="BX17" s="39">
        <v>86.276080644611369</v>
      </c>
      <c r="BY17" s="39"/>
      <c r="BZ17" s="30">
        <f t="shared" si="35"/>
        <v>35.931163966169571</v>
      </c>
      <c r="CA17" s="31">
        <f t="shared" si="36"/>
        <v>3.0852449146233366E-2</v>
      </c>
      <c r="CB17" s="30">
        <f>121+151</f>
        <v>272</v>
      </c>
      <c r="CC17" s="39">
        <v>788.8</v>
      </c>
      <c r="CD17" s="40">
        <f t="shared" si="37"/>
        <v>1.6062756817332824E-2</v>
      </c>
      <c r="CE17" s="39">
        <v>19.71</v>
      </c>
      <c r="CF17" s="39"/>
      <c r="CG17" s="30">
        <f t="shared" si="32"/>
        <v>1380.0101471334347</v>
      </c>
      <c r="CH17" s="31">
        <f t="shared" si="38"/>
        <v>5.4960791079277259E-3</v>
      </c>
      <c r="CI17" s="14">
        <v>3039468.916666667</v>
      </c>
      <c r="CJ17" s="31">
        <f t="shared" si="39"/>
        <v>2.3188920778631276E-2</v>
      </c>
      <c r="CK17" s="30">
        <f t="shared" si="40"/>
        <v>101.52554281424698</v>
      </c>
      <c r="CL17" s="31">
        <f t="shared" si="39"/>
        <v>1.5140234176694347E-2</v>
      </c>
      <c r="CM17" s="31">
        <f t="shared" si="41"/>
        <v>8.0486866019369285E-3</v>
      </c>
      <c r="CN17" s="30">
        <f t="shared" ref="CN17:CN32" si="48">+AI17*1000000/CI17</f>
        <v>354.09058495484106</v>
      </c>
      <c r="CO17" s="41">
        <f>+(CB17+BW17)*1000000/CI17</f>
        <v>191.48081982633641</v>
      </c>
      <c r="CP17" s="30"/>
      <c r="CQ17" s="30"/>
      <c r="CR17" s="30"/>
      <c r="CS17" s="16"/>
      <c r="CT17" s="4"/>
      <c r="CU17" s="4"/>
      <c r="CV17" s="4"/>
      <c r="CX17" s="9"/>
      <c r="CY17" s="4"/>
      <c r="DB17" s="4"/>
      <c r="DC17" s="4"/>
      <c r="DD17" s="4"/>
      <c r="DE17" s="4"/>
      <c r="DH17" s="12"/>
      <c r="DI17" s="4"/>
    </row>
    <row r="18" spans="1:113" x14ac:dyDescent="0.25">
      <c r="A18" s="22"/>
      <c r="B18" s="22"/>
      <c r="C18" s="16"/>
      <c r="D18" s="22"/>
      <c r="E18" s="22"/>
      <c r="F18" s="16"/>
      <c r="G18" s="16"/>
      <c r="H18" s="27">
        <f t="shared" si="14"/>
        <v>9</v>
      </c>
      <c r="I18" s="27">
        <f t="shared" si="3"/>
        <v>2007</v>
      </c>
      <c r="J18" s="27">
        <v>51</v>
      </c>
      <c r="K18" s="27">
        <v>0.75</v>
      </c>
      <c r="L18" s="28">
        <f t="shared" si="4"/>
        <v>0.94915254237288138</v>
      </c>
      <c r="M18" s="29">
        <f t="shared" si="15"/>
        <v>-6.7008277493102323E-3</v>
      </c>
      <c r="N18" s="29">
        <f t="shared" si="16"/>
        <v>6.4079995279909662E-3</v>
      </c>
      <c r="O18" s="29">
        <v>3.1E-2</v>
      </c>
      <c r="P18" s="39">
        <v>89.101033387811185</v>
      </c>
      <c r="Q18" s="38">
        <f t="shared" si="17"/>
        <v>3.2218537989067729E-2</v>
      </c>
      <c r="R18" s="38">
        <f t="shared" si="34"/>
        <v>2.9491972760176136E-2</v>
      </c>
      <c r="S18" s="39"/>
      <c r="T18" s="40"/>
      <c r="U18" s="32"/>
      <c r="V18" s="36">
        <v>0.36120000000000002</v>
      </c>
      <c r="W18" s="36">
        <v>0.375</v>
      </c>
      <c r="X18" s="36">
        <f t="shared" si="42"/>
        <v>0.86454999999999993</v>
      </c>
      <c r="Y18" s="36">
        <f t="shared" ref="Y18:Y32" si="49">+(1-V18)</f>
        <v>0.63880000000000003</v>
      </c>
      <c r="Z18" s="36">
        <f t="shared" ref="Z18:Z32" si="50">+(AF18*(O18-N18)-R18)*(X18/Y18)</f>
        <v>3.0129449355681062</v>
      </c>
      <c r="AA18" s="38">
        <f>LN(Z18/Z17)</f>
        <v>1.7077328097019114E-2</v>
      </c>
      <c r="AB18" s="30">
        <f>+AB9*L18+AG10*L17+AG11*L16+AG12*L15+AG13*L14+AG14*L13+AG15*L12+AG16*L11+AG17*L10+AG18</f>
        <v>172.67069113459627</v>
      </c>
      <c r="AC18" s="31">
        <f t="shared" si="18"/>
        <v>3.4190864173983461E-2</v>
      </c>
      <c r="AD18" s="22">
        <f>292.4+108.7</f>
        <v>401.09999999999997</v>
      </c>
      <c r="AE18" s="22">
        <f>2.5+41+47.3+14.7+9.5+99.4</f>
        <v>214.4</v>
      </c>
      <c r="AF18" s="39">
        <v>91.724999999999994</v>
      </c>
      <c r="AG18" s="22">
        <f t="shared" si="5"/>
        <v>6.8732551647124511</v>
      </c>
      <c r="AH18" s="22">
        <f t="shared" si="43"/>
        <v>520.24728437502654</v>
      </c>
      <c r="AI18" s="22">
        <f t="shared" si="44"/>
        <v>1126.2472843750265</v>
      </c>
      <c r="AJ18" s="37">
        <f t="shared" ref="AJ18:AJ31" si="51">LN(AI18/AI17)</f>
        <v>4.5410825915704105E-2</v>
      </c>
      <c r="AK18" s="37">
        <f t="shared" si="45"/>
        <v>0.25926810572691916</v>
      </c>
      <c r="AL18" s="37">
        <f t="shared" si="46"/>
        <v>0.27880200410360489</v>
      </c>
      <c r="AM18" s="37">
        <f t="shared" si="47"/>
        <v>0.46192989016947594</v>
      </c>
      <c r="AN18" s="16"/>
      <c r="AO18" s="27">
        <f t="shared" si="19"/>
        <v>9</v>
      </c>
      <c r="AP18" s="27">
        <f t="shared" si="6"/>
        <v>2007</v>
      </c>
      <c r="AQ18" s="27">
        <v>51</v>
      </c>
      <c r="AR18" s="27">
        <v>1</v>
      </c>
      <c r="AS18" s="28">
        <f t="shared" si="7"/>
        <v>1</v>
      </c>
      <c r="AT18" s="29">
        <f t="shared" si="20"/>
        <v>0</v>
      </c>
      <c r="AU18" s="30">
        <f t="shared" si="8"/>
        <v>49.347348309474839</v>
      </c>
      <c r="AV18" s="30">
        <v>1.8201173740958099</v>
      </c>
      <c r="AW18" s="31">
        <f t="shared" si="21"/>
        <v>1.7378495160690014E-2</v>
      </c>
      <c r="AX18" s="30">
        <f t="shared" si="9"/>
        <v>0.96994348847712308</v>
      </c>
      <c r="AY18" s="30"/>
      <c r="AZ18" s="27">
        <f t="shared" si="22"/>
        <v>9</v>
      </c>
      <c r="BA18" s="27">
        <f t="shared" si="10"/>
        <v>2007</v>
      </c>
      <c r="BB18" s="27">
        <v>51</v>
      </c>
      <c r="BC18" s="27">
        <v>0</v>
      </c>
      <c r="BD18" s="28">
        <f t="shared" si="11"/>
        <v>0.82352941176470584</v>
      </c>
      <c r="BE18" s="29">
        <f t="shared" si="23"/>
        <v>-2.325581395348842E-2</v>
      </c>
      <c r="BF18" s="30">
        <f>+BF9*BD18+BG10*BD17+BG11*BD16+BG12*BD15+BG13*BD14+BG14*BD13+BG15*BD12+BG16*BD11+BG17*BD10+BG18</f>
        <v>39.500536264525707</v>
      </c>
      <c r="BG18" s="30">
        <v>1.8201173740958099</v>
      </c>
      <c r="BH18" s="31">
        <f t="shared" si="24"/>
        <v>2.4410476274663053E-2</v>
      </c>
      <c r="BI18" s="16"/>
      <c r="BJ18" s="16"/>
      <c r="BK18" s="27">
        <f t="shared" si="25"/>
        <v>9</v>
      </c>
      <c r="BL18" s="27">
        <f t="shared" si="12"/>
        <v>2007</v>
      </c>
      <c r="BM18" s="32">
        <v>3.5000000000000003E-2</v>
      </c>
      <c r="BN18" s="30">
        <f t="shared" si="26"/>
        <v>35.749536987319964</v>
      </c>
      <c r="BO18" s="30">
        <v>1.8201173740958099</v>
      </c>
      <c r="BP18" s="31">
        <f t="shared" si="27"/>
        <v>1.6627666775841741E-2</v>
      </c>
      <c r="BQ18" s="31">
        <v>4.5900000000000003E-2</v>
      </c>
      <c r="BR18" s="30">
        <f t="shared" si="13"/>
        <v>33.053128245519282</v>
      </c>
      <c r="BS18" s="30">
        <v>1.8201173740958099</v>
      </c>
      <c r="BT18" s="31">
        <f t="shared" si="28"/>
        <v>9.6538462653668073E-3</v>
      </c>
      <c r="BU18" s="27">
        <f t="shared" si="29"/>
        <v>2007</v>
      </c>
      <c r="BV18" s="35">
        <f t="shared" si="31"/>
        <v>195.33253551059272</v>
      </c>
      <c r="BW18" s="34">
        <f>179+135</f>
        <v>314</v>
      </c>
      <c r="BX18" s="39">
        <v>89.101033387811185</v>
      </c>
      <c r="BY18" s="32">
        <f>LN(BX18/BX17)</f>
        <v>3.2218537989067729E-2</v>
      </c>
      <c r="BZ18" s="30">
        <f t="shared" si="35"/>
        <v>35.240893181711904</v>
      </c>
      <c r="CA18" s="31">
        <f t="shared" si="36"/>
        <v>-1.9397849560006269E-2</v>
      </c>
      <c r="CB18" s="30">
        <f>128+164</f>
        <v>292</v>
      </c>
      <c r="CC18" s="39">
        <v>819.19</v>
      </c>
      <c r="CD18" s="40">
        <f t="shared" si="37"/>
        <v>3.8526876267748644E-2</v>
      </c>
      <c r="CE18" s="39">
        <v>20.399999999999999</v>
      </c>
      <c r="CF18" s="32">
        <f>LN(CE18/CE17)</f>
        <v>3.4408779685541818E-2</v>
      </c>
      <c r="CG18" s="30">
        <f t="shared" si="32"/>
        <v>1431.372549019608</v>
      </c>
      <c r="CH18" s="31">
        <f t="shared" si="38"/>
        <v>3.6542956286742728E-2</v>
      </c>
      <c r="CI18" s="14">
        <v>3102401.75</v>
      </c>
      <c r="CJ18" s="31">
        <f t="shared" si="39"/>
        <v>2.0493767893849751E-2</v>
      </c>
      <c r="CK18" s="30">
        <f t="shared" si="40"/>
        <v>103.53557852739041</v>
      </c>
      <c r="CL18" s="31">
        <f t="shared" si="39"/>
        <v>1.9604887358637059E-2</v>
      </c>
      <c r="CM18" s="31">
        <f t="shared" si="41"/>
        <v>8.8888053521269175E-4</v>
      </c>
      <c r="CN18" s="30">
        <f t="shared" si="48"/>
        <v>363.02431958563278</v>
      </c>
      <c r="CO18" s="41">
        <f t="shared" ref="CO18:CO32" si="52">+(CB18+BW18)*1000000/CI18</f>
        <v>195.33253551059272</v>
      </c>
      <c r="CP18" s="30"/>
      <c r="CQ18" s="30"/>
      <c r="CR18" s="30"/>
      <c r="CS18" s="16"/>
      <c r="CT18" s="4"/>
      <c r="CU18" s="4"/>
      <c r="CV18" s="4"/>
      <c r="CX18" s="9"/>
      <c r="CY18" s="4"/>
      <c r="DB18" s="4"/>
      <c r="DC18" s="4"/>
      <c r="DD18" s="4"/>
      <c r="DE18" s="4"/>
      <c r="DH18" s="12"/>
      <c r="DI18" s="4"/>
    </row>
    <row r="19" spans="1:113" x14ac:dyDescent="0.25">
      <c r="A19" s="22" t="s">
        <v>78</v>
      </c>
      <c r="B19" s="22"/>
      <c r="C19" s="16"/>
      <c r="D19" s="42">
        <v>0.76200000000000001</v>
      </c>
      <c r="E19" s="22"/>
      <c r="F19" s="16"/>
      <c r="G19" s="16"/>
      <c r="H19" s="27">
        <f t="shared" si="14"/>
        <v>10</v>
      </c>
      <c r="I19" s="27">
        <f t="shared" si="3"/>
        <v>2008</v>
      </c>
      <c r="J19" s="27">
        <v>51</v>
      </c>
      <c r="K19" s="27">
        <v>0.75</v>
      </c>
      <c r="L19" s="28">
        <f t="shared" si="4"/>
        <v>0.94252873563218387</v>
      </c>
      <c r="M19" s="29">
        <f t="shared" si="15"/>
        <v>-6.978653530377737E-3</v>
      </c>
      <c r="N19" s="29">
        <f t="shared" si="16"/>
        <v>6.6005701902892627E-3</v>
      </c>
      <c r="O19" s="29">
        <v>3.1E-2</v>
      </c>
      <c r="P19" s="39">
        <v>92.652116953891237</v>
      </c>
      <c r="Q19" s="38">
        <f t="shared" si="17"/>
        <v>3.9080868929048967E-2</v>
      </c>
      <c r="R19" s="38">
        <f t="shared" si="34"/>
        <v>3.2282215411335899E-2</v>
      </c>
      <c r="S19" s="39"/>
      <c r="T19" s="40"/>
      <c r="U19" s="32"/>
      <c r="V19" s="36">
        <v>0.33500000000000002</v>
      </c>
      <c r="W19" s="36">
        <v>0.375</v>
      </c>
      <c r="X19" s="36">
        <f t="shared" si="42"/>
        <v>0.87437500000000001</v>
      </c>
      <c r="Y19" s="36">
        <f t="shared" si="49"/>
        <v>0.66500000000000004</v>
      </c>
      <c r="Z19" s="36">
        <f t="shared" si="50"/>
        <v>2.9748264448407427</v>
      </c>
      <c r="AA19" s="38">
        <f t="shared" ref="AA19:AA32" si="53">LN(Z19/Z18)</f>
        <v>-1.2732284937653503E-2</v>
      </c>
      <c r="AB19" s="30">
        <f>+AB9*L19+AG10*L18+AG11*L17+AG12*L16+AG13*L15+AG14*L14+AG15*L13+AG16*L12+AG17*L11+AG18*L10+AG19</f>
        <v>179.31619370040414</v>
      </c>
      <c r="AC19" s="31">
        <f t="shared" si="18"/>
        <v>3.7764431715783822E-2</v>
      </c>
      <c r="AD19" s="22">
        <f>283.3+151.2</f>
        <v>434.5</v>
      </c>
      <c r="AE19" s="22">
        <f>6.5+39.4+33+14.7+5.7+180.3</f>
        <v>279.60000000000002</v>
      </c>
      <c r="AF19" s="39">
        <v>94.05</v>
      </c>
      <c r="AG19" s="22">
        <f t="shared" si="5"/>
        <v>7.7852275824475345</v>
      </c>
      <c r="AH19" s="22">
        <f t="shared" si="43"/>
        <v>533.43455500814719</v>
      </c>
      <c r="AI19" s="22">
        <f t="shared" si="44"/>
        <v>1143.4345550081471</v>
      </c>
      <c r="AJ19" s="37">
        <f t="shared" si="51"/>
        <v>1.5145381940342059E-2</v>
      </c>
      <c r="AK19" s="37">
        <f t="shared" si="45"/>
        <v>0.26236744261927825</v>
      </c>
      <c r="AL19" s="37">
        <f t="shared" si="46"/>
        <v>0.27111302403992088</v>
      </c>
      <c r="AM19" s="37">
        <f t="shared" si="47"/>
        <v>0.46651953334080098</v>
      </c>
      <c r="AN19" s="16"/>
      <c r="AO19" s="27">
        <f t="shared" si="19"/>
        <v>10</v>
      </c>
      <c r="AP19" s="27">
        <f t="shared" si="6"/>
        <v>2008</v>
      </c>
      <c r="AQ19" s="27">
        <v>51</v>
      </c>
      <c r="AR19" s="27">
        <v>1</v>
      </c>
      <c r="AS19" s="28">
        <f t="shared" si="7"/>
        <v>1</v>
      </c>
      <c r="AT19" s="29">
        <f t="shared" si="20"/>
        <v>0</v>
      </c>
      <c r="AU19" s="30">
        <f t="shared" si="8"/>
        <v>50.003128191798467</v>
      </c>
      <c r="AV19" s="30">
        <v>1.6427268485131294</v>
      </c>
      <c r="AW19" s="31">
        <f t="shared" si="21"/>
        <v>1.3201535202026644E-2</v>
      </c>
      <c r="AX19" s="30">
        <f t="shared" si="9"/>
        <v>0.98694696618949684</v>
      </c>
      <c r="AY19" s="30"/>
      <c r="AZ19" s="27">
        <f t="shared" si="22"/>
        <v>10</v>
      </c>
      <c r="BA19" s="27">
        <f t="shared" si="10"/>
        <v>2008</v>
      </c>
      <c r="BB19" s="27">
        <v>51</v>
      </c>
      <c r="BC19" s="27">
        <v>0</v>
      </c>
      <c r="BD19" s="28">
        <f t="shared" si="11"/>
        <v>0.80392156862745101</v>
      </c>
      <c r="BE19" s="29">
        <f t="shared" si="23"/>
        <v>-2.3809523809523725E-2</v>
      </c>
      <c r="BF19" s="30">
        <f>+BF9*BD19+BG10*BD18+BG11*BD17+BG12*BD16+BG13*BD15+BG14*BD14+BG15*BD13+BG16*BD12+BG17*BD11+BG18*BD10+BG19</f>
        <v>40.240010624986184</v>
      </c>
      <c r="BG19" s="30">
        <v>1.6427268485131294</v>
      </c>
      <c r="BH19" s="31">
        <f t="shared" si="24"/>
        <v>1.854754169983561E-2</v>
      </c>
      <c r="BI19" s="16"/>
      <c r="BJ19" s="16"/>
      <c r="BK19" s="27">
        <f t="shared" si="25"/>
        <v>10</v>
      </c>
      <c r="BL19" s="27">
        <f t="shared" si="12"/>
        <v>2008</v>
      </c>
      <c r="BM19" s="32">
        <v>3.5000000000000003E-2</v>
      </c>
      <c r="BN19" s="30">
        <f t="shared" si="26"/>
        <v>36.141030041276892</v>
      </c>
      <c r="BO19" s="30">
        <v>1.6427268485131294</v>
      </c>
      <c r="BP19" s="31">
        <f t="shared" si="27"/>
        <v>1.089146852425606E-2</v>
      </c>
      <c r="BQ19" s="31">
        <v>4.5900000000000003E-2</v>
      </c>
      <c r="BR19" s="30">
        <f t="shared" si="13"/>
        <v>33.178716507563074</v>
      </c>
      <c r="BS19" s="30">
        <v>1.6427268485131294</v>
      </c>
      <c r="BT19" s="31">
        <f t="shared" si="28"/>
        <v>3.7923875752403978E-3</v>
      </c>
      <c r="BU19" s="27">
        <f t="shared" si="29"/>
        <v>2008</v>
      </c>
      <c r="BV19" s="35">
        <f t="shared" si="31"/>
        <v>192.87281207927643</v>
      </c>
      <c r="BW19" s="34">
        <f>181+129</f>
        <v>310</v>
      </c>
      <c r="BX19" s="39">
        <v>92.652116953891237</v>
      </c>
      <c r="BY19" s="32">
        <f t="shared" ref="BY19:BY32" si="54">LN(BX19/BX18)</f>
        <v>3.9080868929048967E-2</v>
      </c>
      <c r="BZ19" s="30">
        <f t="shared" si="35"/>
        <v>33.458490770833976</v>
      </c>
      <c r="CA19" s="31">
        <f t="shared" si="36"/>
        <v>-5.1901557358110272E-2</v>
      </c>
      <c r="CB19" s="16">
        <f>128+172</f>
        <v>300</v>
      </c>
      <c r="CC19" s="39">
        <v>838.34</v>
      </c>
      <c r="CD19" s="40">
        <f t="shared" si="37"/>
        <v>2.3376750204470165E-2</v>
      </c>
      <c r="CE19" s="39">
        <v>21.27</v>
      </c>
      <c r="CF19" s="32">
        <f t="shared" ref="CF19:CF32" si="55">LN(CE19/CE18)</f>
        <v>4.1762728361975185E-2</v>
      </c>
      <c r="CG19" s="30">
        <f t="shared" si="32"/>
        <v>1410.4372355430185</v>
      </c>
      <c r="CH19" s="31">
        <f t="shared" si="38"/>
        <v>-1.4734055974055844E-2</v>
      </c>
      <c r="CI19" s="14">
        <v>3162706</v>
      </c>
      <c r="CJ19" s="31">
        <f t="shared" si="39"/>
        <v>1.9251420686636329E-2</v>
      </c>
      <c r="CK19" s="30">
        <f t="shared" si="40"/>
        <v>103.47529236334981</v>
      </c>
      <c r="CL19" s="31">
        <f t="shared" si="39"/>
        <v>-5.8244444347777034E-4</v>
      </c>
      <c r="CM19" s="31">
        <f t="shared" si="41"/>
        <v>1.9833865130114099E-2</v>
      </c>
      <c r="CN19" s="30">
        <f t="shared" si="48"/>
        <v>361.53678369350393</v>
      </c>
      <c r="CO19" s="41">
        <f t="shared" si="52"/>
        <v>192.87281207927643</v>
      </c>
      <c r="CP19" s="30"/>
      <c r="CQ19" s="30"/>
      <c r="CR19" s="30"/>
      <c r="CS19" s="16"/>
      <c r="CT19" s="4"/>
      <c r="CU19" s="4"/>
      <c r="CV19" s="4"/>
      <c r="CX19" s="9"/>
      <c r="CY19" s="4"/>
      <c r="DH19" s="12"/>
      <c r="DI19" s="4"/>
    </row>
    <row r="20" spans="1:113" x14ac:dyDescent="0.25">
      <c r="A20" s="22"/>
      <c r="B20" s="22"/>
      <c r="C20" s="22"/>
      <c r="D20" s="22"/>
      <c r="E20" s="16"/>
      <c r="F20" s="22"/>
      <c r="G20" s="16"/>
      <c r="H20" s="27">
        <f t="shared" si="14"/>
        <v>11</v>
      </c>
      <c r="I20" s="27">
        <f t="shared" si="3"/>
        <v>2009</v>
      </c>
      <c r="J20" s="27">
        <v>51</v>
      </c>
      <c r="K20" s="27">
        <v>0.75</v>
      </c>
      <c r="L20" s="28">
        <f t="shared" si="4"/>
        <v>0.93567251461988299</v>
      </c>
      <c r="M20" s="29">
        <f t="shared" si="15"/>
        <v>-7.2742832691484929E-3</v>
      </c>
      <c r="N20" s="29">
        <f t="shared" si="16"/>
        <v>6.7903455150337784E-3</v>
      </c>
      <c r="O20" s="29">
        <v>3.1E-2</v>
      </c>
      <c r="P20" s="39">
        <v>90.50950790088595</v>
      </c>
      <c r="Q20" s="38">
        <f t="shared" si="17"/>
        <v>-2.3396896540224352E-2</v>
      </c>
      <c r="R20" s="38">
        <f t="shared" si="34"/>
        <v>1.5967503459297448E-2</v>
      </c>
      <c r="S20" s="39"/>
      <c r="T20" s="40"/>
      <c r="U20" s="32"/>
      <c r="V20" s="36">
        <v>0.33</v>
      </c>
      <c r="W20" s="36">
        <v>0.375</v>
      </c>
      <c r="X20" s="36">
        <f t="shared" si="42"/>
        <v>0.87624999999999997</v>
      </c>
      <c r="Y20" s="36">
        <f t="shared" si="49"/>
        <v>0.66999999999999993</v>
      </c>
      <c r="Z20" s="36">
        <f t="shared" si="50"/>
        <v>2.9901974202999138</v>
      </c>
      <c r="AA20" s="38">
        <f t="shared" si="53"/>
        <v>5.1537126518610369E-3</v>
      </c>
      <c r="AB20" s="30">
        <f>+AB9*L20+AG10*L19+AG11*L18+AG12*L17+AG13*L16+AG14*L15+AG15*L14+AG16*L13+AG17*L12+AG18*L11+AG19*L10+AG20</f>
        <v>185.46805910559041</v>
      </c>
      <c r="AC20" s="31">
        <f t="shared" si="18"/>
        <v>3.373198634653217E-2</v>
      </c>
      <c r="AD20" s="22">
        <f>270.6+159.2</f>
        <v>429.8</v>
      </c>
      <c r="AE20" s="22">
        <f>0.1+158.9+21.1+15.8+7.4+60</f>
        <v>263.3</v>
      </c>
      <c r="AF20" s="39">
        <v>95.1</v>
      </c>
      <c r="AG20" s="22">
        <f t="shared" si="5"/>
        <v>7.3694843168527386</v>
      </c>
      <c r="AH20" s="22">
        <f t="shared" si="43"/>
        <v>554.58611188556836</v>
      </c>
      <c r="AI20" s="22">
        <f t="shared" si="44"/>
        <v>1147.5861118855682</v>
      </c>
      <c r="AJ20" s="37">
        <f t="shared" si="51"/>
        <v>3.6242025064051782E-3</v>
      </c>
      <c r="AK20" s="37">
        <f t="shared" si="45"/>
        <v>0.2666466566916007</v>
      </c>
      <c r="AL20" s="37">
        <f t="shared" si="46"/>
        <v>0.25009016493623987</v>
      </c>
      <c r="AM20" s="37">
        <f t="shared" si="47"/>
        <v>0.48326317837215949</v>
      </c>
      <c r="AN20" s="16"/>
      <c r="AO20" s="27">
        <f t="shared" si="19"/>
        <v>11</v>
      </c>
      <c r="AP20" s="27">
        <f t="shared" si="6"/>
        <v>2009</v>
      </c>
      <c r="AQ20" s="27">
        <v>51</v>
      </c>
      <c r="AR20" s="27">
        <v>1</v>
      </c>
      <c r="AS20" s="28">
        <f t="shared" si="7"/>
        <v>1</v>
      </c>
      <c r="AT20" s="29">
        <f t="shared" si="20"/>
        <v>0</v>
      </c>
      <c r="AU20" s="30">
        <f t="shared" si="8"/>
        <v>51.273450192519128</v>
      </c>
      <c r="AV20" s="30">
        <v>2.2703845645566272</v>
      </c>
      <c r="AW20" s="31">
        <f t="shared" si="21"/>
        <v>2.5087510792697675E-2</v>
      </c>
      <c r="AX20" s="30">
        <f t="shared" si="9"/>
        <v>1.0000625638359693</v>
      </c>
      <c r="AY20" s="30"/>
      <c r="AZ20" s="27">
        <f t="shared" si="22"/>
        <v>11</v>
      </c>
      <c r="BA20" s="27">
        <f t="shared" si="10"/>
        <v>2009</v>
      </c>
      <c r="BB20" s="27">
        <v>51</v>
      </c>
      <c r="BC20" s="27">
        <v>0</v>
      </c>
      <c r="BD20" s="28">
        <f t="shared" si="11"/>
        <v>0.78431372549019607</v>
      </c>
      <c r="BE20" s="29">
        <f t="shared" si="23"/>
        <v>-2.4390243902439074E-2</v>
      </c>
      <c r="BF20" s="30">
        <f>+BF9*BD20+BG10*BD19+BG11*BD18+BG12*BD17+BG13*BD16+BG14*BD15+BG15*BD14+BG16*BD13+BG17*BD12+BG18*BD11+BG19*BD10+BG20</f>
        <v>41.574932371127154</v>
      </c>
      <c r="BG20" s="30">
        <v>2.2703845645566272</v>
      </c>
      <c r="BH20" s="31">
        <f t="shared" si="24"/>
        <v>3.26356085741814E-2</v>
      </c>
      <c r="BI20" s="16"/>
      <c r="BJ20" s="16"/>
      <c r="BK20" s="27">
        <f t="shared" si="25"/>
        <v>11</v>
      </c>
      <c r="BL20" s="27">
        <f t="shared" si="12"/>
        <v>2009</v>
      </c>
      <c r="BM20" s="32">
        <v>3.5000000000000003E-2</v>
      </c>
      <c r="BN20" s="30">
        <f t="shared" si="26"/>
        <v>37.146478554388828</v>
      </c>
      <c r="BO20" s="30">
        <v>2.2703845645566272</v>
      </c>
      <c r="BP20" s="31">
        <f t="shared" si="27"/>
        <v>2.7440190571915643E-2</v>
      </c>
      <c r="BQ20" s="31">
        <v>4.5900000000000003E-2</v>
      </c>
      <c r="BR20" s="30">
        <f t="shared" si="13"/>
        <v>33.926197984422551</v>
      </c>
      <c r="BS20" s="30">
        <v>2.2703845645566272</v>
      </c>
      <c r="BT20" s="31">
        <f t="shared" si="28"/>
        <v>2.2278916528629268E-2</v>
      </c>
      <c r="BU20" s="27">
        <f t="shared" si="29"/>
        <v>2009</v>
      </c>
      <c r="BV20" s="35">
        <f t="shared" si="31"/>
        <v>185.14171159245467</v>
      </c>
      <c r="BW20" s="34">
        <f>167+120</f>
        <v>287</v>
      </c>
      <c r="BX20" s="39">
        <v>90.50950790088595</v>
      </c>
      <c r="BY20" s="32">
        <f t="shared" si="54"/>
        <v>-2.3396896540224352E-2</v>
      </c>
      <c r="BZ20" s="30">
        <f t="shared" si="35"/>
        <v>31.709375805499292</v>
      </c>
      <c r="CA20" s="31">
        <f t="shared" si="36"/>
        <v>-5.3693185179346486E-2</v>
      </c>
      <c r="CB20" s="30">
        <f>131+175</f>
        <v>306</v>
      </c>
      <c r="CC20" s="39">
        <v>848.77</v>
      </c>
      <c r="CD20" s="40">
        <f t="shared" si="37"/>
        <v>1.2441252952262838E-2</v>
      </c>
      <c r="CE20" s="39">
        <v>21.99</v>
      </c>
      <c r="CF20" s="32">
        <f t="shared" si="55"/>
        <v>3.3290175354523943E-2</v>
      </c>
      <c r="CG20" s="30">
        <f t="shared" si="32"/>
        <v>1391.5416098226467</v>
      </c>
      <c r="CH20" s="31">
        <f t="shared" si="38"/>
        <v>-1.348754805834438E-2</v>
      </c>
      <c r="CI20" s="14">
        <v>3202951.916666667</v>
      </c>
      <c r="CJ20" s="31">
        <f t="shared" si="39"/>
        <v>1.2644868274243808E-2</v>
      </c>
      <c r="CK20" s="30">
        <f t="shared" si="40"/>
        <v>103.31595431280245</v>
      </c>
      <c r="CL20" s="31">
        <f t="shared" si="39"/>
        <v>-1.5410524830430877E-3</v>
      </c>
      <c r="CM20" s="31">
        <f t="shared" si="41"/>
        <v>1.4185920757286896E-2</v>
      </c>
      <c r="CN20" s="30">
        <f t="shared" si="48"/>
        <v>358.29014663444229</v>
      </c>
      <c r="CO20" s="41">
        <f t="shared" si="52"/>
        <v>185.14171159245467</v>
      </c>
      <c r="CP20" s="30"/>
      <c r="CQ20" s="30"/>
      <c r="CR20" s="30"/>
      <c r="CS20" s="16"/>
      <c r="CT20" s="4"/>
      <c r="CU20" s="4"/>
      <c r="CV20" s="4"/>
      <c r="CX20" s="9"/>
      <c r="CY20" s="4"/>
      <c r="DB20" s="4"/>
      <c r="DH20" s="12"/>
      <c r="DI20" s="4"/>
    </row>
    <row r="21" spans="1:113" x14ac:dyDescent="0.25">
      <c r="A21" s="22" t="s">
        <v>79</v>
      </c>
      <c r="B21" s="22"/>
      <c r="C21" s="22"/>
      <c r="D21" s="22"/>
      <c r="E21" s="16"/>
      <c r="F21" s="22">
        <f>+F7+0.762*(F16+F17)</f>
        <v>4762.7992000000013</v>
      </c>
      <c r="G21" s="16"/>
      <c r="H21" s="27">
        <f t="shared" si="14"/>
        <v>12</v>
      </c>
      <c r="I21" s="27">
        <f t="shared" si="3"/>
        <v>2010</v>
      </c>
      <c r="J21" s="27">
        <v>51</v>
      </c>
      <c r="K21" s="27">
        <v>0.75</v>
      </c>
      <c r="L21" s="28">
        <f t="shared" si="4"/>
        <v>0.9285714285714286</v>
      </c>
      <c r="M21" s="29">
        <f t="shared" si="15"/>
        <v>-7.5892857142856249E-3</v>
      </c>
      <c r="N21" s="29">
        <f t="shared" si="16"/>
        <v>6.991367587921596E-3</v>
      </c>
      <c r="O21" s="29">
        <v>3.1E-2</v>
      </c>
      <c r="P21" s="39">
        <v>93.088917966047077</v>
      </c>
      <c r="Q21" s="38">
        <f t="shared" si="17"/>
        <v>2.8100238669933386E-2</v>
      </c>
      <c r="R21" s="38">
        <f t="shared" si="34"/>
        <v>1.4594737019586001E-2</v>
      </c>
      <c r="S21" s="39"/>
      <c r="T21" s="40"/>
      <c r="U21" s="32"/>
      <c r="V21" s="36">
        <v>0.31</v>
      </c>
      <c r="W21" s="36">
        <v>0.375</v>
      </c>
      <c r="X21" s="36">
        <f t="shared" si="42"/>
        <v>0.88375000000000004</v>
      </c>
      <c r="Y21" s="36">
        <f t="shared" si="49"/>
        <v>0.69</v>
      </c>
      <c r="Z21" s="36">
        <f t="shared" si="50"/>
        <v>2.9364000549117253</v>
      </c>
      <c r="AA21" s="38">
        <f t="shared" si="53"/>
        <v>-1.8155052124231592E-2</v>
      </c>
      <c r="AB21" s="30">
        <f>+AB9*L21+AG10*L20+AG11*L19+AG12*L18+AG13*L17+AG14*L16+AG15*L15+AG16*L14+AG17*L13+AG18*L12+AG19*L11+AG20*L10+AG21</f>
        <v>190.0357370408677</v>
      </c>
      <c r="AC21" s="31">
        <f t="shared" si="18"/>
        <v>2.4329465051225147E-2</v>
      </c>
      <c r="AD21" s="22">
        <f>284.6+127.7</f>
        <v>412.3</v>
      </c>
      <c r="AE21" s="22">
        <f>16.1+40+35.2+17.3+14.1+22.7</f>
        <v>145.4</v>
      </c>
      <c r="AF21" s="39">
        <v>96.1</v>
      </c>
      <c r="AG21" s="22">
        <f t="shared" si="5"/>
        <v>5.86435331230284</v>
      </c>
      <c r="AH21" s="22">
        <f t="shared" si="43"/>
        <v>558.02094868199413</v>
      </c>
      <c r="AI21" s="22">
        <f t="shared" si="44"/>
        <v>1199.020948681994</v>
      </c>
      <c r="AJ21" s="37">
        <f t="shared" si="51"/>
        <v>4.3844644513063698E-2</v>
      </c>
      <c r="AK21" s="37">
        <f t="shared" si="45"/>
        <v>0.27022046641983377</v>
      </c>
      <c r="AL21" s="37">
        <f t="shared" si="46"/>
        <v>0.26438236992310898</v>
      </c>
      <c r="AM21" s="37">
        <f t="shared" si="47"/>
        <v>0.46539716365705736</v>
      </c>
      <c r="AN21" s="16"/>
      <c r="AO21" s="27">
        <f t="shared" si="19"/>
        <v>12</v>
      </c>
      <c r="AP21" s="27">
        <f t="shared" si="6"/>
        <v>2010</v>
      </c>
      <c r="AQ21" s="27">
        <v>51</v>
      </c>
      <c r="AR21" s="27">
        <v>1</v>
      </c>
      <c r="AS21" s="28">
        <f t="shared" si="7"/>
        <v>1</v>
      </c>
      <c r="AT21" s="29">
        <f t="shared" si="20"/>
        <v>0</v>
      </c>
      <c r="AU21" s="30">
        <f t="shared" si="8"/>
        <v>51.916875790211165</v>
      </c>
      <c r="AV21" s="30">
        <v>1.6688946015424166</v>
      </c>
      <c r="AW21" s="31">
        <f t="shared" si="21"/>
        <v>1.2470818953414592E-2</v>
      </c>
      <c r="AX21" s="30">
        <f t="shared" si="9"/>
        <v>1.0254690038503826</v>
      </c>
      <c r="AY21" s="30"/>
      <c r="AZ21" s="27">
        <f t="shared" si="22"/>
        <v>12</v>
      </c>
      <c r="BA21" s="27">
        <f t="shared" si="10"/>
        <v>2010</v>
      </c>
      <c r="BB21" s="27">
        <v>51</v>
      </c>
      <c r="BC21" s="27">
        <v>0</v>
      </c>
      <c r="BD21" s="28">
        <f t="shared" si="11"/>
        <v>0.76470588235294112</v>
      </c>
      <c r="BE21" s="29">
        <f t="shared" si="23"/>
        <v>-2.5000000000000053E-2</v>
      </c>
      <c r="BF21" s="30">
        <f>+BF9*BD21+BG10*BD20+BG11*BD19+BG12*BD18+BG13*BD17+BG14*BD16+BG15*BD15+BG16*BD14+BG17*BD13+BG18*BD12+BG19*BD11+BG20*BD10+BG21</f>
        <v>42.263846809850847</v>
      </c>
      <c r="BG21" s="30">
        <v>1.6688946015424166</v>
      </c>
      <c r="BH21" s="31">
        <f t="shared" si="24"/>
        <v>1.6434636848107878E-2</v>
      </c>
      <c r="BI21" s="16"/>
      <c r="BJ21" s="16"/>
      <c r="BK21" s="27">
        <f t="shared" si="25"/>
        <v>12</v>
      </c>
      <c r="BL21" s="27">
        <f t="shared" si="12"/>
        <v>2010</v>
      </c>
      <c r="BM21" s="32">
        <v>3.5000000000000003E-2</v>
      </c>
      <c r="BN21" s="30">
        <f t="shared" si="26"/>
        <v>37.515246406527638</v>
      </c>
      <c r="BO21" s="30">
        <v>1.6688946015424166</v>
      </c>
      <c r="BP21" s="31">
        <f t="shared" si="27"/>
        <v>9.8784444408922031E-3</v>
      </c>
      <c r="BQ21" s="31">
        <v>4.5900000000000003E-2</v>
      </c>
      <c r="BR21" s="30">
        <f t="shared" si="13"/>
        <v>34.037880098479974</v>
      </c>
      <c r="BS21" s="30">
        <v>1.6688946015424166</v>
      </c>
      <c r="BT21" s="31">
        <f t="shared" si="28"/>
        <v>3.2865071588431497E-3</v>
      </c>
      <c r="BU21" s="27">
        <f t="shared" si="29"/>
        <v>2010</v>
      </c>
      <c r="BV21" s="35">
        <f t="shared" si="31"/>
        <v>196.71353369164251</v>
      </c>
      <c r="BW21" s="34">
        <f>172+145</f>
        <v>317</v>
      </c>
      <c r="BX21" s="39">
        <v>93.088917966047077</v>
      </c>
      <c r="BY21" s="32">
        <f t="shared" si="54"/>
        <v>2.8100238669933386E-2</v>
      </c>
      <c r="BZ21" s="30">
        <f t="shared" si="35"/>
        <v>34.053462745761152</v>
      </c>
      <c r="CA21" s="31">
        <f t="shared" si="36"/>
        <v>7.1319319447726084E-2</v>
      </c>
      <c r="CB21" s="30">
        <f>141+183</f>
        <v>324</v>
      </c>
      <c r="CC21" s="39">
        <v>881.36</v>
      </c>
      <c r="CD21" s="40">
        <f t="shared" si="37"/>
        <v>3.8396738810278386E-2</v>
      </c>
      <c r="CE21" s="39">
        <v>22.44</v>
      </c>
      <c r="CF21" s="32">
        <f t="shared" si="55"/>
        <v>2.0257276087825855E-2</v>
      </c>
      <c r="CG21" s="30">
        <f t="shared" si="32"/>
        <v>1443.8502673796791</v>
      </c>
      <c r="CH21" s="31">
        <f t="shared" si="38"/>
        <v>3.6901137752122844E-2</v>
      </c>
      <c r="CI21" s="14">
        <v>3258545.4999999995</v>
      </c>
      <c r="CJ21" s="31">
        <f t="shared" si="39"/>
        <v>1.7208071626544436E-2</v>
      </c>
      <c r="CK21" s="30">
        <f t="shared" si="40"/>
        <v>107.50995299457675</v>
      </c>
      <c r="CL21" s="31">
        <f t="shared" si="39"/>
        <v>3.979161868105964E-2</v>
      </c>
      <c r="CM21" s="31">
        <f t="shared" si="41"/>
        <v>-2.2583547054515204E-2</v>
      </c>
      <c r="CN21" s="30">
        <f t="shared" si="48"/>
        <v>367.96200902580432</v>
      </c>
      <c r="CO21" s="41">
        <f t="shared" si="52"/>
        <v>196.71353369164251</v>
      </c>
      <c r="CP21" s="30"/>
      <c r="CQ21" s="30"/>
      <c r="CR21" s="30"/>
      <c r="CS21" s="16"/>
      <c r="CT21" s="4"/>
      <c r="CU21" s="4"/>
      <c r="CV21" s="4"/>
      <c r="CX21" s="9"/>
      <c r="CY21" s="4"/>
      <c r="DH21" s="12"/>
      <c r="DI21" s="4"/>
    </row>
    <row r="22" spans="1:113" x14ac:dyDescent="0.25">
      <c r="A22" s="22" t="s">
        <v>80</v>
      </c>
      <c r="B22" s="22"/>
      <c r="C22" s="22"/>
      <c r="D22" s="22"/>
      <c r="E22" s="16"/>
      <c r="F22" s="22">
        <f>+F21/G6</f>
        <v>95.42775395712286</v>
      </c>
      <c r="G22" s="16"/>
      <c r="H22" s="27">
        <f t="shared" si="14"/>
        <v>13</v>
      </c>
      <c r="I22" s="27">
        <f t="shared" si="3"/>
        <v>2011</v>
      </c>
      <c r="J22" s="27">
        <v>51</v>
      </c>
      <c r="K22" s="27">
        <v>0.75</v>
      </c>
      <c r="L22" s="28">
        <f t="shared" si="4"/>
        <v>0.92121212121212126</v>
      </c>
      <c r="M22" s="29">
        <f t="shared" si="15"/>
        <v>-7.9254079254079072E-3</v>
      </c>
      <c r="N22" s="29">
        <f t="shared" si="16"/>
        <v>7.2176580666703793E-3</v>
      </c>
      <c r="O22" s="29">
        <v>3.1E-2</v>
      </c>
      <c r="P22" s="39">
        <v>96.098932548676402</v>
      </c>
      <c r="Q22" s="38">
        <f t="shared" si="17"/>
        <v>3.1823064664740219E-2</v>
      </c>
      <c r="R22" s="38">
        <f t="shared" si="34"/>
        <v>1.2175468931483085E-2</v>
      </c>
      <c r="S22" s="39"/>
      <c r="T22" s="40"/>
      <c r="U22" s="32"/>
      <c r="V22" s="36">
        <v>0.28249999999999997</v>
      </c>
      <c r="W22" s="36">
        <v>0.375</v>
      </c>
      <c r="X22" s="36">
        <f t="shared" si="42"/>
        <v>0.89406249999999998</v>
      </c>
      <c r="Y22" s="36">
        <f t="shared" si="49"/>
        <v>0.71750000000000003</v>
      </c>
      <c r="Z22" s="36">
        <f t="shared" si="50"/>
        <v>2.9001423911462716</v>
      </c>
      <c r="AA22" s="38">
        <f t="shared" si="53"/>
        <v>-1.2424523772535523E-2</v>
      </c>
      <c r="AB22" s="30">
        <f>+AB9*L22+AG10*L21+AG11*L20+AG12*L19+AG13*L18+AG14*L17+AG15*L16+AG16*L15+AG17*L14+AG18*L13+AG19*L12+AG20*L11+AG21*L10+AG22</f>
        <v>195.45600752519368</v>
      </c>
      <c r="AC22" s="31">
        <f t="shared" si="18"/>
        <v>2.8123184494200572E-2</v>
      </c>
      <c r="AD22" s="22">
        <f>287.3+135.2</f>
        <v>422.5</v>
      </c>
      <c r="AE22" s="22">
        <f>21+44.8+39.8+17.9+34.5+72.2</f>
        <v>230.2</v>
      </c>
      <c r="AF22" s="39">
        <v>98.375</v>
      </c>
      <c r="AG22" s="22">
        <f t="shared" si="5"/>
        <v>6.791883454734652</v>
      </c>
      <c r="AH22" s="22">
        <f t="shared" si="43"/>
        <v>566.85025302801887</v>
      </c>
      <c r="AI22" s="22">
        <f t="shared" si="44"/>
        <v>1232.8502530280189</v>
      </c>
      <c r="AJ22" s="37">
        <f t="shared" si="51"/>
        <v>2.7823419831173687E-2</v>
      </c>
      <c r="AK22" s="37">
        <f t="shared" si="45"/>
        <v>0.2798393390865121</v>
      </c>
      <c r="AL22" s="37">
        <f t="shared" si="46"/>
        <v>0.26037225462831992</v>
      </c>
      <c r="AM22" s="37">
        <f t="shared" si="47"/>
        <v>0.45978840628516798</v>
      </c>
      <c r="AN22" s="16"/>
      <c r="AO22" s="27">
        <f t="shared" si="19"/>
        <v>13</v>
      </c>
      <c r="AP22" s="27">
        <f t="shared" si="6"/>
        <v>2011</v>
      </c>
      <c r="AQ22" s="27">
        <v>51</v>
      </c>
      <c r="AR22" s="27">
        <v>1</v>
      </c>
      <c r="AS22" s="28">
        <f t="shared" si="7"/>
        <v>1</v>
      </c>
      <c r="AT22" s="29">
        <f t="shared" si="20"/>
        <v>0</v>
      </c>
      <c r="AU22" s="30">
        <f t="shared" si="8"/>
        <v>52.528755800820868</v>
      </c>
      <c r="AV22" s="30">
        <v>1.6502175264139218</v>
      </c>
      <c r="AW22" s="31">
        <f t="shared" si="21"/>
        <v>1.1716852134758357E-2</v>
      </c>
      <c r="AX22" s="30">
        <f t="shared" si="9"/>
        <v>1.0383375158042234</v>
      </c>
      <c r="AY22" s="30"/>
      <c r="AZ22" s="27">
        <f t="shared" si="22"/>
        <v>13</v>
      </c>
      <c r="BA22" s="27">
        <f t="shared" si="10"/>
        <v>2011</v>
      </c>
      <c r="BB22" s="27">
        <v>51</v>
      </c>
      <c r="BC22" s="27">
        <v>0</v>
      </c>
      <c r="BD22" s="28">
        <f t="shared" si="11"/>
        <v>0.74509803921568629</v>
      </c>
      <c r="BE22" s="29">
        <f t="shared" si="23"/>
        <v>-2.5641025641025553E-2</v>
      </c>
      <c r="BF22" s="30">
        <f>+BF9*BD22+BG10*BD21+BG11*BD20+BG12*BD19+BG13*BD18+BG14*BD17+BG15*BD16+BG16*BD15+BG17*BD14+BG18*BD13+BG19*BD12+BG20*BD11+BG21*BD10+BG22</f>
        <v>42.901360749886379</v>
      </c>
      <c r="BG22" s="30">
        <v>1.6502175264139218</v>
      </c>
      <c r="BH22" s="31">
        <f t="shared" si="24"/>
        <v>1.4971509288351191E-2</v>
      </c>
      <c r="BI22" s="16"/>
      <c r="BJ22" s="16"/>
      <c r="BK22" s="27">
        <f t="shared" si="25"/>
        <v>13</v>
      </c>
      <c r="BL22" s="27">
        <f t="shared" si="12"/>
        <v>2011</v>
      </c>
      <c r="BM22" s="32">
        <v>3.5000000000000003E-2</v>
      </c>
      <c r="BN22" s="30">
        <f t="shared" si="26"/>
        <v>37.852430308713096</v>
      </c>
      <c r="BO22" s="30">
        <v>1.6502175264139218</v>
      </c>
      <c r="BP22" s="31">
        <f t="shared" si="27"/>
        <v>8.9477655814052381E-3</v>
      </c>
      <c r="BQ22" s="31">
        <v>4.5900000000000003E-2</v>
      </c>
      <c r="BR22" s="30">
        <f t="shared" si="13"/>
        <v>34.125758928373656</v>
      </c>
      <c r="BS22" s="30">
        <v>1.6502175264139218</v>
      </c>
      <c r="BT22" s="31">
        <f t="shared" si="28"/>
        <v>2.5784679291423361E-3</v>
      </c>
      <c r="BU22" s="27">
        <f t="shared" si="29"/>
        <v>2011</v>
      </c>
      <c r="BV22" s="35">
        <f t="shared" si="31"/>
        <v>201.20521217167669</v>
      </c>
      <c r="BW22" s="34">
        <f>166+155</f>
        <v>321</v>
      </c>
      <c r="BX22" s="39">
        <v>96.098932548676402</v>
      </c>
      <c r="BY22" s="32">
        <f t="shared" si="54"/>
        <v>3.1823064664740219E-2</v>
      </c>
      <c r="BZ22" s="30">
        <f t="shared" si="35"/>
        <v>33.403076546912303</v>
      </c>
      <c r="CA22" s="31">
        <f t="shared" si="36"/>
        <v>-1.9283715412005045E-2</v>
      </c>
      <c r="CB22" s="30">
        <f>153+192</f>
        <v>345</v>
      </c>
      <c r="CC22" s="39">
        <v>893.4</v>
      </c>
      <c r="CD22" s="40">
        <f t="shared" si="37"/>
        <v>1.3660706181356064E-2</v>
      </c>
      <c r="CE22" s="39">
        <v>22.88</v>
      </c>
      <c r="CF22" s="32">
        <f t="shared" si="55"/>
        <v>1.9418085857101516E-2</v>
      </c>
      <c r="CG22" s="30">
        <f t="shared" si="32"/>
        <v>1507.867132867133</v>
      </c>
      <c r="CH22" s="31">
        <f t="shared" si="38"/>
        <v>4.3382815381928848E-2</v>
      </c>
      <c r="CI22" s="14">
        <v>3310053.4166666665</v>
      </c>
      <c r="CJ22" s="31">
        <f t="shared" si="39"/>
        <v>1.5683397051577855E-2</v>
      </c>
      <c r="CK22" s="30">
        <f t="shared" si="40"/>
        <v>109.66880644797224</v>
      </c>
      <c r="CL22" s="31">
        <f t="shared" si="39"/>
        <v>1.98815443125878E-2</v>
      </c>
      <c r="CM22" s="31">
        <f t="shared" si="41"/>
        <v>-4.1981472610099456E-3</v>
      </c>
      <c r="CN22" s="30">
        <f t="shared" si="48"/>
        <v>372.45630140601781</v>
      </c>
      <c r="CO22" s="41">
        <f t="shared" si="52"/>
        <v>201.20521217167669</v>
      </c>
      <c r="CP22" s="30"/>
      <c r="CQ22" s="30"/>
      <c r="CR22" s="30"/>
      <c r="CS22" s="16"/>
      <c r="CT22" s="4"/>
      <c r="CU22" s="4"/>
      <c r="CV22" s="4"/>
      <c r="CX22" s="9"/>
      <c r="CY22" s="4"/>
      <c r="DH22" s="12"/>
      <c r="DI22" s="4"/>
    </row>
    <row r="23" spans="1:113" x14ac:dyDescent="0.25">
      <c r="A23" s="22" t="s">
        <v>81</v>
      </c>
      <c r="B23" s="22"/>
      <c r="C23" s="22"/>
      <c r="D23" s="22"/>
      <c r="E23" s="16"/>
      <c r="F23" s="22">
        <f>+F7+F12+F16+F17</f>
        <v>6253.6000000000013</v>
      </c>
      <c r="G23" s="16"/>
      <c r="H23" s="27">
        <f t="shared" si="14"/>
        <v>14</v>
      </c>
      <c r="I23" s="27">
        <f t="shared" si="3"/>
        <v>2012</v>
      </c>
      <c r="J23" s="27">
        <v>51</v>
      </c>
      <c r="K23" s="27">
        <v>0.75</v>
      </c>
      <c r="L23" s="28">
        <f t="shared" si="4"/>
        <v>0.9135802469135802</v>
      </c>
      <c r="M23" s="29">
        <f t="shared" si="15"/>
        <v>-8.2846003898636549E-3</v>
      </c>
      <c r="N23" s="29">
        <f t="shared" si="16"/>
        <v>7.4416873977866237E-3</v>
      </c>
      <c r="O23" s="29">
        <v>3.1E-2</v>
      </c>
      <c r="P23" s="39">
        <v>97.269133401537545</v>
      </c>
      <c r="Q23" s="38">
        <f t="shared" si="17"/>
        <v>1.2103499435244554E-2</v>
      </c>
      <c r="R23" s="38">
        <f t="shared" si="34"/>
        <v>2.4008934256639386E-2</v>
      </c>
      <c r="S23" s="39"/>
      <c r="T23" s="40"/>
      <c r="U23" s="32"/>
      <c r="V23" s="36">
        <v>0.26500000000000001</v>
      </c>
      <c r="W23" s="36">
        <v>0.375</v>
      </c>
      <c r="X23" s="36">
        <f t="shared" si="42"/>
        <v>0.90062500000000001</v>
      </c>
      <c r="Y23" s="36">
        <f t="shared" si="49"/>
        <v>0.73499999999999999</v>
      </c>
      <c r="Z23" s="36">
        <f t="shared" si="50"/>
        <v>2.8572754861523215</v>
      </c>
      <c r="AA23" s="38">
        <f t="shared" si="53"/>
        <v>-1.4891292607701234E-2</v>
      </c>
      <c r="AB23" s="30">
        <f>+AB9*L23+AG10*L22+AG11*L21+AG12*L20+AG13*L19+AG14*L18+AG15*L17+AG16*L16+AG17*L15+AG18*L14+AG19*L13+AG20*L12+AG21*L11+AG22*L10+AG23</f>
        <v>200.97683444538015</v>
      </c>
      <c r="AC23" s="31">
        <f t="shared" si="18"/>
        <v>2.7854321244771517E-2</v>
      </c>
      <c r="AD23" s="22">
        <f>367.5+161.2</f>
        <v>528.70000000000005</v>
      </c>
      <c r="AE23" s="22">
        <f>20.1+43.5+41.3+19.2+15.8+17.6</f>
        <v>157.5</v>
      </c>
      <c r="AF23" s="39">
        <v>100</v>
      </c>
      <c r="AG23" s="22">
        <f t="shared" si="5"/>
        <v>6.9753494282083865</v>
      </c>
      <c r="AH23" s="22">
        <f t="shared" si="43"/>
        <v>574.24618234527816</v>
      </c>
      <c r="AI23" s="22">
        <f t="shared" si="44"/>
        <v>1268.2461823452782</v>
      </c>
      <c r="AJ23" s="37">
        <f t="shared" si="51"/>
        <v>2.8306219766167508E-2</v>
      </c>
      <c r="AK23" s="37">
        <f t="shared" si="45"/>
        <v>0.27597165666429974</v>
      </c>
      <c r="AL23" s="37">
        <f t="shared" si="46"/>
        <v>0.27124071397862604</v>
      </c>
      <c r="AM23" s="37">
        <f t="shared" si="47"/>
        <v>0.45278762935707423</v>
      </c>
      <c r="AN23" s="16"/>
      <c r="AO23" s="27">
        <f t="shared" si="19"/>
        <v>14</v>
      </c>
      <c r="AP23" s="27">
        <f t="shared" si="6"/>
        <v>2012</v>
      </c>
      <c r="AQ23" s="27">
        <v>51</v>
      </c>
      <c r="AR23" s="27">
        <v>1</v>
      </c>
      <c r="AS23" s="28">
        <f t="shared" si="7"/>
        <v>1</v>
      </c>
      <c r="AT23" s="29">
        <f t="shared" si="20"/>
        <v>0</v>
      </c>
      <c r="AU23" s="30">
        <f t="shared" si="8"/>
        <v>53.475022662212439</v>
      </c>
      <c r="AV23" s="30">
        <v>1.9968419774079924</v>
      </c>
      <c r="AW23" s="31">
        <f t="shared" si="21"/>
        <v>1.7853929571217543E-2</v>
      </c>
      <c r="AX23" s="30">
        <f t="shared" si="9"/>
        <v>1.0505751160164174</v>
      </c>
      <c r="AY23" s="30"/>
      <c r="AZ23" s="27">
        <f t="shared" si="22"/>
        <v>14</v>
      </c>
      <c r="BA23" s="27">
        <f t="shared" si="10"/>
        <v>2012</v>
      </c>
      <c r="BB23" s="27">
        <v>51</v>
      </c>
      <c r="BC23" s="27">
        <v>0</v>
      </c>
      <c r="BD23" s="28">
        <f t="shared" si="11"/>
        <v>0.72549019607843135</v>
      </c>
      <c r="BE23" s="29">
        <f t="shared" si="23"/>
        <v>-2.6315789473684265E-2</v>
      </c>
      <c r="BF23" s="30">
        <f>+BF9*BD23+BG10*BD22+BG11*BD21+BG12*BD20+BG13*BD19+BG14*BD18+BG15*BD17+BG16*BD16+BG17*BD15+BG18*BD14+BG19*BD13+BG20*BD12+BG21*BD11+BG22*BD10+BG23</f>
        <v>43.853141934515719</v>
      </c>
      <c r="BG23" s="30">
        <v>1.9968419774079924</v>
      </c>
      <c r="BH23" s="31">
        <f t="shared" si="24"/>
        <v>2.1942823579187788E-2</v>
      </c>
      <c r="BI23" s="16"/>
      <c r="BJ23" s="16"/>
      <c r="BK23" s="27">
        <f t="shared" si="25"/>
        <v>14</v>
      </c>
      <c r="BL23" s="27">
        <f t="shared" si="12"/>
        <v>2012</v>
      </c>
      <c r="BM23" s="32">
        <v>3.5000000000000003E-2</v>
      </c>
      <c r="BN23" s="30">
        <f t="shared" si="26"/>
        <v>38.524437225316127</v>
      </c>
      <c r="BO23" s="30">
        <v>1.9968419774079924</v>
      </c>
      <c r="BP23" s="31">
        <f t="shared" si="27"/>
        <v>1.7597586289985492E-2</v>
      </c>
      <c r="BQ23" s="31">
        <v>4.5900000000000003E-2</v>
      </c>
      <c r="BR23" s="30">
        <f t="shared" si="13"/>
        <v>34.556228570969296</v>
      </c>
      <c r="BS23" s="30">
        <v>1.9968419774079924</v>
      </c>
      <c r="BT23" s="31">
        <f t="shared" si="28"/>
        <v>1.2535318066527204E-2</v>
      </c>
      <c r="BU23" s="27">
        <f t="shared" si="29"/>
        <v>2012</v>
      </c>
      <c r="BV23" s="35">
        <f t="shared" si="31"/>
        <v>206.37632976499043</v>
      </c>
      <c r="BW23" s="34">
        <f>191+153</f>
        <v>344</v>
      </c>
      <c r="BX23" s="39">
        <v>97.269133401537545</v>
      </c>
      <c r="BY23" s="32">
        <f t="shared" si="54"/>
        <v>1.2103499435244554E-2</v>
      </c>
      <c r="BZ23" s="30">
        <f t="shared" si="35"/>
        <v>35.365792617883272</v>
      </c>
      <c r="CA23" s="31">
        <f t="shared" si="36"/>
        <v>5.7097034808137916E-2</v>
      </c>
      <c r="CB23" s="30">
        <f>167+183</f>
        <v>350</v>
      </c>
      <c r="CC23" s="39">
        <v>906.1</v>
      </c>
      <c r="CD23" s="40">
        <f t="shared" si="37"/>
        <v>1.4215357062905776E-2</v>
      </c>
      <c r="CE23" s="39">
        <v>23.55</v>
      </c>
      <c r="CF23" s="32">
        <f t="shared" si="55"/>
        <v>2.8862653950829702E-2</v>
      </c>
      <c r="CG23" s="30">
        <f t="shared" si="32"/>
        <v>1486.1995753715498</v>
      </c>
      <c r="CH23" s="31">
        <f t="shared" si="38"/>
        <v>-1.4473916498730125E-2</v>
      </c>
      <c r="CI23" s="14">
        <v>3362788.75</v>
      </c>
      <c r="CJ23" s="31">
        <f t="shared" si="39"/>
        <v>1.5806287622462195E-2</v>
      </c>
      <c r="CK23" s="30">
        <f t="shared" si="40"/>
        <v>112.31741750729256</v>
      </c>
      <c r="CL23" s="31">
        <f t="shared" si="39"/>
        <v>2.3863974144247006E-2</v>
      </c>
      <c r="CM23" s="31">
        <f t="shared" si="41"/>
        <v>-8.0576865217848112E-3</v>
      </c>
      <c r="CN23" s="30">
        <f t="shared" si="48"/>
        <v>377.14119935285208</v>
      </c>
      <c r="CO23" s="41">
        <f t="shared" si="52"/>
        <v>206.37632976499043</v>
      </c>
      <c r="CP23" s="30"/>
      <c r="CQ23" s="30"/>
      <c r="CR23" s="30"/>
      <c r="CS23" s="16"/>
      <c r="CT23" s="4"/>
      <c r="CU23" s="4"/>
      <c r="CV23" s="4"/>
      <c r="CX23" s="9"/>
      <c r="CY23" s="4"/>
      <c r="DH23" s="12"/>
      <c r="DI23" s="4"/>
    </row>
    <row r="24" spans="1:113" x14ac:dyDescent="0.25">
      <c r="A24" s="22" t="s">
        <v>82</v>
      </c>
      <c r="B24" s="22"/>
      <c r="C24" s="22"/>
      <c r="D24" s="22"/>
      <c r="E24" s="16"/>
      <c r="F24" s="22">
        <f>+F23/G6</f>
        <v>125.29753556401526</v>
      </c>
      <c r="G24" s="16"/>
      <c r="H24" s="27">
        <f t="shared" si="14"/>
        <v>15</v>
      </c>
      <c r="I24" s="27">
        <f t="shared" si="3"/>
        <v>2013</v>
      </c>
      <c r="J24" s="27">
        <v>51</v>
      </c>
      <c r="K24" s="27">
        <v>0.75</v>
      </c>
      <c r="L24" s="28">
        <f t="shared" si="4"/>
        <v>0.90566037735849059</v>
      </c>
      <c r="M24" s="29">
        <f t="shared" si="15"/>
        <v>-8.6690464048953843E-3</v>
      </c>
      <c r="N24" s="29">
        <f t="shared" si="16"/>
        <v>7.6728485670636811E-3</v>
      </c>
      <c r="O24" s="29">
        <v>3.1E-2</v>
      </c>
      <c r="P24" s="39">
        <v>98.95789756205258</v>
      </c>
      <c r="Q24" s="38">
        <f t="shared" si="17"/>
        <v>1.7212774891916742E-2</v>
      </c>
      <c r="R24" s="38">
        <f t="shared" si="34"/>
        <v>2.037977966396717E-2</v>
      </c>
      <c r="S24" s="39"/>
      <c r="T24" s="40"/>
      <c r="U24" s="32"/>
      <c r="V24" s="36">
        <v>0.26500000000000001</v>
      </c>
      <c r="W24" s="36">
        <v>0.375</v>
      </c>
      <c r="X24" s="36">
        <f t="shared" si="42"/>
        <v>0.90062500000000001</v>
      </c>
      <c r="Y24" s="36">
        <f t="shared" si="49"/>
        <v>0.73499999999999999</v>
      </c>
      <c r="Z24" s="36">
        <f t="shared" si="50"/>
        <v>2.8819896104214378</v>
      </c>
      <c r="AA24" s="38">
        <f t="shared" si="53"/>
        <v>8.6123490071324735E-3</v>
      </c>
      <c r="AB24" s="30">
        <f>+AB9*L24+AG10*L23+AG11*L22+AG12*L21+AG13*L20+AG14*L19+AG15*L18+AG16*L17+AG17*L16+AG18*L15+AG19*L14+AG20*L13+AG21*L12+AG22*L11+AG23*L10+AG24</f>
        <v>207.57876962919292</v>
      </c>
      <c r="AC24" s="31">
        <f t="shared" si="18"/>
        <v>3.2321230405314157E-2</v>
      </c>
      <c r="AD24" s="22">
        <f>366.3+219.7</f>
        <v>586</v>
      </c>
      <c r="AE24" s="22">
        <f>20+69.4+31.7+23.5+7+76.8</f>
        <v>228.40000000000003</v>
      </c>
      <c r="AF24" s="39">
        <v>101.7</v>
      </c>
      <c r="AG24" s="22">
        <f t="shared" si="5"/>
        <v>8.1440000000000001</v>
      </c>
      <c r="AH24" s="22">
        <f t="shared" si="43"/>
        <v>598.23985741539911</v>
      </c>
      <c r="AI24" s="22">
        <f t="shared" si="44"/>
        <v>1328.239857415399</v>
      </c>
      <c r="AJ24" s="37">
        <f t="shared" si="51"/>
        <v>4.6219662983953538E-2</v>
      </c>
      <c r="AK24" s="37">
        <f t="shared" si="45"/>
        <v>0.28759865762749193</v>
      </c>
      <c r="AL24" s="37">
        <f t="shared" si="46"/>
        <v>0.26200087134651096</v>
      </c>
      <c r="AM24" s="37">
        <f t="shared" si="47"/>
        <v>0.45040047102599723</v>
      </c>
      <c r="AN24" s="16"/>
      <c r="AO24" s="27">
        <f t="shared" si="19"/>
        <v>15</v>
      </c>
      <c r="AP24" s="27">
        <f t="shared" si="6"/>
        <v>2013</v>
      </c>
      <c r="AQ24" s="27">
        <v>51</v>
      </c>
      <c r="AR24" s="27">
        <v>1</v>
      </c>
      <c r="AS24" s="28">
        <f t="shared" si="7"/>
        <v>1</v>
      </c>
      <c r="AT24" s="29">
        <f t="shared" si="20"/>
        <v>0</v>
      </c>
      <c r="AU24" s="30">
        <f t="shared" si="8"/>
        <v>54.463579788707769</v>
      </c>
      <c r="AV24" s="30">
        <v>2.0580575797395775</v>
      </c>
      <c r="AW24" s="31">
        <f t="shared" si="21"/>
        <v>1.8317538766628731E-2</v>
      </c>
      <c r="AX24" s="30">
        <f t="shared" si="9"/>
        <v>1.0695004532442487</v>
      </c>
      <c r="AY24" s="30"/>
      <c r="AZ24" s="27">
        <f t="shared" si="22"/>
        <v>15</v>
      </c>
      <c r="BA24" s="27">
        <f t="shared" si="10"/>
        <v>2013</v>
      </c>
      <c r="BB24" s="27">
        <v>51</v>
      </c>
      <c r="BC24" s="27">
        <v>0</v>
      </c>
      <c r="BD24" s="28">
        <f t="shared" si="11"/>
        <v>0.70588235294117652</v>
      </c>
      <c r="BE24" s="29">
        <f t="shared" si="23"/>
        <v>-2.7027027027026931E-2</v>
      </c>
      <c r="BF24" s="30">
        <f>+BF9*BD24+BG10*BD23+BG11*BD22+BG12*BD21+BG13*BD20+BG14*BD19+BG15*BD18+BG16*BD17+BG17*BD16+BG18*BD15+BG19*BD14+BG20*BD13+BG21*BD12+BG22*BD11+BG23*BD10+BG24</f>
        <v>44.826984957213739</v>
      </c>
      <c r="BG24" s="30">
        <v>2.0580575797395775</v>
      </c>
      <c r="BH24" s="31">
        <f t="shared" si="24"/>
        <v>2.1963932758592337E-2</v>
      </c>
      <c r="BI24" s="16"/>
      <c r="BJ24" s="16"/>
      <c r="BK24" s="27">
        <f t="shared" si="25"/>
        <v>15</v>
      </c>
      <c r="BL24" s="27">
        <f t="shared" si="12"/>
        <v>2013</v>
      </c>
      <c r="BM24" s="32">
        <v>3.5000000000000003E-2</v>
      </c>
      <c r="BN24" s="30">
        <f t="shared" si="26"/>
        <v>39.23413950216964</v>
      </c>
      <c r="BO24" s="30">
        <v>2.0580575797395775</v>
      </c>
      <c r="BP24" s="31">
        <f t="shared" si="27"/>
        <v>1.825450038474849E-2</v>
      </c>
      <c r="BQ24" s="31">
        <v>4.5900000000000003E-2</v>
      </c>
      <c r="BR24" s="30">
        <f t="shared" si="13"/>
        <v>35.028155259301379</v>
      </c>
      <c r="BS24" s="30">
        <v>2.0580575797395775</v>
      </c>
      <c r="BT24" s="31">
        <f t="shared" si="28"/>
        <v>1.3564363100592234E-2</v>
      </c>
      <c r="BU24" s="27">
        <f t="shared" si="29"/>
        <v>2013</v>
      </c>
      <c r="BV24" s="35">
        <f t="shared" si="31"/>
        <v>213.61222441310224</v>
      </c>
      <c r="BW24" s="34">
        <f>199+149</f>
        <v>348</v>
      </c>
      <c r="BX24" s="39">
        <v>98.95789756205258</v>
      </c>
      <c r="BY24" s="32">
        <f t="shared" si="54"/>
        <v>1.7212774891916742E-2</v>
      </c>
      <c r="BZ24" s="30">
        <f t="shared" si="35"/>
        <v>35.166470647962484</v>
      </c>
      <c r="CA24" s="31">
        <f t="shared" si="36"/>
        <v>-5.6519524908405375E-3</v>
      </c>
      <c r="CB24" s="30">
        <f>180+202</f>
        <v>382</v>
      </c>
      <c r="CC24" s="39">
        <v>920.09</v>
      </c>
      <c r="CD24" s="40">
        <f t="shared" si="37"/>
        <v>1.5439796931906002E-2</v>
      </c>
      <c r="CE24" s="39">
        <v>24.07</v>
      </c>
      <c r="CF24" s="32">
        <f t="shared" si="55"/>
        <v>2.1840431332553822E-2</v>
      </c>
      <c r="CG24" s="30">
        <f t="shared" si="32"/>
        <v>1587.0378063980058</v>
      </c>
      <c r="CH24" s="31">
        <f t="shared" si="38"/>
        <v>6.5647022790562087E-2</v>
      </c>
      <c r="CI24" s="14">
        <v>3417407.4166666665</v>
      </c>
      <c r="CJ24" s="31">
        <f t="shared" si="39"/>
        <v>1.6111583448596544E-2</v>
      </c>
      <c r="CK24" s="30">
        <f t="shared" si="40"/>
        <v>115.92187254603266</v>
      </c>
      <c r="CL24" s="31">
        <f t="shared" si="39"/>
        <v>3.1587503925909373E-2</v>
      </c>
      <c r="CM24" s="31">
        <f t="shared" si="41"/>
        <v>-1.5475920477312829E-2</v>
      </c>
      <c r="CN24" s="30">
        <f t="shared" si="48"/>
        <v>388.66886369403448</v>
      </c>
      <c r="CO24" s="41">
        <f t="shared" si="52"/>
        <v>213.61222441310224</v>
      </c>
      <c r="CP24" s="30"/>
      <c r="CQ24" s="30"/>
      <c r="CR24" s="30"/>
      <c r="CS24" s="16"/>
      <c r="CT24" s="4"/>
      <c r="CU24" s="4"/>
      <c r="CV24" s="4"/>
      <c r="CX24" s="9"/>
      <c r="CY24" s="4"/>
      <c r="DH24" s="12"/>
      <c r="DI24" s="4"/>
    </row>
    <row r="25" spans="1:113" x14ac:dyDescent="0.25">
      <c r="A25" s="22"/>
      <c r="B25" s="22"/>
      <c r="C25" s="22"/>
      <c r="D25" s="22"/>
      <c r="E25" s="16"/>
      <c r="F25" s="16"/>
      <c r="G25" s="16"/>
      <c r="H25" s="27">
        <f t="shared" si="14"/>
        <v>16</v>
      </c>
      <c r="I25" s="27">
        <f t="shared" si="3"/>
        <v>2014</v>
      </c>
      <c r="J25" s="27">
        <v>51</v>
      </c>
      <c r="K25" s="27">
        <v>0.75</v>
      </c>
      <c r="L25" s="28">
        <f t="shared" si="4"/>
        <v>0.89743589743589747</v>
      </c>
      <c r="M25" s="29">
        <f t="shared" si="15"/>
        <v>-9.0811965811965698E-3</v>
      </c>
      <c r="N25" s="29">
        <f t="shared" si="16"/>
        <v>7.8978109295104234E-3</v>
      </c>
      <c r="O25" s="29">
        <v>3.1E-2</v>
      </c>
      <c r="P25" s="39">
        <v>100.88410495879751</v>
      </c>
      <c r="Q25" s="38">
        <f t="shared" si="17"/>
        <v>1.9277899803906682E-2</v>
      </c>
      <c r="R25" s="38">
        <f t="shared" si="34"/>
        <v>1.6198058043689328E-2</v>
      </c>
      <c r="S25" s="39"/>
      <c r="T25" s="40"/>
      <c r="U25" s="32"/>
      <c r="V25" s="36">
        <v>0.26500000000000001</v>
      </c>
      <c r="W25" s="36">
        <v>0.375</v>
      </c>
      <c r="X25" s="36">
        <f t="shared" si="42"/>
        <v>0.90062500000000001</v>
      </c>
      <c r="Y25" s="36">
        <f t="shared" si="49"/>
        <v>0.73499999999999999</v>
      </c>
      <c r="Z25" s="36">
        <f t="shared" si="50"/>
        <v>2.9383419969763449</v>
      </c>
      <c r="AA25" s="38">
        <f t="shared" si="53"/>
        <v>1.9364583084466189E-2</v>
      </c>
      <c r="AB25" s="30">
        <f>+AB9*L25+AG10*L24+AG11*L23+AG12*L22+AG13*L21+AG14*L20+AG15*L19+AG16*L18+AG17*L17+AG18*L16+AG19*L15+AG20*L14+AG21*L13+AG22*L12+AG23*L11+AG24*L10+AG25</f>
        <v>215.37101350392697</v>
      </c>
      <c r="AC25" s="31">
        <f t="shared" si="18"/>
        <v>3.6851304811800524E-2</v>
      </c>
      <c r="AD25" s="22">
        <f>441.5+186.4</f>
        <v>627.9</v>
      </c>
      <c r="AE25" s="22">
        <f>9.8+57.6+39.4+75.6+3.6+145.3</f>
        <v>331.3</v>
      </c>
      <c r="AF25" s="39">
        <v>104.5</v>
      </c>
      <c r="AG25" s="22">
        <f t="shared" si="5"/>
        <v>9.4316617502458211</v>
      </c>
      <c r="AH25" s="22">
        <f t="shared" si="43"/>
        <v>632.83369390994812</v>
      </c>
      <c r="AI25" s="22">
        <f t="shared" si="44"/>
        <v>1350.8336939099481</v>
      </c>
      <c r="AJ25" s="37">
        <f t="shared" si="51"/>
        <v>1.6867302619700628E-2</v>
      </c>
      <c r="AK25" s="37">
        <f t="shared" si="45"/>
        <v>0.29019116251488192</v>
      </c>
      <c r="AL25" s="37">
        <f t="shared" si="46"/>
        <v>0.24133244637717219</v>
      </c>
      <c r="AM25" s="37">
        <f t="shared" si="47"/>
        <v>0.46847639110794587</v>
      </c>
      <c r="AN25" s="16"/>
      <c r="AO25" s="27">
        <f t="shared" si="19"/>
        <v>16</v>
      </c>
      <c r="AP25" s="27">
        <f t="shared" si="6"/>
        <v>2014</v>
      </c>
      <c r="AQ25" s="27">
        <v>51</v>
      </c>
      <c r="AR25" s="27">
        <v>1</v>
      </c>
      <c r="AS25" s="28">
        <f t="shared" si="7"/>
        <v>1</v>
      </c>
      <c r="AT25" s="29">
        <f t="shared" si="20"/>
        <v>0</v>
      </c>
      <c r="AU25" s="30">
        <f t="shared" si="8"/>
        <v>55.701657225342096</v>
      </c>
      <c r="AV25" s="30">
        <v>2.3273490324084869</v>
      </c>
      <c r="AW25" s="31">
        <f t="shared" si="21"/>
        <v>2.2477681663978313E-2</v>
      </c>
      <c r="AX25" s="30">
        <f t="shared" si="9"/>
        <v>1.0892715957741554</v>
      </c>
      <c r="AY25" s="30"/>
      <c r="AZ25" s="27">
        <f t="shared" si="22"/>
        <v>16</v>
      </c>
      <c r="BA25" s="27">
        <f t="shared" si="10"/>
        <v>2014</v>
      </c>
      <c r="BB25" s="27">
        <v>51</v>
      </c>
      <c r="BC25" s="27">
        <v>0</v>
      </c>
      <c r="BD25" s="28">
        <f t="shared" si="11"/>
        <v>0.68627450980392157</v>
      </c>
      <c r="BE25" s="29">
        <f t="shared" si="23"/>
        <v>-2.7777777777777835E-2</v>
      </c>
      <c r="BF25" s="30">
        <f>+BF9*BD25+BG10*BD24+BG11*BD23+BG12*BD22+BG13*BD21+BG14*BD20+BG15*BD19+BG16*BD18+BG17*BD17+BG18*BD16+BG19*BD15+BG20*BD14+BG21*BD13+BG22*BD12+BG23*BD11+BG24*BD10+BG25</f>
        <v>46.029765362389689</v>
      </c>
      <c r="BG25" s="30">
        <v>2.3273490324084869</v>
      </c>
      <c r="BH25" s="31">
        <f t="shared" si="24"/>
        <v>2.6477959442712813E-2</v>
      </c>
      <c r="BI25" s="16"/>
      <c r="BJ25" s="16"/>
      <c r="BK25" s="27">
        <f t="shared" si="25"/>
        <v>16</v>
      </c>
      <c r="BL25" s="27">
        <f t="shared" si="12"/>
        <v>2014</v>
      </c>
      <c r="BM25" s="32">
        <v>3.5000000000000003E-2</v>
      </c>
      <c r="BN25" s="30">
        <f t="shared" si="26"/>
        <v>40.188293652002187</v>
      </c>
      <c r="BO25" s="30">
        <v>2.3273490324084869</v>
      </c>
      <c r="BP25" s="31">
        <f t="shared" si="27"/>
        <v>2.4028477085015043E-2</v>
      </c>
      <c r="BQ25" s="31">
        <v>4.5900000000000003E-2</v>
      </c>
      <c r="BR25" s="30">
        <f t="shared" si="13"/>
        <v>35.747711965307928</v>
      </c>
      <c r="BS25" s="30">
        <v>2.3273490324084869</v>
      </c>
      <c r="BT25" s="31">
        <f t="shared" si="28"/>
        <v>2.0334092037212759E-2</v>
      </c>
      <c r="BU25" s="27">
        <f t="shared" si="29"/>
        <v>2014</v>
      </c>
      <c r="BV25" s="35">
        <f t="shared" si="31"/>
        <v>206.85520452592274</v>
      </c>
      <c r="BW25" s="34">
        <f>187+139</f>
        <v>326</v>
      </c>
      <c r="BX25" s="39">
        <v>100.88410495879751</v>
      </c>
      <c r="BY25" s="32">
        <f t="shared" si="54"/>
        <v>1.9277899803906682E-2</v>
      </c>
      <c r="BZ25" s="30">
        <f t="shared" si="35"/>
        <v>32.314307604071324</v>
      </c>
      <c r="CA25" s="31">
        <f t="shared" si="36"/>
        <v>-8.458299821167356E-2</v>
      </c>
      <c r="CB25" s="30">
        <f>181+211</f>
        <v>392</v>
      </c>
      <c r="CC25" s="39">
        <v>938.5</v>
      </c>
      <c r="CD25" s="40">
        <f t="shared" si="37"/>
        <v>2.0008912171635362E-2</v>
      </c>
      <c r="CE25" s="39">
        <v>24.51</v>
      </c>
      <c r="CF25" s="32">
        <f t="shared" si="55"/>
        <v>1.8114945745040592E-2</v>
      </c>
      <c r="CG25" s="30">
        <f t="shared" si="32"/>
        <v>1599.3472052223581</v>
      </c>
      <c r="CH25" s="31">
        <f t="shared" si="38"/>
        <v>7.7262854388465358E-3</v>
      </c>
      <c r="CI25" s="14">
        <v>3471027</v>
      </c>
      <c r="CJ25" s="31">
        <f t="shared" si="39"/>
        <v>1.556831729193583E-2</v>
      </c>
      <c r="CK25" s="30">
        <f t="shared" si="40"/>
        <v>115.67594697885283</v>
      </c>
      <c r="CL25" s="31">
        <f t="shared" si="39"/>
        <v>-2.1237303539046364E-3</v>
      </c>
      <c r="CM25" s="31">
        <f t="shared" si="41"/>
        <v>1.7692047645840467E-2</v>
      </c>
      <c r="CN25" s="30">
        <f t="shared" si="48"/>
        <v>389.17406690006965</v>
      </c>
      <c r="CO25" s="41">
        <f t="shared" si="52"/>
        <v>206.85520452592274</v>
      </c>
      <c r="CP25" s="30"/>
      <c r="CQ25" s="30"/>
      <c r="CR25" s="30"/>
      <c r="CS25" s="16"/>
      <c r="CT25" s="4"/>
      <c r="CU25" s="4"/>
      <c r="CV25" s="4"/>
      <c r="CX25" s="9"/>
      <c r="CY25" s="4"/>
      <c r="DH25" s="12"/>
      <c r="DI25" s="4"/>
    </row>
    <row r="26" spans="1:113" x14ac:dyDescent="0.25">
      <c r="A26" s="22"/>
      <c r="B26" s="22"/>
      <c r="C26" s="22"/>
      <c r="D26" s="22"/>
      <c r="E26" s="16"/>
      <c r="F26" s="16"/>
      <c r="G26" s="16"/>
      <c r="H26" s="27">
        <f t="shared" si="14"/>
        <v>17</v>
      </c>
      <c r="I26" s="27">
        <f t="shared" si="3"/>
        <v>2015</v>
      </c>
      <c r="J26" s="27">
        <v>51</v>
      </c>
      <c r="K26" s="27">
        <v>0.75</v>
      </c>
      <c r="L26" s="28">
        <f t="shared" si="4"/>
        <v>0.88888888888888884</v>
      </c>
      <c r="M26" s="29">
        <f t="shared" si="15"/>
        <v>-9.5238095238096131E-3</v>
      </c>
      <c r="N26" s="29">
        <f t="shared" si="16"/>
        <v>8.1144734653524325E-3</v>
      </c>
      <c r="O26" s="29">
        <v>3.1E-2</v>
      </c>
      <c r="P26" s="39">
        <v>99.999942665340996</v>
      </c>
      <c r="Q26" s="38">
        <f t="shared" si="17"/>
        <v>-8.8027696902013373E-3</v>
      </c>
      <c r="R26" s="38">
        <f t="shared" si="34"/>
        <v>9.2293016685406955E-3</v>
      </c>
      <c r="S26" s="39"/>
      <c r="T26" s="40"/>
      <c r="U26" s="32"/>
      <c r="V26" s="36">
        <v>0.26500000000000001</v>
      </c>
      <c r="W26" s="36">
        <v>0.375</v>
      </c>
      <c r="X26" s="36">
        <f t="shared" si="42"/>
        <v>0.90062500000000001</v>
      </c>
      <c r="Y26" s="36">
        <f t="shared" si="49"/>
        <v>0.73499999999999999</v>
      </c>
      <c r="Z26" s="36">
        <f t="shared" si="50"/>
        <v>2.9527889449285563</v>
      </c>
      <c r="AA26" s="38">
        <f t="shared" si="53"/>
        <v>4.9046531321501694E-3</v>
      </c>
      <c r="AB26" s="30">
        <f>+AB9*L26+AG10*L25+AG11*L24+AG12*L23+AG13*L22+AG14*L21+AG15*L20+AG16*L19+AG17*L18+AG18*L17+AG19*L16+AG20*L15+AG21*L14+AG22*L13+AG23*L12+AG24*L11+AG25*L10+AG26</f>
        <v>223.58702749327966</v>
      </c>
      <c r="AC26" s="31">
        <f t="shared" si="18"/>
        <v>3.7438537901753575E-2</v>
      </c>
      <c r="AD26" s="22">
        <f>320.7+198</f>
        <v>518.70000000000005</v>
      </c>
      <c r="AE26" s="22">
        <f>18.7+24.5+56.7+26.3+3.8+392.5</f>
        <v>522.5</v>
      </c>
      <c r="AF26" s="39">
        <v>105.7</v>
      </c>
      <c r="AG26" s="22">
        <f t="shared" si="5"/>
        <v>9.9636363636363647</v>
      </c>
      <c r="AH26" s="22">
        <f t="shared" si="43"/>
        <v>660.2053030115934</v>
      </c>
      <c r="AI26" s="22">
        <f t="shared" si="44"/>
        <v>1405.2053030115935</v>
      </c>
      <c r="AJ26" s="37">
        <f t="shared" si="51"/>
        <v>3.9461462362120718E-2</v>
      </c>
      <c r="AK26" s="37">
        <f t="shared" si="45"/>
        <v>0.27682787644361073</v>
      </c>
      <c r="AL26" s="37">
        <f t="shared" si="46"/>
        <v>0.25334376353194199</v>
      </c>
      <c r="AM26" s="37">
        <f t="shared" si="47"/>
        <v>0.46982836002444722</v>
      </c>
      <c r="AN26" s="16"/>
      <c r="AO26" s="27">
        <f t="shared" si="19"/>
        <v>17</v>
      </c>
      <c r="AP26" s="27">
        <f t="shared" si="6"/>
        <v>2015</v>
      </c>
      <c r="AQ26" s="27">
        <v>51</v>
      </c>
      <c r="AR26" s="27">
        <v>1</v>
      </c>
      <c r="AS26" s="28">
        <f t="shared" si="7"/>
        <v>1</v>
      </c>
      <c r="AT26" s="29">
        <f t="shared" si="20"/>
        <v>0</v>
      </c>
      <c r="AU26" s="30">
        <f t="shared" si="8"/>
        <v>56.204170422298667</v>
      </c>
      <c r="AV26" s="30">
        <v>1.6165463414634147</v>
      </c>
      <c r="AW26" s="31">
        <f t="shared" si="21"/>
        <v>8.9810617591486383E-3</v>
      </c>
      <c r="AX26" s="30">
        <f t="shared" si="9"/>
        <v>1.1140331445068419</v>
      </c>
      <c r="AY26" s="30"/>
      <c r="AZ26" s="27">
        <f t="shared" si="22"/>
        <v>17</v>
      </c>
      <c r="BA26" s="27">
        <f t="shared" si="10"/>
        <v>2015</v>
      </c>
      <c r="BB26" s="27">
        <v>51</v>
      </c>
      <c r="BC26" s="27">
        <v>0</v>
      </c>
      <c r="BD26" s="28">
        <f t="shared" si="11"/>
        <v>0.66666666666666663</v>
      </c>
      <c r="BE26" s="29">
        <f t="shared" si="23"/>
        <v>-2.8571428571428633E-2</v>
      </c>
      <c r="BF26" s="30">
        <f>+BF9*BD26+BG10*BD25+BG11*BD24+BG12*BD23+BG13*BD22+BG14*BD21+BG15*BD20+BG16*BD19+BG17*BD18+BG18*BD17+BG19*BD16+BG20*BD15+BG21*BD14+BG22*BD13+BG23*BD12+BG24*BD11+BG25*BD10+BG26</f>
        <v>46.47610878186746</v>
      </c>
      <c r="BG26" s="30">
        <v>1.6165463414634147</v>
      </c>
      <c r="BH26" s="31">
        <f t="shared" si="24"/>
        <v>9.6501305979341135E-3</v>
      </c>
      <c r="BI26" s="16"/>
      <c r="BJ26" s="16"/>
      <c r="BK26" s="27">
        <f t="shared" si="25"/>
        <v>17</v>
      </c>
      <c r="BL26" s="27">
        <f t="shared" si="12"/>
        <v>2015</v>
      </c>
      <c r="BM26" s="32">
        <v>3.5000000000000003E-2</v>
      </c>
      <c r="BN26" s="30">
        <f t="shared" si="26"/>
        <v>40.39824971564552</v>
      </c>
      <c r="BO26" s="30">
        <v>1.6165463414634147</v>
      </c>
      <c r="BP26" s="31">
        <f t="shared" si="27"/>
        <v>5.2107096277107115E-3</v>
      </c>
      <c r="BQ26" s="31">
        <v>4.5900000000000003E-2</v>
      </c>
      <c r="BR26" s="30">
        <f t="shared" si="13"/>
        <v>35.723438327563706</v>
      </c>
      <c r="BS26" s="30">
        <v>1.6165463414634147</v>
      </c>
      <c r="BT26" s="31">
        <f t="shared" si="28"/>
        <v>-6.7925697510267801E-4</v>
      </c>
      <c r="BU26" s="27">
        <f t="shared" si="29"/>
        <v>2015</v>
      </c>
      <c r="BV26" s="35">
        <f t="shared" si="31"/>
        <v>211.55502670479927</v>
      </c>
      <c r="BW26" s="34">
        <f>214+142</f>
        <v>356</v>
      </c>
      <c r="BX26" s="39">
        <v>99.999942665340996</v>
      </c>
      <c r="BY26" s="32">
        <f t="shared" si="54"/>
        <v>-8.8027696902013373E-3</v>
      </c>
      <c r="BZ26" s="30">
        <f t="shared" si="35"/>
        <v>35.600020411150311</v>
      </c>
      <c r="CA26" s="31">
        <f t="shared" si="36"/>
        <v>9.6836119175524191E-2</v>
      </c>
      <c r="CB26" s="30">
        <f>179+210</f>
        <v>389</v>
      </c>
      <c r="CC26" s="39">
        <v>963.37</v>
      </c>
      <c r="CD26" s="40">
        <f t="shared" si="37"/>
        <v>2.6499733617474597E-2</v>
      </c>
      <c r="CE26" s="39">
        <v>25.19</v>
      </c>
      <c r="CF26" s="32">
        <f t="shared" si="55"/>
        <v>2.7365892824497588E-2</v>
      </c>
      <c r="CG26" s="30">
        <f t="shared" si="32"/>
        <v>1544.2635966653434</v>
      </c>
      <c r="CH26" s="31">
        <f t="shared" si="38"/>
        <v>-3.5048388996513843E-2</v>
      </c>
      <c r="CI26" s="14">
        <v>3521542.4166666665</v>
      </c>
      <c r="CJ26" s="31">
        <f t="shared" si="39"/>
        <v>1.4448564599833303E-2</v>
      </c>
      <c r="CK26" s="30">
        <f t="shared" si="40"/>
        <v>119.38717827802881</v>
      </c>
      <c r="CL26" s="31">
        <f t="shared" si="39"/>
        <v>3.1579089279437207E-2</v>
      </c>
      <c r="CM26" s="31">
        <f t="shared" si="41"/>
        <v>-1.7130524679603902E-2</v>
      </c>
      <c r="CN26" s="30">
        <f t="shared" si="48"/>
        <v>399.03120188502447</v>
      </c>
      <c r="CO26" s="41">
        <f t="shared" si="52"/>
        <v>211.55502670479927</v>
      </c>
      <c r="CP26" s="30"/>
      <c r="CQ26" s="30"/>
      <c r="CR26" s="30"/>
      <c r="CS26" s="16"/>
      <c r="CT26" s="4"/>
      <c r="CU26" s="4"/>
      <c r="CV26" s="4"/>
      <c r="CX26" s="9"/>
      <c r="CY26" s="4"/>
      <c r="DH26" s="12"/>
      <c r="DI26" s="4"/>
    </row>
    <row r="27" spans="1:113" x14ac:dyDescent="0.25">
      <c r="A27" s="22"/>
      <c r="B27" s="22"/>
      <c r="C27" s="22"/>
      <c r="D27" s="22"/>
      <c r="E27" s="16"/>
      <c r="F27" s="16"/>
      <c r="G27" s="16"/>
      <c r="H27" s="27">
        <f t="shared" si="14"/>
        <v>18</v>
      </c>
      <c r="I27" s="27">
        <f t="shared" si="3"/>
        <v>2016</v>
      </c>
      <c r="J27" s="27">
        <v>51</v>
      </c>
      <c r="K27" s="27">
        <v>0.75</v>
      </c>
      <c r="L27" s="28">
        <f t="shared" si="4"/>
        <v>0.88</v>
      </c>
      <c r="M27" s="29">
        <f t="shared" si="15"/>
        <v>-9.9999999999999395E-3</v>
      </c>
      <c r="N27" s="29">
        <f t="shared" si="16"/>
        <v>8.3341961298115923E-3</v>
      </c>
      <c r="O27" s="29">
        <v>3.1E-2</v>
      </c>
      <c r="P27" s="39">
        <v>100.7501065155333</v>
      </c>
      <c r="Q27" s="38">
        <f t="shared" si="17"/>
        <v>7.4736454110335389E-3</v>
      </c>
      <c r="R27" s="38">
        <f t="shared" si="34"/>
        <v>5.9829251749129618E-3</v>
      </c>
      <c r="S27" s="39"/>
      <c r="T27" s="40"/>
      <c r="U27" s="32"/>
      <c r="V27" s="36">
        <v>0.26500000000000001</v>
      </c>
      <c r="W27" s="36">
        <v>0.375</v>
      </c>
      <c r="X27" s="36">
        <f t="shared" si="42"/>
        <v>0.90062500000000001</v>
      </c>
      <c r="Y27" s="36">
        <f t="shared" si="49"/>
        <v>0.73499999999999999</v>
      </c>
      <c r="Z27" s="36">
        <f t="shared" si="50"/>
        <v>2.9567763730672034</v>
      </c>
      <c r="AA27" s="38">
        <f t="shared" si="53"/>
        <v>1.3494829244483874E-3</v>
      </c>
      <c r="AB27" s="30">
        <f>+AB9*L27+AG10*L26+AG11*L25+AG12*L24+AG13*L23+AG14*L22+AG15*L21+AG16*L20+AG17*L19+AG18*L18+AG19*L17+AG20*L16+AG21*L15+AG22*L14+AG23*L13+AG24*L12+AG25*L11+AG26*L10+AG27</f>
        <v>243.33666517242293</v>
      </c>
      <c r="AC27" s="31">
        <f t="shared" si="18"/>
        <v>8.4645214849539047E-2</v>
      </c>
      <c r="AD27" s="22">
        <f>1240.1+235</f>
        <v>1475.1</v>
      </c>
      <c r="AE27" s="22">
        <f>40+131.5+25.1+27.8+33.9+551.1</f>
        <v>809.40000000000009</v>
      </c>
      <c r="AF27" s="39">
        <v>106.72499999999999</v>
      </c>
      <c r="AG27" s="22">
        <f t="shared" si="5"/>
        <v>21.613055818353832</v>
      </c>
      <c r="AH27" s="22">
        <f t="shared" si="43"/>
        <v>719.49210228278514</v>
      </c>
      <c r="AI27" s="22">
        <f t="shared" si="44"/>
        <v>1457.4921022827853</v>
      </c>
      <c r="AJ27" s="37">
        <f t="shared" si="51"/>
        <v>3.6533805303238479E-2</v>
      </c>
      <c r="AK27" s="37">
        <f t="shared" si="45"/>
        <v>0.26415237475180608</v>
      </c>
      <c r="AL27" s="37">
        <f t="shared" si="46"/>
        <v>0.24219685269451313</v>
      </c>
      <c r="AM27" s="37">
        <f t="shared" si="47"/>
        <v>0.49365077255368067</v>
      </c>
      <c r="AN27" s="16"/>
      <c r="AO27" s="27">
        <f t="shared" si="19"/>
        <v>18</v>
      </c>
      <c r="AP27" s="27">
        <f t="shared" si="6"/>
        <v>2016</v>
      </c>
      <c r="AQ27" s="27">
        <v>51</v>
      </c>
      <c r="AR27" s="27">
        <v>1</v>
      </c>
      <c r="AS27" s="28">
        <f t="shared" si="7"/>
        <v>1</v>
      </c>
      <c r="AT27" s="29">
        <f t="shared" si="20"/>
        <v>0</v>
      </c>
      <c r="AU27" s="30">
        <f t="shared" si="8"/>
        <v>61.492679058111854</v>
      </c>
      <c r="AV27" s="30">
        <v>6.4125920442591644</v>
      </c>
      <c r="AW27" s="31">
        <f t="shared" si="21"/>
        <v>8.9927167072261685E-2</v>
      </c>
      <c r="AX27" s="30">
        <f t="shared" si="9"/>
        <v>1.1240834084459734</v>
      </c>
      <c r="AY27" s="30"/>
      <c r="AZ27" s="27">
        <f t="shared" si="22"/>
        <v>18</v>
      </c>
      <c r="BA27" s="27">
        <f t="shared" si="10"/>
        <v>2016</v>
      </c>
      <c r="BB27" s="27">
        <v>51</v>
      </c>
      <c r="BC27" s="27">
        <v>0</v>
      </c>
      <c r="BD27" s="28">
        <f t="shared" si="11"/>
        <v>0.6470588235294118</v>
      </c>
      <c r="BE27" s="29">
        <f t="shared" si="23"/>
        <v>-2.9411764705882248E-2</v>
      </c>
      <c r="BF27" s="30">
        <f>+BF9*BD27+BG10*BD26+BG11*BD25+BG12*BD24+BG13*BD23+BG14*BD22+BG15*BD21+BG16*BD20+BG17*BD19+BG18*BD18+BG19*BD17+BG20*BD16+BG21*BD15+BG22*BD14+BG23*BD13+BG24*BD12+BG25*BD11+BG26*BD10+BG27</f>
        <v>51.686800917053489</v>
      </c>
      <c r="BG27" s="30">
        <v>6.4125920442591644</v>
      </c>
      <c r="BH27" s="31">
        <f t="shared" si="24"/>
        <v>0.10626405658754409</v>
      </c>
      <c r="BI27" s="16"/>
      <c r="BJ27" s="16"/>
      <c r="BK27" s="27">
        <f t="shared" si="25"/>
        <v>18</v>
      </c>
      <c r="BL27" s="27">
        <f t="shared" si="12"/>
        <v>2016</v>
      </c>
      <c r="BM27" s="32">
        <v>3.5000000000000003E-2</v>
      </c>
      <c r="BN27" s="30">
        <f t="shared" si="26"/>
        <v>45.396903019857092</v>
      </c>
      <c r="BO27" s="30">
        <v>6.4125920442591644</v>
      </c>
      <c r="BP27" s="31">
        <f t="shared" si="27"/>
        <v>0.11665742714043661</v>
      </c>
      <c r="BQ27" s="31">
        <v>4.5900000000000003E-2</v>
      </c>
      <c r="BR27" s="30">
        <f t="shared" si="13"/>
        <v>40.496324552587694</v>
      </c>
      <c r="BS27" s="30">
        <v>6.4125920442591644</v>
      </c>
      <c r="BT27" s="31">
        <f t="shared" si="28"/>
        <v>0.12540420905998581</v>
      </c>
      <c r="BU27" s="27">
        <f t="shared" si="29"/>
        <v>2016</v>
      </c>
      <c r="BV27" s="35">
        <f t="shared" si="31"/>
        <v>206.63809479676598</v>
      </c>
      <c r="BW27" s="34">
        <f>217+136</f>
        <v>353</v>
      </c>
      <c r="BX27" s="39">
        <v>100.7501065155333</v>
      </c>
      <c r="BY27" s="32">
        <f t="shared" si="54"/>
        <v>7.4736454110335389E-3</v>
      </c>
      <c r="BZ27" s="30">
        <f t="shared" si="35"/>
        <v>35.037183801445977</v>
      </c>
      <c r="CA27" s="31">
        <f t="shared" si="36"/>
        <v>-1.5936319329767218E-2</v>
      </c>
      <c r="CB27" s="30">
        <f>175+210</f>
        <v>385</v>
      </c>
      <c r="CC27" s="39">
        <v>974.41</v>
      </c>
      <c r="CD27" s="40">
        <f t="shared" si="37"/>
        <v>1.1459771427384968E-2</v>
      </c>
      <c r="CE27" s="39">
        <v>25.72</v>
      </c>
      <c r="CF27" s="32">
        <f t="shared" si="55"/>
        <v>2.0821809004899793E-2</v>
      </c>
      <c r="CG27" s="30">
        <f t="shared" si="32"/>
        <v>1496.8895800933126</v>
      </c>
      <c r="CH27" s="31">
        <f t="shared" si="38"/>
        <v>-3.1157818335561881E-2</v>
      </c>
      <c r="CI27" s="14">
        <v>3571461.5</v>
      </c>
      <c r="CJ27" s="31">
        <f t="shared" si="39"/>
        <v>1.4075815583039279E-2</v>
      </c>
      <c r="CK27" s="30">
        <f t="shared" si="40"/>
        <v>122.82644353092758</v>
      </c>
      <c r="CL27" s="31">
        <f t="shared" si="39"/>
        <v>2.8400520144597593E-2</v>
      </c>
      <c r="CM27" s="31">
        <f t="shared" si="41"/>
        <v>-1.4324704561558314E-2</v>
      </c>
      <c r="CN27" s="30">
        <f t="shared" si="48"/>
        <v>408.09402601226003</v>
      </c>
      <c r="CO27" s="41">
        <f t="shared" si="52"/>
        <v>206.63809479676598</v>
      </c>
      <c r="CP27" s="30"/>
      <c r="CQ27" s="30"/>
      <c r="CR27" s="30"/>
      <c r="CS27" s="16"/>
      <c r="CT27" s="4"/>
      <c r="CU27" s="4"/>
      <c r="CV27" s="4"/>
      <c r="CX27" s="9"/>
      <c r="DH27" s="12"/>
      <c r="DI27" s="4"/>
    </row>
    <row r="28" spans="1:113" x14ac:dyDescent="0.25">
      <c r="A28" s="22"/>
      <c r="B28" s="22"/>
      <c r="C28" s="22"/>
      <c r="D28" s="22"/>
      <c r="E28" s="16"/>
      <c r="F28" s="16"/>
      <c r="G28" s="16"/>
      <c r="H28" s="27">
        <f t="shared" si="14"/>
        <v>19</v>
      </c>
      <c r="I28" s="27">
        <f t="shared" si="3"/>
        <v>2017</v>
      </c>
      <c r="J28" s="27">
        <v>51</v>
      </c>
      <c r="K28" s="27">
        <v>0.75</v>
      </c>
      <c r="L28" s="28">
        <f t="shared" si="4"/>
        <v>0.87074829931972786</v>
      </c>
      <c r="M28" s="29">
        <f t="shared" si="15"/>
        <v>-1.0513296227581985E-2</v>
      </c>
      <c r="N28" s="29">
        <f t="shared" si="16"/>
        <v>8.3938788247111817E-3</v>
      </c>
      <c r="O28" s="29">
        <v>3.1E-2</v>
      </c>
      <c r="P28" s="39">
        <v>103.33489193933775</v>
      </c>
      <c r="Q28" s="38">
        <f t="shared" si="17"/>
        <v>2.533183392887384E-2</v>
      </c>
      <c r="R28" s="38">
        <f t="shared" si="34"/>
        <v>8.0009032165686816E-3</v>
      </c>
      <c r="S28" s="39"/>
      <c r="T28" s="40"/>
      <c r="U28" s="32"/>
      <c r="V28" s="36">
        <v>0.26500000000000001</v>
      </c>
      <c r="W28" s="36">
        <v>0.375</v>
      </c>
      <c r="X28" s="36">
        <f t="shared" si="42"/>
        <v>0.90062500000000001</v>
      </c>
      <c r="Y28" s="36">
        <f t="shared" si="49"/>
        <v>0.73499999999999999</v>
      </c>
      <c r="Z28" s="36">
        <f t="shared" si="50"/>
        <v>2.9901264888748722</v>
      </c>
      <c r="AA28" s="38">
        <f t="shared" si="53"/>
        <v>1.1216078756531142E-2</v>
      </c>
      <c r="AB28" s="30">
        <f>+AB9*L28+AG10*L27+AG11*L26+AG12*L25+AG13*L24+AG14*L23+AG15*L22+AG16*L21+AG17*L20+AG18*L19+AG19*L18+AG20*L17+AG21*L16+AG22*L15+AG23*L14+AG24*L13+AG25*L12+AG26*L11+AG27*L10+AG28</f>
        <v>255.68812997081284</v>
      </c>
      <c r="AC28" s="31">
        <f t="shared" si="18"/>
        <v>4.9512521647680996E-2</v>
      </c>
      <c r="AD28" s="22">
        <f>395.4+230.4</f>
        <v>625.79999999999995</v>
      </c>
      <c r="AE28" s="22">
        <f>13.6+46.6+63.9+30.5+237.6+518.2</f>
        <v>910.40000000000009</v>
      </c>
      <c r="AF28" s="39">
        <v>108.3</v>
      </c>
      <c r="AG28" s="22">
        <f t="shared" si="5"/>
        <v>14.394003279456548</v>
      </c>
      <c r="AH28" s="22">
        <f t="shared" si="43"/>
        <v>764.53985031660852</v>
      </c>
      <c r="AI28" s="22">
        <f t="shared" si="44"/>
        <v>1497.5398503166084</v>
      </c>
      <c r="AJ28" s="37">
        <f t="shared" si="51"/>
        <v>2.7106441329257804E-2</v>
      </c>
      <c r="AK28" s="37">
        <f t="shared" si="45"/>
        <v>0.26176265020067663</v>
      </c>
      <c r="AL28" s="37">
        <f t="shared" si="46"/>
        <v>0.22770679520007839</v>
      </c>
      <c r="AM28" s="37">
        <f t="shared" si="47"/>
        <v>0.51053055459924501</v>
      </c>
      <c r="AN28" s="16"/>
      <c r="AO28" s="27">
        <f t="shared" si="19"/>
        <v>19</v>
      </c>
      <c r="AP28" s="27">
        <f t="shared" si="6"/>
        <v>2017</v>
      </c>
      <c r="AQ28" s="27">
        <v>51</v>
      </c>
      <c r="AR28" s="27">
        <v>1</v>
      </c>
      <c r="AS28" s="28">
        <f t="shared" si="7"/>
        <v>1</v>
      </c>
      <c r="AT28" s="29">
        <f t="shared" si="20"/>
        <v>0</v>
      </c>
      <c r="AU28" s="30">
        <f t="shared" si="8"/>
        <v>62.257035350243598</v>
      </c>
      <c r="AV28" s="30">
        <v>1.9942098732939804</v>
      </c>
      <c r="AW28" s="31">
        <f t="shared" si="21"/>
        <v>1.2353418612210851E-2</v>
      </c>
      <c r="AX28" s="30">
        <f t="shared" si="9"/>
        <v>1.2298535811622371</v>
      </c>
      <c r="AY28" s="30"/>
      <c r="AZ28" s="27">
        <f t="shared" si="22"/>
        <v>19</v>
      </c>
      <c r="BA28" s="27">
        <f t="shared" si="10"/>
        <v>2017</v>
      </c>
      <c r="BB28" s="27">
        <v>51</v>
      </c>
      <c r="BC28" s="27">
        <v>0</v>
      </c>
      <c r="BD28" s="28">
        <f t="shared" si="11"/>
        <v>0.62745098039215685</v>
      </c>
      <c r="BE28" s="29">
        <f t="shared" si="23"/>
        <v>-3.0303030303030366E-2</v>
      </c>
      <c r="BF28" s="30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0">
        <v>1.9942098732939804</v>
      </c>
      <c r="BH28" s="31">
        <f t="shared" si="24"/>
        <v>1.2813934386056583E-2</v>
      </c>
      <c r="BI28" s="16"/>
      <c r="BJ28" s="16"/>
      <c r="BK28" s="27">
        <f t="shared" si="25"/>
        <v>19</v>
      </c>
      <c r="BL28" s="27">
        <f t="shared" si="12"/>
        <v>2017</v>
      </c>
      <c r="BM28" s="32">
        <v>3.5000000000000003E-2</v>
      </c>
      <c r="BN28" s="30">
        <f t="shared" si="26"/>
        <v>45.802221287456078</v>
      </c>
      <c r="BO28" s="30">
        <v>1.9942098732939804</v>
      </c>
      <c r="BP28" s="31">
        <f t="shared" si="27"/>
        <v>8.8887023713062393E-3</v>
      </c>
      <c r="BQ28" s="31">
        <v>4.5900000000000003E-2</v>
      </c>
      <c r="BR28" s="30">
        <f t="shared" si="13"/>
        <v>40.6317531289179</v>
      </c>
      <c r="BS28" s="30">
        <v>1.9942098732939804</v>
      </c>
      <c r="BT28" s="31">
        <f t="shared" si="28"/>
        <v>3.3386394944108374E-3</v>
      </c>
      <c r="BU28" s="27">
        <f t="shared" si="29"/>
        <v>2017</v>
      </c>
      <c r="BV28" s="35">
        <f t="shared" si="31"/>
        <v>202.32464949773185</v>
      </c>
      <c r="BW28" s="34">
        <f>201+140</f>
        <v>341</v>
      </c>
      <c r="BX28" s="39">
        <v>103.33489193933775</v>
      </c>
      <c r="BY28" s="32">
        <f t="shared" si="54"/>
        <v>2.533183392887384E-2</v>
      </c>
      <c r="BZ28" s="30">
        <f t="shared" si="35"/>
        <v>32.999502259138417</v>
      </c>
      <c r="CA28" s="31">
        <f t="shared" si="36"/>
        <v>-5.991741357865385E-2</v>
      </c>
      <c r="CB28" s="30">
        <f>170+222</f>
        <v>392</v>
      </c>
      <c r="CC28" s="39">
        <v>993.23</v>
      </c>
      <c r="CD28" s="40">
        <f t="shared" si="37"/>
        <v>1.9314251701029406E-2</v>
      </c>
      <c r="CE28" s="39">
        <v>26.16</v>
      </c>
      <c r="CF28" s="32">
        <f t="shared" si="55"/>
        <v>1.6962627219579449E-2</v>
      </c>
      <c r="CG28" s="30">
        <f t="shared" si="32"/>
        <v>1498.4709480122324</v>
      </c>
      <c r="CH28" s="31">
        <f t="shared" si="38"/>
        <v>1.0558782830989689E-3</v>
      </c>
      <c r="CI28" s="14">
        <v>3622890.2499999995</v>
      </c>
      <c r="CJ28" s="31">
        <f t="shared" si="39"/>
        <v>1.4297223108513234E-2</v>
      </c>
      <c r="CK28" s="30">
        <f t="shared" si="40"/>
        <v>124.19240932683354</v>
      </c>
      <c r="CL28" s="31">
        <f t="shared" si="39"/>
        <v>1.1059720369720336E-2</v>
      </c>
      <c r="CM28" s="31">
        <f t="shared" si="41"/>
        <v>3.2375027387928981E-3</v>
      </c>
      <c r="CN28" s="30">
        <f t="shared" si="48"/>
        <v>413.35501408484805</v>
      </c>
      <c r="CO28" s="41">
        <f t="shared" si="52"/>
        <v>202.32464949773185</v>
      </c>
      <c r="CP28" s="30"/>
      <c r="CQ28" s="30"/>
      <c r="CR28" s="30"/>
      <c r="CS28" s="16"/>
      <c r="CT28" s="4"/>
      <c r="CU28" s="4"/>
      <c r="CV28" s="4"/>
      <c r="CX28" s="9"/>
      <c r="DA28" s="4"/>
      <c r="DH28" s="12"/>
      <c r="DI28" s="4"/>
    </row>
    <row r="29" spans="1:113" x14ac:dyDescent="0.25">
      <c r="A29" s="22"/>
      <c r="B29" s="22"/>
      <c r="C29" s="22"/>
      <c r="D29" s="22"/>
      <c r="E29" s="16"/>
      <c r="F29" s="16"/>
      <c r="G29" s="16"/>
      <c r="H29" s="27">
        <f t="shared" si="14"/>
        <v>20</v>
      </c>
      <c r="I29" s="27">
        <f t="shared" si="3"/>
        <v>2018</v>
      </c>
      <c r="J29" s="27">
        <v>51</v>
      </c>
      <c r="K29" s="27">
        <v>0.75</v>
      </c>
      <c r="L29" s="28">
        <f t="shared" si="4"/>
        <v>0.86111111111111116</v>
      </c>
      <c r="M29" s="29">
        <f t="shared" si="15"/>
        <v>-1.106770833333324E-2</v>
      </c>
      <c r="N29" s="29">
        <f t="shared" si="16"/>
        <v>8.5778123705458325E-3</v>
      </c>
      <c r="O29" s="29">
        <v>3.1E-2</v>
      </c>
      <c r="P29" s="39">
        <v>105.01038318022376</v>
      </c>
      <c r="Q29" s="38">
        <f t="shared" si="17"/>
        <v>1.6084140717941654E-2</v>
      </c>
      <c r="R29" s="38">
        <f t="shared" si="34"/>
        <v>1.6296540019283014E-2</v>
      </c>
      <c r="S29" s="39"/>
      <c r="T29" s="40"/>
      <c r="U29" s="32"/>
      <c r="V29" s="36">
        <v>0.26500000000000001</v>
      </c>
      <c r="W29" s="36">
        <v>0.375</v>
      </c>
      <c r="X29" s="36">
        <f t="shared" si="42"/>
        <v>0.90062500000000001</v>
      </c>
      <c r="Y29" s="36">
        <f t="shared" si="49"/>
        <v>0.73499999999999999</v>
      </c>
      <c r="Z29" s="36">
        <f t="shared" si="50"/>
        <v>3.0022599038920008</v>
      </c>
      <c r="AA29" s="38">
        <f t="shared" si="53"/>
        <v>4.0496158970942447E-3</v>
      </c>
      <c r="AB29" s="30">
        <f>+AB9*L29+AG10*L28+AG11*L27+AG12*L26+AG13*L25+AG14*L24+AG15*L23+AG16*L22+AG17*L21+AG18*L20+AG19*L19+AG20*L18+AG21*L17+AG22*L16+AG23*L15+AG24*L14+AG25*L13+AG26*L12+AG27*L11+AG28*L10+AG29</f>
        <v>261.85222588676908</v>
      </c>
      <c r="AC29" s="31">
        <f t="shared" si="18"/>
        <v>2.3821861789483458E-2</v>
      </c>
      <c r="AD29" s="22">
        <f>328.6+313.4</f>
        <v>642</v>
      </c>
      <c r="AE29" s="22">
        <f>15.5+48+39.7+31.1+24.4+104.4</f>
        <v>263.10000000000002</v>
      </c>
      <c r="AF29" s="39">
        <v>110</v>
      </c>
      <c r="AG29" s="22">
        <f t="shared" si="5"/>
        <v>8.3573407202216075</v>
      </c>
      <c r="AH29" s="22">
        <f t="shared" si="43"/>
        <v>786.14843852471779</v>
      </c>
      <c r="AI29" s="22">
        <f t="shared" si="44"/>
        <v>1549.1484385247177</v>
      </c>
      <c r="AJ29" s="37">
        <f t="shared" si="51"/>
        <v>3.3881723575333082E-2</v>
      </c>
      <c r="AK29" s="37">
        <f t="shared" si="45"/>
        <v>0.26788911228882112</v>
      </c>
      <c r="AL29" s="37">
        <f t="shared" si="46"/>
        <v>0.22463954476267409</v>
      </c>
      <c r="AM29" s="37">
        <f t="shared" si="47"/>
        <v>0.50747134294850482</v>
      </c>
      <c r="AN29" s="16"/>
      <c r="AO29" s="27">
        <f t="shared" si="19"/>
        <v>20</v>
      </c>
      <c r="AP29" s="27">
        <f t="shared" si="6"/>
        <v>2018</v>
      </c>
      <c r="AQ29" s="27">
        <v>51</v>
      </c>
      <c r="AR29" s="27">
        <v>1</v>
      </c>
      <c r="AS29" s="28">
        <f t="shared" si="7"/>
        <v>1</v>
      </c>
      <c r="AT29" s="29">
        <f t="shared" si="20"/>
        <v>0</v>
      </c>
      <c r="AU29" s="30">
        <f t="shared" si="8"/>
        <v>62.609349574309775</v>
      </c>
      <c r="AV29" s="30">
        <v>1.59745493107105</v>
      </c>
      <c r="AW29" s="31">
        <f t="shared" si="21"/>
        <v>5.6430745426255162E-3</v>
      </c>
      <c r="AX29" s="30">
        <f t="shared" si="9"/>
        <v>1.2451407070048719</v>
      </c>
      <c r="AY29" s="30"/>
      <c r="AZ29" s="27">
        <f t="shared" si="22"/>
        <v>20</v>
      </c>
      <c r="BA29" s="27">
        <f t="shared" si="10"/>
        <v>2018</v>
      </c>
      <c r="BB29" s="27">
        <v>51</v>
      </c>
      <c r="BC29" s="27">
        <v>0</v>
      </c>
      <c r="BD29" s="28">
        <f t="shared" si="11"/>
        <v>0.60784313725490191</v>
      </c>
      <c r="BE29" s="29">
        <f t="shared" si="23"/>
        <v>-3.1250000000000069E-2</v>
      </c>
      <c r="BF29" s="30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0">
        <v>1.59745493107105</v>
      </c>
      <c r="BH29" s="31">
        <f t="shared" si="24"/>
        <v>1.1914041673295168E-2</v>
      </c>
      <c r="BI29" s="16"/>
      <c r="BJ29" s="16"/>
      <c r="BK29" s="27">
        <f t="shared" si="25"/>
        <v>20</v>
      </c>
      <c r="BL29" s="27">
        <f t="shared" si="12"/>
        <v>2018</v>
      </c>
      <c r="BM29" s="32">
        <v>3.5000000000000003E-2</v>
      </c>
      <c r="BN29" s="30">
        <f t="shared" si="26"/>
        <v>45.796598473466162</v>
      </c>
      <c r="BO29" s="30">
        <v>1.59745493107105</v>
      </c>
      <c r="BP29" s="31">
        <f t="shared" si="27"/>
        <v>-1.2277044642396563E-4</v>
      </c>
      <c r="BQ29" s="31">
        <v>4.5900000000000003E-2</v>
      </c>
      <c r="BR29" s="30">
        <f t="shared" si="13"/>
        <v>40.364210591371616</v>
      </c>
      <c r="BS29" s="30">
        <v>1.59745493107105</v>
      </c>
      <c r="BT29" s="31">
        <f t="shared" si="28"/>
        <v>-6.6063418052827848E-3</v>
      </c>
      <c r="BU29" s="27">
        <f t="shared" si="29"/>
        <v>2018</v>
      </c>
      <c r="BV29" s="35">
        <f t="shared" si="31"/>
        <v>207.8153270749053</v>
      </c>
      <c r="BW29" s="34">
        <f>201+147</f>
        <v>348</v>
      </c>
      <c r="BX29" s="39">
        <v>105.01038318022376</v>
      </c>
      <c r="BY29" s="32">
        <f t="shared" si="54"/>
        <v>1.6084140717941654E-2</v>
      </c>
      <c r="BZ29" s="30">
        <f t="shared" si="35"/>
        <v>33.139580054930953</v>
      </c>
      <c r="CA29" s="31">
        <f t="shared" si="36"/>
        <v>4.2358617730157023E-3</v>
      </c>
      <c r="CB29" s="30">
        <f>171+244</f>
        <v>415</v>
      </c>
      <c r="CC29" s="39">
        <v>1022</v>
      </c>
      <c r="CD29" s="40">
        <f t="shared" si="37"/>
        <v>2.8966100500387615E-2</v>
      </c>
      <c r="CE29" s="39">
        <v>26.92</v>
      </c>
      <c r="CF29" s="32">
        <f t="shared" si="55"/>
        <v>2.8637978187529115E-2</v>
      </c>
      <c r="CG29" s="30">
        <f t="shared" si="32"/>
        <v>1541.6047548291233</v>
      </c>
      <c r="CH29" s="31">
        <f t="shared" si="38"/>
        <v>2.8378702252706681E-2</v>
      </c>
      <c r="CI29" s="14">
        <v>3671529</v>
      </c>
      <c r="CJ29" s="31">
        <f t="shared" si="39"/>
        <v>1.3336077678450848E-2</v>
      </c>
      <c r="CK29" s="30">
        <f t="shared" si="40"/>
        <v>126.77715427917238</v>
      </c>
      <c r="CL29" s="31">
        <f t="shared" si="39"/>
        <v>2.0598803369868503E-2</v>
      </c>
      <c r="CM29" s="31">
        <f t="shared" si="41"/>
        <v>-7.2627256914176552E-3</v>
      </c>
      <c r="CN29" s="30">
        <f t="shared" si="48"/>
        <v>421.93550385267758</v>
      </c>
      <c r="CO29" s="41">
        <f t="shared" si="52"/>
        <v>207.8153270749053</v>
      </c>
      <c r="CP29" s="30"/>
      <c r="CQ29" s="30"/>
      <c r="CR29" s="30"/>
      <c r="CS29" s="16"/>
      <c r="CT29" s="4"/>
      <c r="CU29" s="4"/>
      <c r="CV29" s="4"/>
      <c r="CX29" s="9"/>
      <c r="CY29" s="4"/>
      <c r="DA29" s="4"/>
      <c r="DH29" s="12"/>
      <c r="DI29" s="4"/>
    </row>
    <row r="30" spans="1:113" x14ac:dyDescent="0.25">
      <c r="A30" s="22"/>
      <c r="B30" s="22"/>
      <c r="C30" s="22"/>
      <c r="D30" s="22"/>
      <c r="E30" s="16"/>
      <c r="F30" s="16"/>
      <c r="G30" s="16"/>
      <c r="H30" s="27">
        <f t="shared" si="14"/>
        <v>21</v>
      </c>
      <c r="I30" s="27">
        <f t="shared" si="3"/>
        <v>2019</v>
      </c>
      <c r="J30" s="27">
        <v>51</v>
      </c>
      <c r="K30" s="27">
        <v>0.75</v>
      </c>
      <c r="L30" s="28">
        <f t="shared" si="4"/>
        <v>0.85106382978723405</v>
      </c>
      <c r="M30" s="29">
        <f t="shared" si="15"/>
        <v>-1.166781056966374E-2</v>
      </c>
      <c r="N30" s="29">
        <f t="shared" si="16"/>
        <v>8.9910065002078623E-3</v>
      </c>
      <c r="O30" s="29">
        <v>3.1E-2</v>
      </c>
      <c r="P30" s="39">
        <v>106.55501033346825</v>
      </c>
      <c r="Q30" s="38">
        <f t="shared" si="17"/>
        <v>1.460214804788677E-2</v>
      </c>
      <c r="R30" s="38">
        <f t="shared" si="34"/>
        <v>1.8672707564900755E-2</v>
      </c>
      <c r="S30" s="39"/>
      <c r="T30" s="40"/>
      <c r="U30" s="32"/>
      <c r="V30" s="36">
        <v>0.26500000000000001</v>
      </c>
      <c r="W30" s="36">
        <v>0.375</v>
      </c>
      <c r="X30" s="36">
        <f t="shared" si="42"/>
        <v>0.90062500000000001</v>
      </c>
      <c r="Y30" s="36">
        <f t="shared" si="49"/>
        <v>0.73499999999999999</v>
      </c>
      <c r="Z30" s="36">
        <f t="shared" si="50"/>
        <v>2.9975919279910124</v>
      </c>
      <c r="AA30" s="38">
        <f t="shared" si="53"/>
        <v>-1.5560307066374924E-3</v>
      </c>
      <c r="AB30" s="30">
        <f>+AB9*L30+AG10*L29+AG11*L28+AG12*L27+AG13*L26+AG14*L25+AG15*L24+AG16*L23+AG17*L22+AG18*L21+AG19*L20+AG20*L19+AG21*L18+AG22*L17+AG23*L16+AG24+L15*AG25*L14+AG26*L13+AG27*L12+AG28*L11+AG29*L10+AG30</f>
        <v>268.83336536718178</v>
      </c>
      <c r="AC30" s="31">
        <f t="shared" si="18"/>
        <v>2.6311406748753839E-2</v>
      </c>
      <c r="AD30" s="22">
        <f>480.5+286.6</f>
        <v>767.1</v>
      </c>
      <c r="AE30" s="22">
        <f>8.6+53.6+32.4+9+156.2</f>
        <v>259.79999999999995</v>
      </c>
      <c r="AF30" s="39">
        <v>112</v>
      </c>
      <c r="AG30" s="22">
        <f t="shared" si="5"/>
        <v>9.3354545454545459</v>
      </c>
      <c r="AH30" s="22">
        <f t="shared" si="43"/>
        <v>805.85272599932273</v>
      </c>
      <c r="AI30" s="22">
        <f t="shared" si="44"/>
        <v>1594.8527259993227</v>
      </c>
      <c r="AJ30" s="37">
        <f t="shared" si="51"/>
        <v>2.9076011718508689E-2</v>
      </c>
      <c r="AK30" s="37">
        <f t="shared" si="45"/>
        <v>0.21506688010021663</v>
      </c>
      <c r="AL30" s="37">
        <f t="shared" si="46"/>
        <v>0.27964964584459656</v>
      </c>
      <c r="AM30" s="37">
        <f t="shared" si="47"/>
        <v>0.50528347405518681</v>
      </c>
      <c r="AN30" s="16"/>
      <c r="AO30" s="27">
        <f t="shared" si="19"/>
        <v>21</v>
      </c>
      <c r="AP30" s="27">
        <f t="shared" si="6"/>
        <v>2019</v>
      </c>
      <c r="AQ30" s="27">
        <v>51</v>
      </c>
      <c r="AR30" s="27">
        <v>1</v>
      </c>
      <c r="AS30" s="28">
        <f t="shared" si="7"/>
        <v>1</v>
      </c>
      <c r="AT30" s="29">
        <f t="shared" si="20"/>
        <v>0</v>
      </c>
      <c r="AU30" s="30">
        <f t="shared" si="8"/>
        <v>63.622938380893359</v>
      </c>
      <c r="AV30" s="30">
        <v>2.265775798069785</v>
      </c>
      <c r="AW30" s="31">
        <f t="shared" si="21"/>
        <v>1.6059450511822289E-2</v>
      </c>
      <c r="AX30" s="30">
        <f t="shared" si="9"/>
        <v>1.2521869914861956</v>
      </c>
      <c r="AY30" s="30"/>
      <c r="AZ30" s="27">
        <f t="shared" si="22"/>
        <v>21</v>
      </c>
      <c r="BA30" s="27">
        <f t="shared" si="10"/>
        <v>2019</v>
      </c>
      <c r="BB30" s="27">
        <v>51</v>
      </c>
      <c r="BC30" s="27">
        <v>0</v>
      </c>
      <c r="BD30" s="28">
        <f t="shared" si="11"/>
        <v>0.58823529411764708</v>
      </c>
      <c r="BE30" s="29">
        <f t="shared" si="23"/>
        <v>-3.225806451612892E-2</v>
      </c>
      <c r="BF30" s="30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0">
        <v>2.265775798069785</v>
      </c>
      <c r="BH30" s="31">
        <f t="shared" si="24"/>
        <v>-3.8237648663586713E-3</v>
      </c>
      <c r="BI30" s="16"/>
      <c r="BJ30" s="16"/>
      <c r="BK30" s="27">
        <f t="shared" si="25"/>
        <v>21</v>
      </c>
      <c r="BL30" s="27">
        <f t="shared" si="12"/>
        <v>2019</v>
      </c>
      <c r="BM30" s="32">
        <v>3.5000000000000003E-2</v>
      </c>
      <c r="BN30" s="30">
        <f t="shared" si="26"/>
        <v>46.459493324964626</v>
      </c>
      <c r="BO30" s="30">
        <v>2.265775798069785</v>
      </c>
      <c r="BP30" s="31">
        <f t="shared" si="27"/>
        <v>1.4371002440542402E-2</v>
      </c>
      <c r="BQ30" s="31">
        <v>4.5900000000000003E-2</v>
      </c>
      <c r="BR30" s="30">
        <f t="shared" si="13"/>
        <v>40.777269123297437</v>
      </c>
      <c r="BS30" s="30">
        <v>2.265775798069785</v>
      </c>
      <c r="BT30" s="31">
        <f t="shared" si="28"/>
        <v>1.0181280929487307E-2</v>
      </c>
      <c r="BU30" s="27">
        <f t="shared" si="29"/>
        <v>2019</v>
      </c>
      <c r="BV30" s="35">
        <f t="shared" si="31"/>
        <v>212.32094782510961</v>
      </c>
      <c r="BW30" s="30">
        <v>446</v>
      </c>
      <c r="BX30" s="39">
        <v>106.55501033346825</v>
      </c>
      <c r="BY30" s="32">
        <f t="shared" si="54"/>
        <v>1.460214804788677E-2</v>
      </c>
      <c r="BZ30" s="30">
        <f t="shared" si="35"/>
        <v>41.856314274122333</v>
      </c>
      <c r="CA30" s="31">
        <f t="shared" si="36"/>
        <v>0.23351432419770285</v>
      </c>
      <c r="CB30" s="30">
        <v>343</v>
      </c>
      <c r="CC30" s="39">
        <v>1049.73</v>
      </c>
      <c r="CD30" s="40">
        <f t="shared" si="37"/>
        <v>2.71330724070451E-2</v>
      </c>
      <c r="CE30" s="39">
        <v>27.83</v>
      </c>
      <c r="CF30" s="32">
        <f t="shared" si="55"/>
        <v>3.3245070761272241E-2</v>
      </c>
      <c r="CG30" s="30">
        <f t="shared" si="32"/>
        <v>1232.4829320876752</v>
      </c>
      <c r="CH30" s="31">
        <f t="shared" si="38"/>
        <v>-0.22379314382603074</v>
      </c>
      <c r="CI30" s="14">
        <v>3716072.3333333335</v>
      </c>
      <c r="CJ30" s="31">
        <f t="shared" si="39"/>
        <v>1.2059089579751677E-2</v>
      </c>
      <c r="CK30" s="30">
        <f t="shared" si="40"/>
        <v>129.10068596441539</v>
      </c>
      <c r="CL30" s="31">
        <f t="shared" si="39"/>
        <v>1.8161756802722008E-2</v>
      </c>
      <c r="CM30" s="31">
        <f t="shared" si="41"/>
        <v>-6.1026672229703306E-3</v>
      </c>
      <c r="CN30" s="30">
        <f t="shared" si="48"/>
        <v>429.17698659776426</v>
      </c>
      <c r="CO30" s="41">
        <f t="shared" si="52"/>
        <v>212.32094782510961</v>
      </c>
      <c r="CP30" s="30"/>
      <c r="CQ30" s="30"/>
      <c r="CR30" s="30"/>
      <c r="CS30" s="16"/>
      <c r="CT30" s="4"/>
      <c r="CU30" s="4"/>
      <c r="CV30" s="4"/>
      <c r="CX30" s="9"/>
      <c r="CY30" s="4"/>
      <c r="DA30" s="4"/>
    </row>
    <row r="31" spans="1:113" x14ac:dyDescent="0.25">
      <c r="A31" s="22"/>
      <c r="B31" s="22"/>
      <c r="C31" s="22"/>
      <c r="D31" s="22"/>
      <c r="E31" s="16"/>
      <c r="F31" s="16"/>
      <c r="G31" s="16"/>
      <c r="H31" s="27">
        <f t="shared" si="14"/>
        <v>22</v>
      </c>
      <c r="I31" s="27">
        <f t="shared" si="3"/>
        <v>2020</v>
      </c>
      <c r="J31" s="27">
        <v>51</v>
      </c>
      <c r="K31" s="27">
        <v>0.75</v>
      </c>
      <c r="L31" s="28">
        <f>+(J31-H31)/(J31-K31*H31)</f>
        <v>0.84057971014492749</v>
      </c>
      <c r="M31" s="29">
        <f t="shared" si="15"/>
        <v>-1.2318840579710203E-2</v>
      </c>
      <c r="N31" s="29">
        <f t="shared" si="16"/>
        <v>9.0251983366687709E-3</v>
      </c>
      <c r="O31" s="29">
        <v>3.1E-2</v>
      </c>
      <c r="P31" s="39">
        <v>107.31819005360099</v>
      </c>
      <c r="Q31" s="38">
        <f t="shared" si="17"/>
        <v>7.1367797184615127E-3</v>
      </c>
      <c r="R31" s="38">
        <f t="shared" si="34"/>
        <v>1.2607689494763312E-2</v>
      </c>
      <c r="S31" s="39"/>
      <c r="T31" s="40"/>
      <c r="U31" s="32"/>
      <c r="V31" s="36">
        <v>0.26500000000000001</v>
      </c>
      <c r="W31" s="36">
        <v>0.375</v>
      </c>
      <c r="X31" s="36">
        <f t="shared" si="42"/>
        <v>0.90062500000000001</v>
      </c>
      <c r="Y31" s="36">
        <f t="shared" si="49"/>
        <v>0.73499999999999999</v>
      </c>
      <c r="Z31" s="36">
        <f t="shared" si="50"/>
        <v>3.0521649329849967</v>
      </c>
      <c r="AA31" s="38">
        <f t="shared" si="53"/>
        <v>1.8041877244091578E-2</v>
      </c>
      <c r="AB31" s="30">
        <f>+AB9*L31+AG10*L30+AG11*L29+AG12*L28+AG13*L27+AG14*L26+AG15*L25+AG16*L24+AG17*L23+AG18*L22+AG19*L21+AG20*L20+AG21*L19+AG22*L18+AG23*L17+AG24*L16+AG25*L15+AG26*L14+AG27*L13+AG28*L12+AG29*L11+AG30*L10+AG31</f>
        <v>275.83298378237168</v>
      </c>
      <c r="AC31" s="31">
        <f t="shared" si="18"/>
        <v>2.5703823272150268E-2</v>
      </c>
      <c r="AD31" s="22">
        <f>463.7+263</f>
        <v>726.7</v>
      </c>
      <c r="AE31" s="22">
        <f>43.9+63.7+27.5+31.8+27.3+134.8</f>
        <v>329</v>
      </c>
      <c r="AF31" s="39">
        <v>113.925</v>
      </c>
      <c r="AG31" s="22">
        <f t="shared" si="5"/>
        <v>9.4258928571428573</v>
      </c>
      <c r="AH31" s="22">
        <f t="shared" si="43"/>
        <v>841.88776046117414</v>
      </c>
      <c r="AI31" s="22">
        <f t="shared" si="44"/>
        <v>1657.8877604611741</v>
      </c>
      <c r="AJ31" s="37">
        <f t="shared" si="51"/>
        <v>3.8762961503468363E-2</v>
      </c>
      <c r="AK31" s="37">
        <f t="shared" si="45"/>
        <v>0.18879444523610747</v>
      </c>
      <c r="AL31" s="37">
        <f t="shared" si="46"/>
        <v>0.30339810208869666</v>
      </c>
      <c r="AM31" s="37">
        <f t="shared" si="47"/>
        <v>0.50780745267519589</v>
      </c>
      <c r="AN31" s="16"/>
      <c r="AO31" s="27">
        <f t="shared" si="19"/>
        <v>22</v>
      </c>
      <c r="AP31" s="27">
        <f t="shared" si="6"/>
        <v>2020</v>
      </c>
      <c r="AQ31" s="27">
        <v>51</v>
      </c>
      <c r="AR31" s="27">
        <v>1</v>
      </c>
      <c r="AS31" s="28">
        <f t="shared" si="7"/>
        <v>1</v>
      </c>
      <c r="AT31" s="29">
        <f t="shared" si="20"/>
        <v>0</v>
      </c>
      <c r="AU31" s="30">
        <f t="shared" si="8"/>
        <v>64.555482748945479</v>
      </c>
      <c r="AV31" s="30">
        <v>2.2050031356699882</v>
      </c>
      <c r="AW31" s="31">
        <f t="shared" si="21"/>
        <v>1.4550980013974257E-2</v>
      </c>
      <c r="AX31" s="30">
        <f t="shared" si="9"/>
        <v>1.2724587676178671</v>
      </c>
      <c r="AY31" s="30"/>
      <c r="AZ31" s="27">
        <f t="shared" si="22"/>
        <v>22</v>
      </c>
      <c r="BA31" s="27">
        <f t="shared" si="10"/>
        <v>2020</v>
      </c>
      <c r="BB31" s="27">
        <v>51</v>
      </c>
      <c r="BC31" s="27">
        <v>0</v>
      </c>
      <c r="BD31" s="28">
        <f t="shared" si="11"/>
        <v>0.56862745098039214</v>
      </c>
      <c r="BE31" s="29">
        <f t="shared" si="23"/>
        <v>-3.3333333333333402E-2</v>
      </c>
      <c r="BF31" s="30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0">
        <v>2.2050031356699882</v>
      </c>
      <c r="BH31" s="31">
        <f t="shared" si="24"/>
        <v>2.6838382611764383E-2</v>
      </c>
      <c r="BI31" s="16"/>
      <c r="BJ31" s="16"/>
      <c r="BK31" s="27">
        <f t="shared" si="25"/>
        <v>22</v>
      </c>
      <c r="BL31" s="27">
        <f t="shared" si="12"/>
        <v>2020</v>
      </c>
      <c r="BM31" s="32">
        <v>3.5000000000000003E-2</v>
      </c>
      <c r="BN31" s="30">
        <f t="shared" si="26"/>
        <v>47.038414194260852</v>
      </c>
      <c r="BO31" s="30">
        <v>2.2050031356699882</v>
      </c>
      <c r="BP31" s="31">
        <f t="shared" si="27"/>
        <v>1.2383769501115144E-2</v>
      </c>
      <c r="BQ31" s="31">
        <v>4.5900000000000003E-2</v>
      </c>
      <c r="BR31" s="30">
        <f t="shared" si="13"/>
        <v>41.110595606208072</v>
      </c>
      <c r="BS31" s="30">
        <v>2.2050031356699882</v>
      </c>
      <c r="BT31" s="31">
        <f t="shared" si="28"/>
        <v>8.141092090022577E-3</v>
      </c>
      <c r="BU31" s="27">
        <f t="shared" si="29"/>
        <v>2020</v>
      </c>
      <c r="BV31" s="35">
        <f t="shared" si="31"/>
        <v>217.18072055337615</v>
      </c>
      <c r="BW31" s="30">
        <v>503</v>
      </c>
      <c r="BX31" s="39">
        <v>107.31819005360099</v>
      </c>
      <c r="BY31" s="32">
        <f t="shared" si="54"/>
        <v>7.1367797184615127E-3</v>
      </c>
      <c r="BZ31" s="30">
        <f t="shared" si="35"/>
        <v>46.869966754822492</v>
      </c>
      <c r="CA31" s="31">
        <f t="shared" si="36"/>
        <v>0.11313443836121373</v>
      </c>
      <c r="CB31" s="16">
        <v>313</v>
      </c>
      <c r="CC31" s="39">
        <v>1126.3</v>
      </c>
      <c r="CD31" s="40">
        <f t="shared" si="37"/>
        <v>7.2942566183685331E-2</v>
      </c>
      <c r="CE31" s="39">
        <v>29.61</v>
      </c>
      <c r="CF31" s="32">
        <f t="shared" si="55"/>
        <v>6.1997566575700602E-2</v>
      </c>
      <c r="CG31" s="30">
        <f t="shared" si="32"/>
        <v>1057.0753123944614</v>
      </c>
      <c r="CH31" s="31">
        <f t="shared" si="38"/>
        <v>-0.15352482320148716</v>
      </c>
      <c r="CI31" s="14">
        <v>3757239.583333333</v>
      </c>
      <c r="CJ31" s="31">
        <f t="shared" si="39"/>
        <v>1.1017248273353989E-2</v>
      </c>
      <c r="CK31" s="30">
        <f t="shared" si="40"/>
        <v>131.05181597746338</v>
      </c>
      <c r="CL31" s="31">
        <f t="shared" si="39"/>
        <v>1.5000175534661462E-2</v>
      </c>
      <c r="CM31" s="31">
        <f t="shared" si="41"/>
        <v>-3.9829272613074729E-3</v>
      </c>
      <c r="CN31" s="30">
        <f t="shared" si="48"/>
        <v>441.25154217350598</v>
      </c>
      <c r="CO31" s="41">
        <f t="shared" si="52"/>
        <v>217.18072055337615</v>
      </c>
      <c r="CP31" s="30"/>
      <c r="CQ31" s="30"/>
      <c r="CR31" s="30"/>
      <c r="CS31" s="16"/>
      <c r="CT31" s="4"/>
      <c r="CU31" s="4"/>
      <c r="CV31" s="4"/>
      <c r="CX31" s="9"/>
      <c r="CY31" s="4"/>
      <c r="DA31" s="4"/>
      <c r="DI31" s="4"/>
    </row>
    <row r="32" spans="1:113" x14ac:dyDescent="0.25">
      <c r="A32" s="22"/>
      <c r="B32" s="31"/>
      <c r="C32" s="16"/>
      <c r="D32" s="16"/>
      <c r="E32" s="16"/>
      <c r="F32" s="16"/>
      <c r="G32" s="16"/>
      <c r="H32" s="27">
        <v>23</v>
      </c>
      <c r="I32" s="27">
        <v>2021</v>
      </c>
      <c r="J32" s="27">
        <v>51</v>
      </c>
      <c r="K32" s="27">
        <v>0.75</v>
      </c>
      <c r="L32" s="28">
        <f>+(J32-H32)/(J32-K32*H32)</f>
        <v>0.82962962962962961</v>
      </c>
      <c r="M32" s="29">
        <f t="shared" si="15"/>
        <v>-1.3026819923371626E-2</v>
      </c>
      <c r="N32" s="29">
        <f t="shared" si="16"/>
        <v>9.4487674307057682E-3</v>
      </c>
      <c r="O32" s="29">
        <v>3.1E-2</v>
      </c>
      <c r="P32" s="43">
        <v>116.00233546842151</v>
      </c>
      <c r="Q32" s="38">
        <f t="shared" si="17"/>
        <v>7.7812163786618149E-2</v>
      </c>
      <c r="R32" s="38">
        <f t="shared" si="34"/>
        <v>3.3183697184322146E-2</v>
      </c>
      <c r="S32" s="30"/>
      <c r="T32" s="16"/>
      <c r="U32" s="32"/>
      <c r="V32" s="36">
        <v>0.26500000000000001</v>
      </c>
      <c r="W32" s="36">
        <v>0.375</v>
      </c>
      <c r="X32" s="36">
        <f t="shared" si="42"/>
        <v>0.90062500000000001</v>
      </c>
      <c r="Y32" s="36">
        <f t="shared" si="49"/>
        <v>0.73499999999999999</v>
      </c>
      <c r="Z32" s="36">
        <f t="shared" si="50"/>
        <v>3.0120561167154745</v>
      </c>
      <c r="AA32" s="38">
        <f t="shared" si="53"/>
        <v>-1.3228212102159081E-2</v>
      </c>
      <c r="AB32" s="30">
        <f>+AB9*L32+AG10*L31+AG11*L30+AG12*L29+AG13*L28+AG14*L27+AG15*L26+AG16*L25+AG17*L24+AG18*L23+AG19*L22+AG20*L21+AG21*L20+AG22*L19+AG23*L18+AG24*L17+AG25*L16+AG26*L15+AG27*L14+AG28*L13+AG29*L12+AG30*L11+AG31*L10+AG32</f>
        <v>283.73489605616675</v>
      </c>
      <c r="AC32" s="31">
        <f t="shared" si="18"/>
        <v>2.8244786292792215E-2</v>
      </c>
      <c r="AD32" s="22">
        <f>461.7+431.8+17*0.762+2.7</f>
        <v>909.154</v>
      </c>
      <c r="AE32" s="22">
        <f>1193.1-AD32+0.238*17</f>
        <v>287.9919999999999</v>
      </c>
      <c r="AF32" s="43">
        <v>115.6</v>
      </c>
      <c r="AG32" s="22">
        <f t="shared" si="5"/>
        <v>10.508193987272328</v>
      </c>
      <c r="AH32" s="22">
        <f t="shared" si="43"/>
        <v>854.62542919160637</v>
      </c>
      <c r="AI32" s="22">
        <f t="shared" si="44"/>
        <v>1640.6254291916064</v>
      </c>
      <c r="AJ32" s="37">
        <f t="shared" ref="AJ32" si="56">LN(AI32/AI31)</f>
        <v>-1.0466830280173429E-2</v>
      </c>
      <c r="AK32" s="37">
        <f t="shared" si="45"/>
        <v>0.19992375722325423</v>
      </c>
      <c r="AL32" s="37">
        <f t="shared" si="46"/>
        <v>0.27916183173247083</v>
      </c>
      <c r="AM32" s="37">
        <f t="shared" si="47"/>
        <v>0.52091441104427494</v>
      </c>
      <c r="AN32" s="16"/>
      <c r="AO32" s="27"/>
      <c r="AP32" s="27"/>
      <c r="AQ32" s="27"/>
      <c r="AR32" s="27"/>
      <c r="AS32" s="28"/>
      <c r="AT32" s="29"/>
      <c r="AU32" s="30"/>
      <c r="AV32" s="30"/>
      <c r="AW32" s="31"/>
      <c r="AX32" s="16"/>
      <c r="AY32" s="16"/>
      <c r="AZ32" s="27"/>
      <c r="BA32" s="27"/>
      <c r="BB32" s="27"/>
      <c r="BC32" s="27"/>
      <c r="BD32" s="28"/>
      <c r="BE32" s="29"/>
      <c r="BF32" s="44"/>
      <c r="BG32" s="31"/>
      <c r="BH32" s="31"/>
      <c r="BI32" s="16"/>
      <c r="BJ32" s="16"/>
      <c r="BK32" s="27"/>
      <c r="BL32" s="27"/>
      <c r="BM32" s="32"/>
      <c r="BN32" s="44"/>
      <c r="BO32" s="44"/>
      <c r="BP32" s="31"/>
      <c r="BQ32" s="31"/>
      <c r="BR32" s="44"/>
      <c r="BS32" s="31"/>
      <c r="BT32" s="31"/>
      <c r="BU32" s="27">
        <v>2021</v>
      </c>
      <c r="BV32" s="35">
        <f t="shared" si="31"/>
        <v>207.03535642348265</v>
      </c>
      <c r="BW32" s="30">
        <v>458</v>
      </c>
      <c r="BX32" s="45">
        <v>116.00233546842151</v>
      </c>
      <c r="BY32" s="32">
        <f t="shared" si="54"/>
        <v>7.7812163786618149E-2</v>
      </c>
      <c r="BZ32" s="30">
        <f t="shared" si="35"/>
        <v>39.481963716556216</v>
      </c>
      <c r="CA32" s="31">
        <f t="shared" si="36"/>
        <v>-0.17153314977217252</v>
      </c>
      <c r="CB32" s="33">
        <v>328</v>
      </c>
      <c r="CC32" s="31"/>
      <c r="CD32" s="31">
        <f>AVERAGE(CD14:CD31)</f>
        <v>2.5959672219308987E-2</v>
      </c>
      <c r="CE32" s="30">
        <v>30.08</v>
      </c>
      <c r="CF32" s="32">
        <f t="shared" si="55"/>
        <v>1.5748356968139112E-2</v>
      </c>
      <c r="CG32" s="30">
        <f t="shared" si="32"/>
        <v>1090.4255319148938</v>
      </c>
      <c r="CH32" s="31">
        <f t="shared" si="38"/>
        <v>3.1062060875851488E-2</v>
      </c>
      <c r="CI32" s="14">
        <v>3796453</v>
      </c>
      <c r="CJ32" s="31">
        <f t="shared" ref="CJ32" si="57">LN(CI32/CI31)</f>
        <v>1.038267536054565E-2</v>
      </c>
      <c r="CK32" s="30">
        <f t="shared" si="40"/>
        <v>127.25511173763486</v>
      </c>
      <c r="CL32" s="31">
        <f t="shared" ref="CL32" si="58">LN(CK32/CK31)</f>
        <v>-2.9398961357794823E-2</v>
      </c>
      <c r="CM32" s="31">
        <f t="shared" si="41"/>
        <v>3.9781636718340473E-2</v>
      </c>
      <c r="CN32" s="30">
        <f t="shared" si="48"/>
        <v>432.14690902050052</v>
      </c>
      <c r="CO32" s="41">
        <f t="shared" si="52"/>
        <v>207.03535642348265</v>
      </c>
      <c r="CP32" s="30"/>
      <c r="CQ32" s="30"/>
      <c r="CR32" s="30"/>
      <c r="CS32" s="16"/>
      <c r="CT32" s="4"/>
      <c r="CU32" s="4"/>
      <c r="CV32" s="4"/>
      <c r="CY32" s="4"/>
      <c r="DA32" s="4"/>
    </row>
    <row r="33" spans="1:124" x14ac:dyDescent="0.25">
      <c r="A33" s="22"/>
      <c r="B33" s="31"/>
      <c r="C33" s="16"/>
      <c r="D33" s="16"/>
      <c r="E33" s="16"/>
      <c r="F33" s="16"/>
      <c r="G33" s="16"/>
      <c r="H33" s="27"/>
      <c r="I33" s="27"/>
      <c r="J33" s="27"/>
      <c r="K33" s="27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7"/>
      <c r="AB33" s="30"/>
      <c r="AC33" s="31"/>
      <c r="AD33" s="22"/>
      <c r="AE33" s="22"/>
      <c r="AF33" s="22"/>
      <c r="AG33" s="22"/>
      <c r="AH33" s="30"/>
      <c r="AI33" s="30"/>
      <c r="AJ33" s="30"/>
      <c r="AK33" s="30"/>
      <c r="AL33" s="30"/>
      <c r="AM33" s="30"/>
      <c r="AN33" s="16"/>
      <c r="AO33" s="27"/>
      <c r="AP33" s="27"/>
      <c r="AQ33" s="27"/>
      <c r="AR33" s="27"/>
      <c r="AS33" s="28"/>
      <c r="AT33" s="29"/>
      <c r="AU33" s="30"/>
      <c r="AV33" s="30"/>
      <c r="AW33" s="31"/>
      <c r="AX33" s="16"/>
      <c r="AY33" s="16"/>
      <c r="AZ33" s="27"/>
      <c r="BA33" s="27"/>
      <c r="BB33" s="27"/>
      <c r="BC33" s="27"/>
      <c r="BD33" s="28"/>
      <c r="BE33" s="29"/>
      <c r="BF33" s="44"/>
      <c r="BG33" s="31"/>
      <c r="BH33" s="31"/>
      <c r="BI33" s="16"/>
      <c r="BJ33" s="16"/>
      <c r="BK33" s="27"/>
      <c r="BL33" s="27"/>
      <c r="BM33" s="32"/>
      <c r="BN33" s="44"/>
      <c r="BO33" s="44"/>
      <c r="BP33" s="31"/>
      <c r="BQ33" s="31"/>
      <c r="BR33" s="44"/>
      <c r="BS33" s="31"/>
      <c r="BT33" s="31"/>
      <c r="BU33" s="16"/>
      <c r="BV33" s="16"/>
      <c r="BW33" s="16"/>
      <c r="BX33" s="43"/>
      <c r="BY33" s="43"/>
      <c r="BZ33" s="31"/>
      <c r="CA33" s="31"/>
      <c r="CB33" s="31"/>
      <c r="CC33" s="31"/>
      <c r="CD33" s="31"/>
      <c r="CE33" s="31"/>
      <c r="CF33" s="43"/>
      <c r="CG33" s="31"/>
      <c r="CH33" s="31"/>
      <c r="CI33" s="14"/>
      <c r="CJ33" s="31"/>
      <c r="CK33" s="31"/>
      <c r="CL33" s="31"/>
      <c r="CM33" s="31"/>
      <c r="CN33" s="30"/>
      <c r="CO33" s="31"/>
      <c r="CP33" s="31"/>
      <c r="CQ33" s="30"/>
      <c r="CR33" s="30"/>
      <c r="CS33" s="16"/>
      <c r="CT33" s="4"/>
      <c r="CU33" s="4"/>
      <c r="CV33" s="4"/>
      <c r="CY33" s="4"/>
      <c r="DA33" s="4"/>
    </row>
    <row r="34" spans="1:124" x14ac:dyDescent="0.25">
      <c r="A34" s="22"/>
      <c r="B34" s="31"/>
      <c r="C34" s="16"/>
      <c r="D34" s="16"/>
      <c r="E34" s="16"/>
      <c r="F34" s="16"/>
      <c r="G34" s="16"/>
      <c r="H34" s="27"/>
      <c r="I34" s="27"/>
      <c r="J34" s="27" t="s">
        <v>83</v>
      </c>
      <c r="K34" s="27"/>
      <c r="L34" s="28"/>
      <c r="M34" s="29"/>
      <c r="N34" s="29"/>
      <c r="O34" s="29"/>
      <c r="P34" s="29"/>
      <c r="Q34" s="38">
        <f>AVERAGE(Q18:Q32)</f>
        <v>1.9737195317616536E-2</v>
      </c>
      <c r="R34" s="38"/>
      <c r="S34" s="29"/>
      <c r="T34" s="38"/>
      <c r="U34" s="29"/>
      <c r="V34" s="29"/>
      <c r="W34" s="29"/>
      <c r="X34" s="29"/>
      <c r="Y34" s="29"/>
      <c r="Z34" s="29"/>
      <c r="AA34" s="31">
        <f>AVERAGE(AA18:AA32)</f>
        <v>1.1188189695917274E-3</v>
      </c>
      <c r="AB34" s="31"/>
      <c r="AC34" s="31">
        <f>AVERAGE(AC18:AC32)</f>
        <v>3.5389662716384322E-2</v>
      </c>
      <c r="AD34" s="22"/>
      <c r="AE34" s="22"/>
      <c r="AF34" s="22"/>
      <c r="AG34" s="22"/>
      <c r="AH34" s="30"/>
      <c r="AI34" s="30"/>
      <c r="AJ34" s="31">
        <f>AVERAGE(AJ18:AJ32)</f>
        <v>2.810648237255094E-2</v>
      </c>
      <c r="AK34" s="31">
        <f t="shared" ref="AK34:AM34" si="59">AVERAGE(AK18:AK32)</f>
        <v>0.25776803890635408</v>
      </c>
      <c r="AL34" s="31">
        <f t="shared" si="59"/>
        <v>0.26062869234589831</v>
      </c>
      <c r="AM34" s="31">
        <f t="shared" si="59"/>
        <v>0.48160326874774761</v>
      </c>
      <c r="AN34" s="16"/>
      <c r="AO34" s="27"/>
      <c r="AP34" s="27"/>
      <c r="AQ34" s="27"/>
      <c r="AR34" s="27"/>
      <c r="AS34" s="28"/>
      <c r="AT34" s="29"/>
      <c r="AU34" s="30"/>
      <c r="AV34" s="30"/>
      <c r="AW34" s="31"/>
      <c r="AX34" s="16"/>
      <c r="AY34" s="16"/>
      <c r="AZ34" s="27"/>
      <c r="BA34" s="27"/>
      <c r="BB34" s="27"/>
      <c r="BC34" s="27"/>
      <c r="BD34" s="28"/>
      <c r="BE34" s="29"/>
      <c r="BF34" s="44"/>
      <c r="BG34" s="31"/>
      <c r="BH34" s="31"/>
      <c r="BI34" s="16"/>
      <c r="BJ34" s="16"/>
      <c r="BK34" s="27"/>
      <c r="BL34" s="27"/>
      <c r="BM34" s="32"/>
      <c r="BN34" s="44"/>
      <c r="BO34" s="44"/>
      <c r="BP34" s="31"/>
      <c r="BQ34" s="31"/>
      <c r="BR34" s="44"/>
      <c r="BS34" s="31"/>
      <c r="BT34" s="31"/>
      <c r="BU34" s="16"/>
      <c r="BV34" s="16"/>
      <c r="BW34" s="16"/>
      <c r="BX34" s="43"/>
      <c r="BY34" s="31">
        <f>AVERAGE(BY18:BY32)</f>
        <v>1.9737195317616536E-2</v>
      </c>
      <c r="BZ34" s="31"/>
      <c r="CA34" s="31">
        <f>AVERAGE(CA18:CA32)</f>
        <v>6.2825971247163137E-3</v>
      </c>
      <c r="CB34" s="31"/>
      <c r="CC34" s="31"/>
      <c r="CD34" s="31"/>
      <c r="CE34" s="31"/>
      <c r="CF34" s="31">
        <f>AVERAGE(CF18:CF32)</f>
        <v>2.818229186113402E-2</v>
      </c>
      <c r="CG34" s="31"/>
      <c r="CH34" s="31">
        <f>AVERAGE(CH18:CH32)</f>
        <v>-1.5701522388590922E-2</v>
      </c>
      <c r="CI34" s="14"/>
      <c r="CJ34" s="31">
        <f>AVERAGE(CJ18:CJ32)</f>
        <v>1.4825627205288981E-2</v>
      </c>
      <c r="CK34" s="31"/>
      <c r="CL34" s="31">
        <f>AVERAGE(CL18:CL32)</f>
        <v>1.5058893685681841E-2</v>
      </c>
      <c r="CM34" s="31">
        <f>AVERAGE(CM18:CM32)</f>
        <v>-2.3326648039286255E-4</v>
      </c>
      <c r="CN34" s="30">
        <f>+(CN29+CN30+CN31)/3</f>
        <v>430.78801087464927</v>
      </c>
      <c r="CO34" s="30">
        <f>+(CO30+CO31+CO32)/3</f>
        <v>212.17900826732281</v>
      </c>
      <c r="CP34" s="16" t="s">
        <v>52</v>
      </c>
      <c r="CQ34" s="30"/>
      <c r="CR34" s="30" t="s">
        <v>52</v>
      </c>
      <c r="CS34" s="16"/>
      <c r="CT34" s="4"/>
      <c r="CU34" s="4"/>
      <c r="CV34" s="4"/>
      <c r="CY34" s="4"/>
      <c r="DA34" s="4"/>
    </row>
    <row r="35" spans="1:124" x14ac:dyDescent="0.25">
      <c r="A35" s="22"/>
      <c r="B35" s="31"/>
      <c r="C35" s="16"/>
      <c r="D35" s="31"/>
      <c r="E35" s="16"/>
      <c r="F35" s="16"/>
      <c r="G35" s="16"/>
      <c r="H35" s="16"/>
      <c r="I35" s="16"/>
      <c r="J35" s="27" t="s">
        <v>62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31"/>
      <c r="AD35" s="16"/>
      <c r="AE35" s="16"/>
      <c r="AF35" s="16"/>
      <c r="AG35" s="16"/>
      <c r="AH35" s="16"/>
      <c r="AI35" s="22"/>
      <c r="AJ35" s="31"/>
      <c r="AK35" s="31"/>
      <c r="AL35" s="31"/>
      <c r="AM35" s="31"/>
      <c r="AN35" s="32">
        <f>AVERAGE(AC10:AC31)</f>
        <v>3.5868379904702742E-2</v>
      </c>
      <c r="AO35" s="32">
        <f>LN(AB31/AB16)/15</f>
        <v>3.6410766906816369E-2</v>
      </c>
      <c r="AP35" s="27"/>
      <c r="AQ35" s="27"/>
      <c r="AR35" s="27"/>
      <c r="AS35" s="27"/>
      <c r="AT35" s="27"/>
      <c r="AU35" s="27"/>
      <c r="AV35" s="27"/>
      <c r="AW35" s="32">
        <f>AVERAGE(AW10:AW31)</f>
        <v>1.9864723768048296E-2</v>
      </c>
      <c r="AX35" s="32">
        <f>LN(AU31/AU16)/15</f>
        <v>2.0388995273624033E-2</v>
      </c>
      <c r="AY35" s="27"/>
      <c r="AZ35" s="27"/>
      <c r="BA35" s="27"/>
      <c r="BB35" s="27"/>
      <c r="BC35" s="27"/>
      <c r="BD35" s="27"/>
      <c r="BE35" s="27"/>
      <c r="BF35" s="27"/>
      <c r="BG35" s="27"/>
      <c r="BH35" s="32">
        <f>AVERAGE(BH10:BH31)</f>
        <v>2.6445333127177551E-2</v>
      </c>
      <c r="BI35" s="32">
        <f>LN(BF31/BF16)/15</f>
        <v>2.4616646773644311E-2</v>
      </c>
      <c r="BJ35" s="27"/>
      <c r="BK35" s="27"/>
      <c r="BL35" s="27"/>
      <c r="BM35" s="27"/>
      <c r="BN35" s="27"/>
      <c r="BO35" s="27"/>
      <c r="BP35" s="32">
        <f>AVERAGE(BP10:BP31)</f>
        <v>1.999167630227686E-2</v>
      </c>
      <c r="BQ35" s="32">
        <f>LN(BN31/BN16)/15</f>
        <v>2.0736991121598294E-2</v>
      </c>
      <c r="BR35" s="27"/>
      <c r="BS35" s="27"/>
      <c r="BT35" s="32">
        <f>AVERAGE(BT10:BT31)</f>
        <v>1.3869008018166236E-2</v>
      </c>
      <c r="BU35" s="16"/>
      <c r="BV35" s="35"/>
      <c r="BW35" s="16"/>
      <c r="BX35" s="43"/>
      <c r="BY35" s="43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0">
        <f>+CN34*0.84</f>
        <v>361.86192913470535</v>
      </c>
      <c r="CO35" s="30"/>
      <c r="CP35" s="16"/>
      <c r="CQ35" s="35"/>
      <c r="CR35" s="46" t="s">
        <v>53</v>
      </c>
      <c r="CS35" s="16"/>
      <c r="CT35" s="5"/>
      <c r="CU35" s="5"/>
      <c r="CV35" s="5"/>
      <c r="CW35" s="1"/>
      <c r="CX35" s="1"/>
      <c r="DA35" s="4"/>
      <c r="DO35">
        <v>2015</v>
      </c>
      <c r="DP35">
        <v>2016</v>
      </c>
      <c r="DQ35">
        <v>2017</v>
      </c>
      <c r="DR35">
        <v>2018</v>
      </c>
      <c r="DS35">
        <v>2019</v>
      </c>
      <c r="DT35">
        <v>2020</v>
      </c>
    </row>
    <row r="36" spans="1:124" x14ac:dyDescent="0.25">
      <c r="A36" s="21"/>
      <c r="B36" s="31"/>
      <c r="C36" s="16"/>
      <c r="D36" s="31"/>
      <c r="E36" s="32"/>
      <c r="F36" s="31"/>
      <c r="G36" s="31"/>
      <c r="H36" s="31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31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35"/>
      <c r="BW36" s="16"/>
      <c r="BX36" s="16"/>
      <c r="BY36" s="16"/>
      <c r="BZ36" s="16"/>
      <c r="CA36" s="31"/>
      <c r="CB36" s="16"/>
      <c r="CC36" s="16"/>
      <c r="CD36" s="16"/>
      <c r="CE36" s="16"/>
      <c r="CF36" s="16"/>
      <c r="CG36" s="16"/>
      <c r="CH36" s="16"/>
      <c r="CI36" s="31"/>
      <c r="CJ36" s="16"/>
      <c r="CK36" s="31"/>
      <c r="CL36" s="16"/>
      <c r="CM36" s="31"/>
      <c r="CN36" s="31"/>
      <c r="CO36" s="31"/>
      <c r="CP36" s="31"/>
      <c r="CQ36" s="16"/>
      <c r="CR36" s="30"/>
      <c r="CS36" s="30"/>
      <c r="DO36">
        <v>105.7</v>
      </c>
      <c r="DP36">
        <v>106.82499999999999</v>
      </c>
      <c r="DQ36">
        <v>108.29999999999998</v>
      </c>
      <c r="DR36">
        <v>110</v>
      </c>
      <c r="DS36">
        <v>112</v>
      </c>
      <c r="DT36">
        <v>113.925</v>
      </c>
    </row>
    <row r="37" spans="1:124" x14ac:dyDescent="0.25">
      <c r="A37" s="22"/>
      <c r="B37" s="22"/>
      <c r="C37" s="22"/>
      <c r="D37" s="22"/>
      <c r="E37" s="32"/>
      <c r="F37" s="31"/>
      <c r="G37" s="31"/>
      <c r="H37" s="31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35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30"/>
      <c r="CS37" s="30"/>
      <c r="CX37" s="3"/>
    </row>
    <row r="38" spans="1:124" ht="26.25" x14ac:dyDescent="0.4">
      <c r="A38" s="22"/>
      <c r="B38" s="22"/>
      <c r="C38" s="22"/>
      <c r="D38" s="22"/>
      <c r="E38" s="32"/>
      <c r="F38" s="31"/>
      <c r="G38" s="31"/>
      <c r="H38" s="31"/>
      <c r="I38" s="16"/>
      <c r="J38" s="16"/>
      <c r="K38" s="18" t="s">
        <v>49</v>
      </c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X38" s="3"/>
    </row>
    <row r="39" spans="1:124" x14ac:dyDescent="0.25">
      <c r="A39" s="16"/>
      <c r="B39" s="22"/>
      <c r="C39" s="22"/>
      <c r="D39" s="22"/>
      <c r="E39" s="32"/>
      <c r="F39" s="31"/>
      <c r="G39" s="31"/>
      <c r="H39" s="31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X39" s="3"/>
    </row>
    <row r="40" spans="1:124" ht="45" x14ac:dyDescent="0.25">
      <c r="A40" s="22"/>
      <c r="B40" s="22"/>
      <c r="C40" s="22"/>
      <c r="D40" s="22"/>
      <c r="E40" s="32"/>
      <c r="F40" s="31"/>
      <c r="G40" s="31"/>
      <c r="H40" s="31"/>
      <c r="I40" s="21" t="s">
        <v>5</v>
      </c>
      <c r="J40" s="25" t="s">
        <v>1</v>
      </c>
      <c r="K40" s="25" t="s">
        <v>2</v>
      </c>
      <c r="L40" s="26" t="s">
        <v>3</v>
      </c>
      <c r="M40" s="25" t="s">
        <v>4</v>
      </c>
      <c r="N40" s="25"/>
      <c r="O40" s="26" t="s">
        <v>59</v>
      </c>
      <c r="P40" s="25" t="s">
        <v>87</v>
      </c>
      <c r="Q40" s="26" t="s">
        <v>88</v>
      </c>
      <c r="R40" s="26" t="s">
        <v>90</v>
      </c>
      <c r="S40" s="25"/>
      <c r="T40" s="25"/>
      <c r="U40" s="25"/>
      <c r="V40" s="26" t="s">
        <v>60</v>
      </c>
      <c r="W40" s="26" t="s">
        <v>61</v>
      </c>
      <c r="X40" s="26" t="s">
        <v>63</v>
      </c>
      <c r="Y40" s="26" t="s">
        <v>64</v>
      </c>
      <c r="Z40" s="26" t="s">
        <v>34</v>
      </c>
      <c r="AA40" s="26" t="s">
        <v>67</v>
      </c>
      <c r="AB40" s="25" t="s">
        <v>16</v>
      </c>
      <c r="AC40" s="25" t="s">
        <v>14</v>
      </c>
      <c r="AD40" s="26" t="s">
        <v>85</v>
      </c>
      <c r="AE40" s="26" t="s">
        <v>33</v>
      </c>
      <c r="AF40" s="25" t="s">
        <v>87</v>
      </c>
      <c r="AG40" s="26" t="s">
        <v>48</v>
      </c>
      <c r="AH40" s="26" t="s">
        <v>35</v>
      </c>
      <c r="AI40" s="26" t="s">
        <v>36</v>
      </c>
      <c r="AJ40" s="26" t="s">
        <v>46</v>
      </c>
      <c r="AK40" s="26" t="s">
        <v>37</v>
      </c>
      <c r="AL40" s="26" t="s">
        <v>38</v>
      </c>
      <c r="AM40" s="26" t="s">
        <v>39</v>
      </c>
      <c r="AN40" s="16"/>
      <c r="AO40" s="21" t="s">
        <v>0</v>
      </c>
      <c r="AP40" s="21" t="s">
        <v>5</v>
      </c>
      <c r="AQ40" s="25" t="s">
        <v>1</v>
      </c>
      <c r="AR40" s="25" t="s">
        <v>2</v>
      </c>
      <c r="AS40" s="26" t="s">
        <v>3</v>
      </c>
      <c r="AT40" s="25" t="s">
        <v>4</v>
      </c>
      <c r="AU40" s="25" t="s">
        <v>16</v>
      </c>
      <c r="AV40" s="25" t="s">
        <v>6</v>
      </c>
      <c r="AW40" s="25" t="s">
        <v>14</v>
      </c>
      <c r="AX40" s="26" t="s">
        <v>15</v>
      </c>
      <c r="AY40" s="26"/>
      <c r="AZ40" s="21" t="s">
        <v>0</v>
      </c>
      <c r="BA40" s="21" t="s">
        <v>5</v>
      </c>
      <c r="BB40" s="25" t="s">
        <v>1</v>
      </c>
      <c r="BC40" s="25" t="s">
        <v>2</v>
      </c>
      <c r="BD40" s="26" t="s">
        <v>3</v>
      </c>
      <c r="BE40" s="25" t="s">
        <v>4</v>
      </c>
      <c r="BF40" s="25" t="s">
        <v>16</v>
      </c>
      <c r="BG40" s="25" t="s">
        <v>6</v>
      </c>
      <c r="BH40" s="25" t="s">
        <v>14</v>
      </c>
      <c r="BI40" s="16"/>
      <c r="BJ40" s="16"/>
      <c r="BK40" s="21" t="s">
        <v>0</v>
      </c>
      <c r="BL40" s="21" t="s">
        <v>5</v>
      </c>
      <c r="BM40" s="25" t="s">
        <v>11</v>
      </c>
      <c r="BN40" s="25" t="s">
        <v>16</v>
      </c>
      <c r="BO40" s="25" t="s">
        <v>6</v>
      </c>
      <c r="BP40" s="25" t="s">
        <v>14</v>
      </c>
      <c r="BQ40" s="25" t="s">
        <v>12</v>
      </c>
      <c r="BR40" s="25" t="s">
        <v>16</v>
      </c>
      <c r="BS40" s="25" t="s">
        <v>6</v>
      </c>
      <c r="BT40" s="25" t="s">
        <v>14</v>
      </c>
      <c r="BU40" s="21" t="s">
        <v>5</v>
      </c>
      <c r="BV40" s="21"/>
      <c r="BW40" s="25" t="s">
        <v>17</v>
      </c>
      <c r="BX40" s="25" t="s">
        <v>21</v>
      </c>
      <c r="BY40" s="25" t="s">
        <v>68</v>
      </c>
      <c r="BZ40" s="25" t="s">
        <v>18</v>
      </c>
      <c r="CA40" s="25" t="s">
        <v>19</v>
      </c>
      <c r="CB40" s="25" t="s">
        <v>24</v>
      </c>
      <c r="CC40" s="25" t="s">
        <v>22</v>
      </c>
      <c r="CD40" s="25"/>
      <c r="CE40" s="25" t="s">
        <v>55</v>
      </c>
      <c r="CF40" s="25" t="s">
        <v>69</v>
      </c>
      <c r="CG40" s="25" t="s">
        <v>23</v>
      </c>
      <c r="CH40" s="25" t="s">
        <v>20</v>
      </c>
      <c r="CI40" s="26" t="s">
        <v>44</v>
      </c>
      <c r="CJ40" s="26" t="s">
        <v>40</v>
      </c>
      <c r="CK40" s="26" t="s">
        <v>42</v>
      </c>
      <c r="CL40" s="26" t="s">
        <v>41</v>
      </c>
      <c r="CM40" s="26" t="s">
        <v>43</v>
      </c>
      <c r="CN40" s="26" t="s">
        <v>50</v>
      </c>
      <c r="CO40" s="26" t="s">
        <v>91</v>
      </c>
      <c r="CP40" s="26"/>
      <c r="CQ40" s="26" t="s">
        <v>47</v>
      </c>
      <c r="CR40" s="25" t="s">
        <v>51</v>
      </c>
      <c r="CS40" s="26" t="s">
        <v>65</v>
      </c>
      <c r="CT40" s="7" t="s">
        <v>66</v>
      </c>
      <c r="CV40" s="7"/>
      <c r="CX40" s="3"/>
      <c r="CY40" s="5"/>
      <c r="CZ40" s="5"/>
      <c r="DA40" s="5"/>
      <c r="DB40" s="1"/>
      <c r="DC40" s="1"/>
    </row>
    <row r="41" spans="1:124" x14ac:dyDescent="0.25">
      <c r="A41" s="22"/>
      <c r="B41" s="22"/>
      <c r="C41" s="22"/>
      <c r="D41" s="22"/>
      <c r="E41" s="31"/>
      <c r="F41" s="31"/>
      <c r="G41" s="31"/>
      <c r="H41" s="16"/>
      <c r="I41" s="27">
        <f>+H41+1998</f>
        <v>1998</v>
      </c>
      <c r="J41" s="27">
        <v>51</v>
      </c>
      <c r="K41" s="27">
        <v>0.75</v>
      </c>
      <c r="L41" s="28">
        <v>1</v>
      </c>
      <c r="M41" s="29"/>
      <c r="N41" s="29"/>
      <c r="O41" s="29"/>
      <c r="P41" s="22">
        <v>69.908554920633804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30">
        <f>+$F$22</f>
        <v>95.42775395712286</v>
      </c>
      <c r="AC41" s="31"/>
      <c r="AD41" s="22"/>
      <c r="AE41" s="22"/>
      <c r="AF41" s="22">
        <v>69.908554920633804</v>
      </c>
      <c r="AG41" s="30"/>
      <c r="AH41" s="30"/>
      <c r="AI41" s="30"/>
      <c r="AJ41" s="30"/>
      <c r="AK41" s="30"/>
      <c r="AL41" s="30"/>
      <c r="AM41" s="30"/>
      <c r="AN41" s="16"/>
      <c r="AO41" s="27">
        <v>0</v>
      </c>
      <c r="AP41" s="27">
        <f>+AO41+1998</f>
        <v>1998</v>
      </c>
      <c r="AQ41" s="27">
        <v>51</v>
      </c>
      <c r="AR41" s="27">
        <v>1</v>
      </c>
      <c r="AS41" s="28">
        <f>+(AQ41-AO41)/(AQ41-AR41*AO41)</f>
        <v>1</v>
      </c>
      <c r="AT41" s="29"/>
      <c r="AU41" s="30">
        <v>41.7</v>
      </c>
      <c r="AV41" s="30"/>
      <c r="AW41" s="31"/>
      <c r="AX41" s="30"/>
      <c r="AY41" s="30"/>
      <c r="AZ41" s="27">
        <v>0</v>
      </c>
      <c r="BA41" s="27">
        <f>+AZ41+1998</f>
        <v>1998</v>
      </c>
      <c r="BB41" s="27">
        <v>51</v>
      </c>
      <c r="BC41" s="27">
        <v>0</v>
      </c>
      <c r="BD41" s="28">
        <f>+(BB41-AZ41)/(BB41-BC41*AZ41)</f>
        <v>1</v>
      </c>
      <c r="BE41" s="29"/>
      <c r="BF41" s="30">
        <v>30.3</v>
      </c>
      <c r="BG41" s="30"/>
      <c r="BH41" s="31"/>
      <c r="BI41" s="16"/>
      <c r="BJ41" s="16"/>
      <c r="BK41" s="27">
        <v>0</v>
      </c>
      <c r="BL41" s="27">
        <f>+BK41+1998</f>
        <v>1998</v>
      </c>
      <c r="BM41" s="32">
        <v>3.5000000000000003E-2</v>
      </c>
      <c r="BN41" s="30">
        <v>30.3</v>
      </c>
      <c r="BO41" s="33"/>
      <c r="BP41" s="31"/>
      <c r="BQ41" s="31">
        <v>4.5900000000000003E-2</v>
      </c>
      <c r="BR41" s="30">
        <v>30.3</v>
      </c>
      <c r="BS41" s="33"/>
      <c r="BT41" s="31"/>
      <c r="BU41" s="27">
        <f>+BT41+1998</f>
        <v>1998</v>
      </c>
      <c r="BV41" s="27"/>
      <c r="BW41" s="34">
        <v>188</v>
      </c>
      <c r="BX41" s="22">
        <v>69.908554920633804</v>
      </c>
      <c r="BY41" s="16"/>
      <c r="BZ41" s="30"/>
      <c r="CA41" s="31"/>
      <c r="CB41" s="30">
        <f>42+142</f>
        <v>184</v>
      </c>
      <c r="CC41" s="16"/>
      <c r="CD41" s="16"/>
      <c r="CE41" s="16"/>
      <c r="CF41" s="16"/>
      <c r="CG41" s="30"/>
      <c r="CH41" s="31"/>
      <c r="CI41" s="31"/>
      <c r="CJ41" s="31"/>
      <c r="CK41" s="31"/>
      <c r="CL41" s="31"/>
      <c r="CM41" s="31"/>
      <c r="CN41" s="16"/>
      <c r="CO41" s="16"/>
      <c r="CP41" s="16"/>
      <c r="CQ41" s="16"/>
      <c r="CR41" s="16"/>
      <c r="CS41" s="16"/>
      <c r="CX41" s="3"/>
      <c r="CY41" s="5"/>
      <c r="CZ41" s="1"/>
      <c r="DA41" s="1"/>
    </row>
    <row r="42" spans="1:124" x14ac:dyDescent="0.25">
      <c r="A42" s="22"/>
      <c r="B42" s="22"/>
      <c r="C42" s="22"/>
      <c r="D42" s="42"/>
      <c r="E42" s="31"/>
      <c r="F42" s="31"/>
      <c r="G42" s="31"/>
      <c r="H42" s="16"/>
      <c r="I42" s="27">
        <f>+I41+1</f>
        <v>1999</v>
      </c>
      <c r="J42" s="27">
        <v>51</v>
      </c>
      <c r="K42" s="27">
        <v>0.75</v>
      </c>
      <c r="L42" s="28">
        <v>0.99502487562189057</v>
      </c>
      <c r="M42" s="29">
        <f>+(L42-L41)/L41</f>
        <v>-4.9751243781094301E-3</v>
      </c>
      <c r="N42" s="29"/>
      <c r="O42" s="29"/>
      <c r="P42" s="22">
        <v>71.227065369412202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30">
        <f>+AB41*L42+AG42</f>
        <v>100.76083182931905</v>
      </c>
      <c r="AC42" s="31">
        <f>LN(AB42/AB41)</f>
        <v>5.4380248874268837E-2</v>
      </c>
      <c r="AD42" s="22">
        <f>181+123.1+0.762*(123.6+20.2)</f>
        <v>413.67560000000003</v>
      </c>
      <c r="AE42" s="22">
        <f>6.3+123.6+10+17.4+64.3+20.2</f>
        <v>241.8</v>
      </c>
      <c r="AF42" s="22">
        <v>71.227065369412202</v>
      </c>
      <c r="AG42" s="22">
        <f>+(AD42)/AF42</f>
        <v>5.8078428172565024</v>
      </c>
      <c r="AH42" s="22"/>
      <c r="AI42" s="22"/>
      <c r="AJ42" s="37"/>
      <c r="AK42" s="37"/>
      <c r="AL42" s="37"/>
      <c r="AM42" s="37"/>
      <c r="AN42" s="16"/>
      <c r="AO42" s="27">
        <f>+AO41+1</f>
        <v>1</v>
      </c>
      <c r="AP42" s="27">
        <f t="shared" ref="AP42:AP63" si="60">+AO42+1998</f>
        <v>1999</v>
      </c>
      <c r="AQ42" s="27">
        <v>51</v>
      </c>
      <c r="AR42" s="27">
        <v>1</v>
      </c>
      <c r="AS42" s="28">
        <f t="shared" ref="AS42:AS63" si="61">+(AQ42-AO42)/(AQ42-AR42*AO42)</f>
        <v>1</v>
      </c>
      <c r="AT42" s="29">
        <f>+(AS42-AS41)/AS41</f>
        <v>0</v>
      </c>
      <c r="AU42" s="30">
        <f t="shared" ref="AU42:AU63" si="62">+AU41*AS42+AV42-AX42</f>
        <v>42.999675792423091</v>
      </c>
      <c r="AV42" s="30">
        <v>2.1336757924230931</v>
      </c>
      <c r="AW42" s="31">
        <f>LN(AU42/AU41)</f>
        <v>3.0691447149291815E-2</v>
      </c>
      <c r="AX42" s="30">
        <f t="shared" ref="AX42:AX63" si="63">+AU41*0.02</f>
        <v>0.83400000000000007</v>
      </c>
      <c r="AY42" s="30"/>
      <c r="AZ42" s="27">
        <f>+AZ41+1</f>
        <v>1</v>
      </c>
      <c r="BA42" s="27">
        <f t="shared" ref="BA42:BA63" si="64">+AZ42+1998</f>
        <v>1999</v>
      </c>
      <c r="BB42" s="27">
        <v>51</v>
      </c>
      <c r="BC42" s="27">
        <v>0</v>
      </c>
      <c r="BD42" s="28">
        <f t="shared" ref="BD42:BD63" si="65">+(BB42-AZ42)/(BB42-BC42*AZ42)</f>
        <v>0.98039215686274506</v>
      </c>
      <c r="BE42" s="29">
        <f>+(BD42-BD41)/BD41</f>
        <v>-1.9607843137254943E-2</v>
      </c>
      <c r="BF42" s="30">
        <f>+BF41*BD42+BG42</f>
        <v>31.839558145364272</v>
      </c>
      <c r="BG42" s="30">
        <v>2.1336757924230931</v>
      </c>
      <c r="BH42" s="31">
        <f>LN(BF42/BF41)</f>
        <v>4.9561771020480552E-2</v>
      </c>
      <c r="BI42" s="16"/>
      <c r="BJ42" s="16"/>
      <c r="BK42" s="27">
        <f>+BK41+1</f>
        <v>1</v>
      </c>
      <c r="BL42" s="27">
        <f t="shared" ref="BL42:BL63" si="66">+BK42+1998</f>
        <v>1999</v>
      </c>
      <c r="BM42" s="32">
        <v>3.5000000000000003E-2</v>
      </c>
      <c r="BN42" s="30">
        <f>+BN41*(1-BM42)+BO42</f>
        <v>31.373175792423094</v>
      </c>
      <c r="BO42" s="30">
        <v>2.1336757924230931</v>
      </c>
      <c r="BP42" s="31">
        <f>LN(BN42/BN41)</f>
        <v>3.4805541172144225E-2</v>
      </c>
      <c r="BQ42" s="31">
        <v>4.5900000000000003E-2</v>
      </c>
      <c r="BR42" s="30">
        <f t="shared" ref="BR42:BR63" si="67">+BR41*(1-BQ42)+BS42</f>
        <v>31.042905792423095</v>
      </c>
      <c r="BS42" s="30">
        <v>2.1336757924230931</v>
      </c>
      <c r="BT42" s="31">
        <f>LN(BR42/BR41)</f>
        <v>2.4222592864756039E-2</v>
      </c>
      <c r="BU42" s="27">
        <f>+BU41+1</f>
        <v>1999</v>
      </c>
      <c r="BV42" s="27"/>
      <c r="BW42" s="34">
        <v>183</v>
      </c>
      <c r="BX42" s="22">
        <v>71.227065369412202</v>
      </c>
      <c r="BY42" s="16"/>
      <c r="BZ42" s="30"/>
      <c r="CA42" s="31"/>
      <c r="CB42" s="30">
        <v>142</v>
      </c>
      <c r="CC42" s="16"/>
      <c r="CD42" s="16"/>
      <c r="CE42" s="16"/>
      <c r="CF42" s="16"/>
      <c r="CG42" s="30"/>
      <c r="CH42" s="31"/>
      <c r="CI42" s="31"/>
      <c r="CJ42" s="31"/>
      <c r="CK42" s="30"/>
      <c r="CL42" s="31"/>
      <c r="CM42" s="30"/>
      <c r="CN42" s="16"/>
      <c r="CO42" s="16"/>
      <c r="CP42" s="16"/>
      <c r="CQ42" s="16"/>
      <c r="CR42" s="16"/>
      <c r="CS42" s="16"/>
    </row>
    <row r="43" spans="1:124" x14ac:dyDescent="0.25">
      <c r="A43" s="22"/>
      <c r="B43" s="22"/>
      <c r="C43" s="22"/>
      <c r="D43" s="22"/>
      <c r="E43" s="16"/>
      <c r="F43" s="16"/>
      <c r="G43" s="16"/>
      <c r="H43" s="31"/>
      <c r="I43" s="27">
        <f t="shared" ref="I43:I63" si="68">+I42+1</f>
        <v>2000</v>
      </c>
      <c r="J43" s="27">
        <v>51</v>
      </c>
      <c r="K43" s="27">
        <v>0.75</v>
      </c>
      <c r="L43" s="28">
        <v>0.98989898989898994</v>
      </c>
      <c r="M43" s="29">
        <f t="shared" ref="M43:M64" si="69">+(L43-L42)/L42</f>
        <v>-5.1515151515151283E-3</v>
      </c>
      <c r="N43" s="29"/>
      <c r="O43" s="29"/>
      <c r="P43" s="22">
        <v>74.317431550366308</v>
      </c>
      <c r="Q43" s="38">
        <f t="shared" ref="Q43:Q64" si="70">LN(P43/P42)</f>
        <v>4.2472656796238011E-2</v>
      </c>
      <c r="R43" s="38"/>
      <c r="S43" s="29"/>
      <c r="T43" s="29"/>
      <c r="U43" s="29"/>
      <c r="V43" s="29"/>
      <c r="W43" s="29"/>
      <c r="X43" s="29"/>
      <c r="Y43" s="29"/>
      <c r="Z43" s="29"/>
      <c r="AA43" s="29"/>
      <c r="AB43" s="30">
        <f>+AB41*L43+AG42*L42+AG43</f>
        <v>104.79231284662933</v>
      </c>
      <c r="AC43" s="31">
        <f t="shared" ref="AC43:AC64" si="71">LN(AB43/AB42)</f>
        <v>3.9230711495210437E-2</v>
      </c>
      <c r="AD43" s="22">
        <f>184.5+118.1+0.762*(15.7+30.9)</f>
        <v>338.10919999999999</v>
      </c>
      <c r="AE43" s="22">
        <f>23.9+15.7+30.9+10.2+17.4+64.3</f>
        <v>162.39999999999998</v>
      </c>
      <c r="AF43" s="22">
        <v>74.317431550366308</v>
      </c>
      <c r="AG43" s="22">
        <f>+(AD43)/AF43</f>
        <v>4.5495275192719369</v>
      </c>
      <c r="AH43" s="22"/>
      <c r="AI43" s="22"/>
      <c r="AJ43" s="37"/>
      <c r="AK43" s="37"/>
      <c r="AL43" s="37"/>
      <c r="AM43" s="37"/>
      <c r="AN43" s="16"/>
      <c r="AO43" s="27">
        <f t="shared" ref="AO43:AO63" si="72">+AO42+1</f>
        <v>2</v>
      </c>
      <c r="AP43" s="27">
        <f t="shared" si="60"/>
        <v>2000</v>
      </c>
      <c r="AQ43" s="27">
        <v>51</v>
      </c>
      <c r="AR43" s="27">
        <v>1</v>
      </c>
      <c r="AS43" s="28">
        <f t="shared" si="61"/>
        <v>1</v>
      </c>
      <c r="AT43" s="29">
        <f t="shared" ref="AT43:AT63" si="73">+(AS43-AS42)/AS42</f>
        <v>0</v>
      </c>
      <c r="AU43" s="30">
        <f t="shared" si="62"/>
        <v>43.528593648488837</v>
      </c>
      <c r="AV43" s="30">
        <v>1.3889113719142046</v>
      </c>
      <c r="AW43" s="31">
        <f t="shared" ref="AW43:AW63" si="74">LN(AU43/AU42)</f>
        <v>1.2225471449588625E-2</v>
      </c>
      <c r="AX43" s="30">
        <f t="shared" si="63"/>
        <v>0.85999351584846184</v>
      </c>
      <c r="AY43" s="30"/>
      <c r="AZ43" s="27">
        <f t="shared" ref="AZ43:AZ63" si="75">+AZ42+1</f>
        <v>2</v>
      </c>
      <c r="BA43" s="27">
        <f t="shared" si="64"/>
        <v>2000</v>
      </c>
      <c r="BB43" s="27">
        <v>51</v>
      </c>
      <c r="BC43" s="27">
        <v>0</v>
      </c>
      <c r="BD43" s="28">
        <f t="shared" si="65"/>
        <v>0.96078431372549022</v>
      </c>
      <c r="BE43" s="29">
        <f t="shared" ref="BE43:BE63" si="76">+(BD43-BD42)/BD42</f>
        <v>-1.9999999999999931E-2</v>
      </c>
      <c r="BF43" s="30">
        <f>+BF41*BD43+BG42*BD42+BG43</f>
        <v>32.592515089976061</v>
      </c>
      <c r="BG43" s="30">
        <v>1.3889113719142046</v>
      </c>
      <c r="BH43" s="31">
        <f t="shared" ref="BH43:BH63" si="77">LN(BF43/BF42)</f>
        <v>2.3373180008102699E-2</v>
      </c>
      <c r="BI43" s="16"/>
      <c r="BJ43" s="16"/>
      <c r="BK43" s="27">
        <f t="shared" ref="BK43:BK63" si="78">+BK42+1</f>
        <v>2</v>
      </c>
      <c r="BL43" s="27">
        <f t="shared" si="66"/>
        <v>2000</v>
      </c>
      <c r="BM43" s="32">
        <v>3.5000000000000003E-2</v>
      </c>
      <c r="BN43" s="30">
        <f t="shared" ref="BN43:BN63" si="79">+BN42*(1-BM43)+BO43</f>
        <v>31.664026011602488</v>
      </c>
      <c r="BO43" s="30">
        <v>1.3889113719142046</v>
      </c>
      <c r="BP43" s="31">
        <f t="shared" ref="BP43:BP63" si="80">LN(BN43/BN42)</f>
        <v>9.2279566606087403E-3</v>
      </c>
      <c r="BQ43" s="31">
        <v>4.5900000000000003E-2</v>
      </c>
      <c r="BR43" s="30">
        <f t="shared" si="67"/>
        <v>31.006947788465077</v>
      </c>
      <c r="BS43" s="30">
        <v>1.3889113719142046</v>
      </c>
      <c r="BT43" s="31">
        <f t="shared" ref="BT43:BT63" si="81">LN(BR43/BR42)</f>
        <v>-1.1590037980125797E-3</v>
      </c>
      <c r="BU43" s="27">
        <f t="shared" ref="BU43:BU63" si="82">+BU42+1</f>
        <v>2000</v>
      </c>
      <c r="BV43" s="27"/>
      <c r="BW43" s="34">
        <v>156</v>
      </c>
      <c r="BX43" s="22">
        <v>74.317431550366308</v>
      </c>
      <c r="BY43" s="16"/>
      <c r="BZ43" s="30"/>
      <c r="CA43" s="31"/>
      <c r="CB43" s="30">
        <f>56+89</f>
        <v>145</v>
      </c>
      <c r="CC43" s="16"/>
      <c r="CD43" s="16"/>
      <c r="CE43" s="16">
        <v>16.66</v>
      </c>
      <c r="CF43" s="16"/>
      <c r="CG43" s="30"/>
      <c r="CH43" s="31"/>
      <c r="CI43" s="31"/>
      <c r="CJ43" s="31"/>
      <c r="CK43" s="30"/>
      <c r="CL43" s="31"/>
      <c r="CM43" s="30"/>
      <c r="CN43" s="32"/>
      <c r="CO43" s="32"/>
      <c r="CP43" s="32"/>
      <c r="CQ43" s="32"/>
      <c r="CR43" s="32"/>
      <c r="CS43" s="16"/>
      <c r="CT43" s="5"/>
      <c r="CU43" s="5"/>
      <c r="CV43" s="5"/>
      <c r="CX43" s="3"/>
    </row>
    <row r="44" spans="1:124" x14ac:dyDescent="0.25">
      <c r="A44" s="22"/>
      <c r="B44" s="22"/>
      <c r="C44" s="22"/>
      <c r="D44" s="22"/>
      <c r="E44" s="16"/>
      <c r="F44" s="16"/>
      <c r="G44" s="16"/>
      <c r="H44" s="16"/>
      <c r="I44" s="27">
        <f t="shared" si="68"/>
        <v>2001</v>
      </c>
      <c r="J44" s="27">
        <v>51</v>
      </c>
      <c r="K44" s="27">
        <v>0.75</v>
      </c>
      <c r="L44" s="28">
        <v>0.98461538461538467</v>
      </c>
      <c r="M44" s="29">
        <f t="shared" si="69"/>
        <v>-5.3375196232339E-3</v>
      </c>
      <c r="N44" s="29"/>
      <c r="O44" s="29"/>
      <c r="P44" s="22">
        <v>75.560295834173772</v>
      </c>
      <c r="Q44" s="38">
        <f t="shared" si="70"/>
        <v>1.6585423272310523E-2</v>
      </c>
      <c r="R44" s="38"/>
      <c r="S44" s="29"/>
      <c r="T44" s="29"/>
      <c r="U44" s="29"/>
      <c r="V44" s="29"/>
      <c r="W44" s="29"/>
      <c r="X44" s="29"/>
      <c r="Y44" s="29"/>
      <c r="Z44" s="29"/>
      <c r="AA44" s="29"/>
      <c r="AB44" s="30">
        <f>+AB41*L44+AG42*L43+AG43*L42+AG44</f>
        <v>108.96204746129831</v>
      </c>
      <c r="AC44" s="31">
        <f t="shared" si="71"/>
        <v>3.9019214672476585E-2</v>
      </c>
      <c r="AD44" s="22">
        <f>210.5+108.6+0.762*(15.9+34)</f>
        <v>357.12380000000002</v>
      </c>
      <c r="AE44" s="22">
        <f>15.1+15.9+34+10.9+24.1+51.5</f>
        <v>151.5</v>
      </c>
      <c r="AF44" s="22">
        <v>75.560295834173772</v>
      </c>
      <c r="AG44" s="22">
        <f>+(AD44)/AF44</f>
        <v>4.7263420035272423</v>
      </c>
      <c r="AH44" s="22"/>
      <c r="AI44" s="22"/>
      <c r="AJ44" s="37"/>
      <c r="AK44" s="37"/>
      <c r="AL44" s="37"/>
      <c r="AM44" s="37"/>
      <c r="AN44" s="16"/>
      <c r="AO44" s="27">
        <f t="shared" si="72"/>
        <v>3</v>
      </c>
      <c r="AP44" s="27">
        <f t="shared" si="60"/>
        <v>2001</v>
      </c>
      <c r="AQ44" s="27">
        <v>51</v>
      </c>
      <c r="AR44" s="27">
        <v>1</v>
      </c>
      <c r="AS44" s="28">
        <f t="shared" si="61"/>
        <v>1</v>
      </c>
      <c r="AT44" s="29">
        <f t="shared" si="73"/>
        <v>0</v>
      </c>
      <c r="AU44" s="30">
        <f t="shared" si="62"/>
        <v>44.24345594918853</v>
      </c>
      <c r="AV44" s="30">
        <v>1.5854341736694677</v>
      </c>
      <c r="AW44" s="31">
        <f t="shared" si="74"/>
        <v>1.6289424959839267E-2</v>
      </c>
      <c r="AX44" s="30">
        <f t="shared" si="63"/>
        <v>0.87057187296977678</v>
      </c>
      <c r="AY44" s="30"/>
      <c r="AZ44" s="27">
        <f t="shared" si="75"/>
        <v>3</v>
      </c>
      <c r="BA44" s="27">
        <f t="shared" si="64"/>
        <v>2001</v>
      </c>
      <c r="BB44" s="27">
        <v>51</v>
      </c>
      <c r="BC44" s="27">
        <v>0</v>
      </c>
      <c r="BD44" s="28">
        <f t="shared" si="65"/>
        <v>0.94117647058823528</v>
      </c>
      <c r="BE44" s="29">
        <f t="shared" si="76"/>
        <v>-2.0408163265306166E-2</v>
      </c>
      <c r="BF44" s="30">
        <f>+BF41*BD44+BG42*BD43+BG43*BD42+BG44</f>
        <v>33.514761280031074</v>
      </c>
      <c r="BG44" s="30">
        <v>1.5854341736694677</v>
      </c>
      <c r="BH44" s="31">
        <f t="shared" si="77"/>
        <v>2.7903313460729846E-2</v>
      </c>
      <c r="BI44" s="16"/>
      <c r="BJ44" s="16"/>
      <c r="BK44" s="27">
        <f t="shared" si="78"/>
        <v>3</v>
      </c>
      <c r="BL44" s="27">
        <f t="shared" si="66"/>
        <v>2001</v>
      </c>
      <c r="BM44" s="32">
        <v>3.5000000000000003E-2</v>
      </c>
      <c r="BN44" s="30">
        <f t="shared" si="79"/>
        <v>32.141219274865868</v>
      </c>
      <c r="BO44" s="30">
        <v>1.5854341736694677</v>
      </c>
      <c r="BP44" s="31">
        <f t="shared" si="80"/>
        <v>1.4958085609673034E-2</v>
      </c>
      <c r="BQ44" s="31">
        <v>4.5900000000000003E-2</v>
      </c>
      <c r="BR44" s="30">
        <f t="shared" si="67"/>
        <v>31.169163058643996</v>
      </c>
      <c r="BS44" s="30">
        <v>1.5854341736694677</v>
      </c>
      <c r="BT44" s="31">
        <f t="shared" si="81"/>
        <v>5.2179409750900702E-3</v>
      </c>
      <c r="BU44" s="27">
        <f t="shared" si="82"/>
        <v>2001</v>
      </c>
      <c r="BV44" s="27"/>
      <c r="BW44" s="34">
        <v>170</v>
      </c>
      <c r="BX44" s="22">
        <v>75.560295834173772</v>
      </c>
      <c r="BY44" s="16"/>
      <c r="BZ44" s="30"/>
      <c r="CA44" s="31"/>
      <c r="CB44" s="30">
        <f>55+90</f>
        <v>145</v>
      </c>
      <c r="CC44" s="16"/>
      <c r="CD44" s="16"/>
      <c r="CE44" s="16">
        <v>17.22</v>
      </c>
      <c r="CF44" s="16"/>
      <c r="CG44" s="30"/>
      <c r="CH44" s="31"/>
      <c r="CI44" s="31"/>
      <c r="CJ44" s="31"/>
      <c r="CK44" s="30"/>
      <c r="CL44" s="31"/>
      <c r="CM44" s="31"/>
      <c r="CN44" s="31"/>
      <c r="CO44" s="31"/>
      <c r="CP44" s="31"/>
      <c r="CQ44" s="31"/>
      <c r="CR44" s="31"/>
      <c r="CS44" s="16"/>
      <c r="CT44" s="4"/>
      <c r="CU44" s="4"/>
      <c r="CX44" s="3"/>
      <c r="CZ44" s="4"/>
      <c r="DA44" s="4"/>
    </row>
    <row r="45" spans="1:124" x14ac:dyDescent="0.25">
      <c r="A45" s="22"/>
      <c r="B45" s="16"/>
      <c r="C45" s="16"/>
      <c r="D45" s="16"/>
      <c r="E45" s="16"/>
      <c r="F45" s="16"/>
      <c r="G45" s="16"/>
      <c r="H45" s="16"/>
      <c r="I45" s="27">
        <f t="shared" si="68"/>
        <v>2002</v>
      </c>
      <c r="J45" s="27">
        <v>51</v>
      </c>
      <c r="K45" s="27">
        <v>0.75</v>
      </c>
      <c r="L45" s="28">
        <v>0.97916666666666663</v>
      </c>
      <c r="M45" s="29">
        <f t="shared" si="69"/>
        <v>-5.5338541666667598E-3</v>
      </c>
      <c r="N45" s="29">
        <f t="shared" ref="N45:N64" si="83">+(AB44-AB45+AG45)/AB44</f>
        <v>5.4833749565679317E-3</v>
      </c>
      <c r="O45" s="29">
        <v>3.1E-2</v>
      </c>
      <c r="P45" s="39">
        <v>76.487320344848499</v>
      </c>
      <c r="Q45" s="38">
        <f t="shared" si="70"/>
        <v>1.2194022121116815E-2</v>
      </c>
      <c r="R45" s="38">
        <f>+(Q45+Q44+Q43)/3</f>
        <v>2.3750700729888451E-2</v>
      </c>
      <c r="S45" s="29"/>
      <c r="T45" s="29"/>
      <c r="U45" s="29"/>
      <c r="V45" s="29"/>
      <c r="W45" s="29"/>
      <c r="X45" s="29"/>
      <c r="Y45" s="29"/>
      <c r="Z45" s="29"/>
      <c r="AA45" s="29"/>
      <c r="AB45" s="30">
        <f>+AB41*L45+AG42*L44+AG43*L43+AG44*L42+AG45</f>
        <v>113.27242691422718</v>
      </c>
      <c r="AC45" s="31">
        <f t="shared" si="71"/>
        <v>3.8796141736440894E-2</v>
      </c>
      <c r="AD45" s="22">
        <f>232.1+117+0.762*(12.9+21.6)</f>
        <v>375.38900000000001</v>
      </c>
      <c r="AE45" s="22">
        <f>11.4+33.4+21.6+12.2+85+63</f>
        <v>226.60000000000002</v>
      </c>
      <c r="AF45" s="39">
        <v>76.487320344848499</v>
      </c>
      <c r="AG45" s="22">
        <f t="shared" ref="AG45:AG63" si="84">+(AD45)/AF45</f>
        <v>4.9078592151945202</v>
      </c>
      <c r="AH45" s="22"/>
      <c r="AI45" s="22"/>
      <c r="AJ45" s="37"/>
      <c r="AK45" s="37"/>
      <c r="AL45" s="37"/>
      <c r="AM45" s="37"/>
      <c r="AN45" s="16"/>
      <c r="AO45" s="27">
        <f t="shared" si="72"/>
        <v>4</v>
      </c>
      <c r="AP45" s="27">
        <f t="shared" si="60"/>
        <v>2002</v>
      </c>
      <c r="AQ45" s="27">
        <v>51</v>
      </c>
      <c r="AR45" s="27">
        <v>1</v>
      </c>
      <c r="AS45" s="28">
        <f t="shared" si="61"/>
        <v>1</v>
      </c>
      <c r="AT45" s="29">
        <f t="shared" si="73"/>
        <v>0</v>
      </c>
      <c r="AU45" s="30">
        <f t="shared" si="62"/>
        <v>45.059877264786088</v>
      </c>
      <c r="AV45" s="30">
        <v>1.7012904345813322</v>
      </c>
      <c r="AW45" s="31">
        <f t="shared" si="74"/>
        <v>1.8284738819471701E-2</v>
      </c>
      <c r="AX45" s="30">
        <f t="shared" si="63"/>
        <v>0.88486911898377063</v>
      </c>
      <c r="AY45" s="30"/>
      <c r="AZ45" s="27">
        <f t="shared" si="75"/>
        <v>4</v>
      </c>
      <c r="BA45" s="27">
        <f t="shared" si="64"/>
        <v>2002</v>
      </c>
      <c r="BB45" s="27">
        <v>51</v>
      </c>
      <c r="BC45" s="27">
        <v>0</v>
      </c>
      <c r="BD45" s="28">
        <f t="shared" si="65"/>
        <v>0.92156862745098034</v>
      </c>
      <c r="BE45" s="29">
        <f t="shared" si="76"/>
        <v>-2.0833333333333377E-2</v>
      </c>
      <c r="BF45" s="30">
        <f>+BF41*BD45+BG42*BD44+BG43*BD43+BG44*BD42+BG45</f>
        <v>34.52177678641619</v>
      </c>
      <c r="BG45" s="30">
        <v>1.7012904345813322</v>
      </c>
      <c r="BH45" s="31">
        <f t="shared" si="77"/>
        <v>2.9604359103147921E-2</v>
      </c>
      <c r="BI45" s="16"/>
      <c r="BJ45" s="16"/>
      <c r="BK45" s="27">
        <f t="shared" si="78"/>
        <v>4</v>
      </c>
      <c r="BL45" s="27">
        <f t="shared" si="66"/>
        <v>2002</v>
      </c>
      <c r="BM45" s="32">
        <v>3.5000000000000003E-2</v>
      </c>
      <c r="BN45" s="30">
        <f t="shared" si="79"/>
        <v>32.717567034826892</v>
      </c>
      <c r="BO45" s="30">
        <v>1.7012904345813322</v>
      </c>
      <c r="BP45" s="31">
        <f t="shared" si="80"/>
        <v>1.7772855885851244E-2</v>
      </c>
      <c r="BQ45" s="31">
        <v>4.5900000000000003E-2</v>
      </c>
      <c r="BR45" s="30">
        <f t="shared" si="67"/>
        <v>31.439788908833567</v>
      </c>
      <c r="BS45" s="30">
        <v>1.7012904345813322</v>
      </c>
      <c r="BT45" s="31">
        <f t="shared" si="81"/>
        <v>8.6450108856846505E-3</v>
      </c>
      <c r="BU45" s="27">
        <f t="shared" si="82"/>
        <v>2002</v>
      </c>
      <c r="BV45" s="35">
        <f t="shared" ref="BV45:BV64" si="85">+(BW45+CB45)*1000000/CI45</f>
        <v>119.97375986756659</v>
      </c>
      <c r="BW45" s="34">
        <v>176</v>
      </c>
      <c r="BX45" s="39">
        <v>76.487320344848499</v>
      </c>
      <c r="BY45" s="39"/>
      <c r="BZ45" s="30">
        <f>+BW45*10/BX45</f>
        <v>23.010349847071584</v>
      </c>
      <c r="CA45" s="31"/>
      <c r="CB45" s="30">
        <f>58+93</f>
        <v>151</v>
      </c>
      <c r="CC45" s="39">
        <v>711.29</v>
      </c>
      <c r="CD45" s="39"/>
      <c r="CE45" s="39">
        <v>17.66</v>
      </c>
      <c r="CF45" s="39"/>
      <c r="CG45" s="30">
        <f>+(CB45*100)/CE45</f>
        <v>855.03963759909402</v>
      </c>
      <c r="CH45" s="31"/>
      <c r="CI45" s="14">
        <v>2725596</v>
      </c>
      <c r="CJ45" s="31"/>
      <c r="CK45" s="30"/>
      <c r="CL45" s="31"/>
      <c r="CM45" s="31"/>
      <c r="CN45" s="31"/>
      <c r="CO45" s="31"/>
      <c r="CP45" s="31"/>
      <c r="CQ45" s="31"/>
      <c r="CR45" s="31"/>
      <c r="CS45" s="16"/>
      <c r="CT45" s="4"/>
      <c r="CU45" s="4"/>
      <c r="CX45" s="3"/>
    </row>
    <row r="46" spans="1:124" x14ac:dyDescent="0.25">
      <c r="A46" s="22"/>
      <c r="B46" s="16"/>
      <c r="C46" s="16"/>
      <c r="D46" s="16"/>
      <c r="E46" s="16"/>
      <c r="F46" s="16"/>
      <c r="G46" s="16"/>
      <c r="H46" s="16"/>
      <c r="I46" s="27">
        <f t="shared" si="68"/>
        <v>2003</v>
      </c>
      <c r="J46" s="27">
        <v>51</v>
      </c>
      <c r="K46" s="27">
        <v>0.75</v>
      </c>
      <c r="L46" s="28">
        <v>0.97354497354497349</v>
      </c>
      <c r="M46" s="29">
        <f t="shared" si="69"/>
        <v>-5.7413036136440571E-3</v>
      </c>
      <c r="N46" s="29">
        <f t="shared" si="83"/>
        <v>5.6570929886434014E-3</v>
      </c>
      <c r="O46" s="29">
        <v>3.1E-2</v>
      </c>
      <c r="P46" s="39">
        <v>78.982549018001848</v>
      </c>
      <c r="Q46" s="38">
        <f t="shared" si="70"/>
        <v>3.2101949590293312E-2</v>
      </c>
      <c r="R46" s="38">
        <f t="shared" ref="R46:R64" si="86">+(Q46+Q45+Q44)/3</f>
        <v>2.0293798327906884E-2</v>
      </c>
      <c r="S46" s="29"/>
      <c r="T46" s="29"/>
      <c r="U46" s="29"/>
      <c r="V46" s="29"/>
      <c r="W46" s="29"/>
      <c r="X46" s="29"/>
      <c r="Y46" s="29"/>
      <c r="Z46" s="29"/>
      <c r="AA46" s="29"/>
      <c r="AB46" s="30">
        <f>+AB41*L46+AG42*L45+AG43*L44+AG44*L43+AG45*L42+AG46</f>
        <v>115.22744311546042</v>
      </c>
      <c r="AC46" s="31">
        <f t="shared" si="71"/>
        <v>1.7112166474465888E-2</v>
      </c>
      <c r="AD46" s="22">
        <f>211.2+0-42.6+0.762*(33.4+14.4)</f>
        <v>205.02359999999999</v>
      </c>
      <c r="AE46" s="22">
        <f>5.8+33.4+14.4+12.2+3.8+1.6</f>
        <v>71.199999999999989</v>
      </c>
      <c r="AF46" s="39">
        <v>78.982549018001848</v>
      </c>
      <c r="AG46" s="22">
        <f t="shared" si="84"/>
        <v>2.5958088533363317</v>
      </c>
      <c r="AH46" s="22"/>
      <c r="AI46" s="22"/>
      <c r="AJ46" s="37"/>
      <c r="AK46" s="37"/>
      <c r="AL46" s="37"/>
      <c r="AM46" s="37"/>
      <c r="AN46" s="16"/>
      <c r="AO46" s="27">
        <f t="shared" si="72"/>
        <v>5</v>
      </c>
      <c r="AP46" s="27">
        <f t="shared" si="60"/>
        <v>2003</v>
      </c>
      <c r="AQ46" s="27">
        <v>51</v>
      </c>
      <c r="AR46" s="27">
        <v>1</v>
      </c>
      <c r="AS46" s="28">
        <f t="shared" si="61"/>
        <v>1</v>
      </c>
      <c r="AT46" s="29">
        <f t="shared" si="73"/>
        <v>0</v>
      </c>
      <c r="AU46" s="30">
        <f t="shared" si="62"/>
        <v>45.821399937017134</v>
      </c>
      <c r="AV46" s="30">
        <v>1.6627202175267661</v>
      </c>
      <c r="AW46" s="31">
        <f t="shared" si="74"/>
        <v>1.6759018344179817E-2</v>
      </c>
      <c r="AX46" s="30">
        <f t="shared" si="63"/>
        <v>0.90119754529572182</v>
      </c>
      <c r="AY46" s="30"/>
      <c r="AZ46" s="27">
        <f t="shared" si="75"/>
        <v>5</v>
      </c>
      <c r="BA46" s="27">
        <f t="shared" si="64"/>
        <v>2003</v>
      </c>
      <c r="BB46" s="27">
        <v>51</v>
      </c>
      <c r="BC46" s="27">
        <v>0</v>
      </c>
      <c r="BD46" s="28">
        <f t="shared" si="65"/>
        <v>0.90196078431372551</v>
      </c>
      <c r="BE46" s="29">
        <f t="shared" si="76"/>
        <v>-2.1276595744680778E-2</v>
      </c>
      <c r="BF46" s="30">
        <f>+BF41*BD46+BG42*BD45+BG43*BD44+BG44*BD43+BG45*BD42+BG46</f>
        <v>35.456863439774565</v>
      </c>
      <c r="BG46" s="30">
        <v>1.6627202175267661</v>
      </c>
      <c r="BH46" s="31">
        <f t="shared" si="77"/>
        <v>2.6726507150983347E-2</v>
      </c>
      <c r="BI46" s="16"/>
      <c r="BJ46" s="16"/>
      <c r="BK46" s="27">
        <f t="shared" si="78"/>
        <v>5</v>
      </c>
      <c r="BL46" s="27">
        <f t="shared" si="66"/>
        <v>2003</v>
      </c>
      <c r="BM46" s="32">
        <v>3.5000000000000003E-2</v>
      </c>
      <c r="BN46" s="30">
        <f t="shared" si="79"/>
        <v>33.235172406134716</v>
      </c>
      <c r="BO46" s="30">
        <v>1.6627202175267661</v>
      </c>
      <c r="BP46" s="31">
        <f t="shared" si="80"/>
        <v>1.5696573123617965E-2</v>
      </c>
      <c r="BQ46" s="31">
        <v>4.5900000000000003E-2</v>
      </c>
      <c r="BR46" s="30">
        <f t="shared" si="67"/>
        <v>31.65942281544487</v>
      </c>
      <c r="BS46" s="30">
        <v>1.6627202175267661</v>
      </c>
      <c r="BT46" s="31">
        <f t="shared" si="81"/>
        <v>6.9615701251084967E-3</v>
      </c>
      <c r="BU46" s="27">
        <f t="shared" si="82"/>
        <v>2003</v>
      </c>
      <c r="BV46" s="35">
        <f t="shared" si="85"/>
        <v>122.61147106944024</v>
      </c>
      <c r="BW46" s="34">
        <v>189</v>
      </c>
      <c r="BX46" s="39">
        <v>78.982549018001848</v>
      </c>
      <c r="BY46" s="39"/>
      <c r="BZ46" s="30">
        <f t="shared" ref="BZ46:BZ64" si="87">+BW46*10/BX46</f>
        <v>23.929336587620483</v>
      </c>
      <c r="CA46" s="31">
        <f>LN(BZ46/BZ45)</f>
        <v>3.9161070431197341E-2</v>
      </c>
      <c r="CB46" s="30">
        <f>66+89</f>
        <v>155</v>
      </c>
      <c r="CC46" s="39">
        <v>728.71</v>
      </c>
      <c r="CD46" s="39"/>
      <c r="CE46" s="39">
        <v>18.05</v>
      </c>
      <c r="CF46" s="39"/>
      <c r="CG46" s="30">
        <f t="shared" ref="CG46:CG64" si="88">+(CB46*100)/CE46</f>
        <v>858.72576177285316</v>
      </c>
      <c r="CH46" s="31">
        <f>LN(CG46/CG45)</f>
        <v>4.3017905012462292E-3</v>
      </c>
      <c r="CI46" s="14">
        <v>2805610.25</v>
      </c>
      <c r="CJ46" s="31">
        <f>LN(CI46/CI45)</f>
        <v>2.8933953447859793E-2</v>
      </c>
      <c r="CK46" s="30"/>
      <c r="CL46" s="31"/>
      <c r="CM46" s="31"/>
      <c r="CN46" s="30"/>
      <c r="CO46" s="30"/>
      <c r="CP46" s="30"/>
      <c r="CQ46" s="30"/>
      <c r="CR46" s="30" t="e">
        <f>+#REF!/CN46</f>
        <v>#REF!</v>
      </c>
      <c r="CS46" s="16"/>
      <c r="CT46" s="4"/>
      <c r="CU46" s="4"/>
      <c r="CX46" s="3"/>
    </row>
    <row r="47" spans="1:124" x14ac:dyDescent="0.25">
      <c r="A47" s="22"/>
      <c r="B47" s="16"/>
      <c r="C47" s="16"/>
      <c r="D47" s="16"/>
      <c r="E47" s="16"/>
      <c r="F47" s="16"/>
      <c r="G47" s="16"/>
      <c r="H47" s="16"/>
      <c r="I47" s="27">
        <f t="shared" si="68"/>
        <v>2004</v>
      </c>
      <c r="J47" s="27">
        <v>51</v>
      </c>
      <c r="K47" s="27">
        <v>0.75</v>
      </c>
      <c r="L47" s="28">
        <v>0.967741935483871</v>
      </c>
      <c r="M47" s="29">
        <f t="shared" si="69"/>
        <v>-5.9607293127628891E-3</v>
      </c>
      <c r="N47" s="29">
        <f t="shared" si="83"/>
        <v>5.8515019973450844E-3</v>
      </c>
      <c r="O47" s="29">
        <v>3.1E-2</v>
      </c>
      <c r="P47" s="39">
        <v>81.556417024763178</v>
      </c>
      <c r="Q47" s="38">
        <f t="shared" si="70"/>
        <v>3.2068084637396722E-2</v>
      </c>
      <c r="R47" s="38">
        <f t="shared" si="86"/>
        <v>2.545468544960228E-2</v>
      </c>
      <c r="S47" s="29"/>
      <c r="T47" s="29"/>
      <c r="U47" s="29"/>
      <c r="V47" s="29"/>
      <c r="W47" s="29"/>
      <c r="X47" s="29"/>
      <c r="Y47" s="29"/>
      <c r="Z47" s="29"/>
      <c r="AA47" s="29"/>
      <c r="AB47" s="30">
        <f>+AB41*L47+AG42*L46+AG43*L45+AG44*L44+AG45*L43+AG46*L42+AG47</f>
        <v>119.01445709156452</v>
      </c>
      <c r="AC47" s="31">
        <f t="shared" si="71"/>
        <v>3.233703251691853E-2</v>
      </c>
      <c r="AD47" s="22">
        <f>208+100.6+0.762*(54.5+18)</f>
        <v>363.84500000000003</v>
      </c>
      <c r="AE47" s="22">
        <f>5.1+54.5+18+12.2+3.1+18.6</f>
        <v>111.5</v>
      </c>
      <c r="AF47" s="39">
        <v>81.556417024763178</v>
      </c>
      <c r="AG47" s="22">
        <f t="shared" si="84"/>
        <v>4.4612675896431897</v>
      </c>
      <c r="AH47" s="22"/>
      <c r="AI47" s="22"/>
      <c r="AJ47" s="37"/>
      <c r="AK47" s="37"/>
      <c r="AL47" s="37"/>
      <c r="AM47" s="37"/>
      <c r="AN47" s="16"/>
      <c r="AO47" s="27">
        <f t="shared" si="72"/>
        <v>6</v>
      </c>
      <c r="AP47" s="27">
        <f t="shared" si="60"/>
        <v>2004</v>
      </c>
      <c r="AQ47" s="27">
        <v>51</v>
      </c>
      <c r="AR47" s="27">
        <v>1</v>
      </c>
      <c r="AS47" s="28">
        <f t="shared" si="61"/>
        <v>1</v>
      </c>
      <c r="AT47" s="29">
        <f t="shared" si="73"/>
        <v>0</v>
      </c>
      <c r="AU47" s="30">
        <f t="shared" si="62"/>
        <v>46.530610582029688</v>
      </c>
      <c r="AV47" s="30">
        <v>1.6256386437529029</v>
      </c>
      <c r="AW47" s="31">
        <f t="shared" si="74"/>
        <v>1.5359158573650821E-2</v>
      </c>
      <c r="AX47" s="30">
        <f t="shared" si="63"/>
        <v>0.91642799874034264</v>
      </c>
      <c r="AY47" s="30"/>
      <c r="AZ47" s="27">
        <f t="shared" si="75"/>
        <v>6</v>
      </c>
      <c r="BA47" s="27">
        <f t="shared" si="64"/>
        <v>2004</v>
      </c>
      <c r="BB47" s="27">
        <v>51</v>
      </c>
      <c r="BC47" s="27">
        <v>0</v>
      </c>
      <c r="BD47" s="28">
        <f t="shared" si="65"/>
        <v>0.88235294117647056</v>
      </c>
      <c r="BE47" s="29">
        <f t="shared" si="76"/>
        <v>-2.1739130434782653E-2</v>
      </c>
      <c r="BF47" s="30">
        <f>+BF41*BD47+BG42*BD46+BG43*BD45+BG44*BD44+BG45*BD43+BG46*BD42+BG47</f>
        <v>36.322266162152665</v>
      </c>
      <c r="BG47" s="30">
        <v>1.6256386437529029</v>
      </c>
      <c r="BH47" s="31">
        <f t="shared" si="77"/>
        <v>2.4114102860276359E-2</v>
      </c>
      <c r="BI47" s="16"/>
      <c r="BJ47" s="16"/>
      <c r="BK47" s="27">
        <f t="shared" si="78"/>
        <v>6</v>
      </c>
      <c r="BL47" s="27">
        <f t="shared" si="66"/>
        <v>2004</v>
      </c>
      <c r="BM47" s="32">
        <v>3.5000000000000003E-2</v>
      </c>
      <c r="BN47" s="30">
        <f t="shared" si="79"/>
        <v>33.697580015672898</v>
      </c>
      <c r="BO47" s="30">
        <v>1.6256386437529029</v>
      </c>
      <c r="BP47" s="31">
        <f t="shared" si="80"/>
        <v>1.3817300188713263E-2</v>
      </c>
      <c r="BQ47" s="31">
        <v>4.5900000000000003E-2</v>
      </c>
      <c r="BR47" s="30">
        <f t="shared" si="67"/>
        <v>31.831893951968851</v>
      </c>
      <c r="BS47" s="30">
        <v>1.6256386437529029</v>
      </c>
      <c r="BT47" s="31">
        <f t="shared" si="81"/>
        <v>5.4329180598251259E-3</v>
      </c>
      <c r="BU47" s="27">
        <f t="shared" si="82"/>
        <v>2004</v>
      </c>
      <c r="BV47" s="35">
        <f t="shared" si="85"/>
        <v>127.17382707195227</v>
      </c>
      <c r="BW47" s="34">
        <v>212</v>
      </c>
      <c r="BX47" s="39">
        <v>81.556417024763178</v>
      </c>
      <c r="BY47" s="39"/>
      <c r="BZ47" s="30">
        <f t="shared" si="87"/>
        <v>25.994275831861263</v>
      </c>
      <c r="CA47" s="31">
        <f t="shared" ref="CA47:CA64" si="89">LN(BZ47/BZ46)</f>
        <v>8.2771174974973521E-2</v>
      </c>
      <c r="CB47" s="30">
        <v>155</v>
      </c>
      <c r="CC47" s="39">
        <v>748.49</v>
      </c>
      <c r="CD47" s="39"/>
      <c r="CE47" s="16">
        <v>18.5</v>
      </c>
      <c r="CF47" s="16"/>
      <c r="CG47" s="30">
        <f t="shared" si="88"/>
        <v>837.83783783783781</v>
      </c>
      <c r="CH47" s="31">
        <f t="shared" ref="CH47:CH63" si="90">LN(CG47/CG46)</f>
        <v>-2.462504730538918E-2</v>
      </c>
      <c r="CI47" s="14">
        <v>2885813.916666667</v>
      </c>
      <c r="CJ47" s="31">
        <f t="shared" ref="CJ47" si="91">LN(CI47/CI46)</f>
        <v>2.8185907088781149E-2</v>
      </c>
      <c r="CK47" s="30"/>
      <c r="CL47" s="31"/>
      <c r="CM47" s="31"/>
      <c r="CN47" s="30"/>
      <c r="CO47" s="30"/>
      <c r="CP47" s="30"/>
      <c r="CQ47" s="30"/>
      <c r="CR47" s="30" t="e">
        <f>+#REF!/CN47</f>
        <v>#REF!</v>
      </c>
      <c r="CS47" s="16"/>
      <c r="CX47" s="3"/>
    </row>
    <row r="48" spans="1:124" x14ac:dyDescent="0.25">
      <c r="A48" s="22"/>
      <c r="B48" s="16"/>
      <c r="C48" s="16"/>
      <c r="D48" s="16"/>
      <c r="E48" s="16"/>
      <c r="F48" s="16"/>
      <c r="G48" s="16"/>
      <c r="H48" s="16"/>
      <c r="I48" s="27">
        <f t="shared" si="68"/>
        <v>2005</v>
      </c>
      <c r="J48" s="27">
        <v>51</v>
      </c>
      <c r="K48" s="27">
        <v>0.75</v>
      </c>
      <c r="L48" s="28">
        <v>0.96174863387978138</v>
      </c>
      <c r="M48" s="29">
        <f t="shared" si="69"/>
        <v>-6.1930783242259389E-3</v>
      </c>
      <c r="N48" s="29">
        <f t="shared" si="83"/>
        <v>6.0361689241403508E-3</v>
      </c>
      <c r="O48" s="29">
        <v>3.1E-2</v>
      </c>
      <c r="P48" s="39">
        <v>84.099881267124459</v>
      </c>
      <c r="Q48" s="38">
        <f t="shared" si="70"/>
        <v>3.0710140975569684E-2</v>
      </c>
      <c r="R48" s="38">
        <f t="shared" si="86"/>
        <v>3.1626725067753242E-2</v>
      </c>
      <c r="S48" s="29"/>
      <c r="T48" s="29"/>
      <c r="U48" s="29"/>
      <c r="V48" s="29"/>
      <c r="W48" s="29"/>
      <c r="X48" s="29"/>
      <c r="Y48" s="29"/>
      <c r="Z48" s="36"/>
      <c r="AA48" s="36"/>
      <c r="AB48" s="30">
        <f>+AB41*L48+AG42*L47+AG43*L46+AG44*L45+AG45*L44+AG46*L43+AG47*L42+AG48</f>
        <v>123.6591149128519</v>
      </c>
      <c r="AC48" s="31">
        <f t="shared" si="71"/>
        <v>3.8283732783182096E-2</v>
      </c>
      <c r="AD48" s="22">
        <f>286.5+100.6+0.762*(43.4+40.5)</f>
        <v>451.03180000000003</v>
      </c>
      <c r="AE48" s="22">
        <f>5.7+43.4+40.5+12.4+7+14.7</f>
        <v>123.7</v>
      </c>
      <c r="AF48" s="39">
        <v>84.099881267124459</v>
      </c>
      <c r="AG48" s="22">
        <f t="shared" si="84"/>
        <v>5.3630491887069187</v>
      </c>
      <c r="AH48" s="22"/>
      <c r="AI48" s="22"/>
      <c r="AJ48" s="37"/>
      <c r="AK48" s="37"/>
      <c r="AL48" s="37"/>
      <c r="AM48" s="37"/>
      <c r="AN48" s="16"/>
      <c r="AO48" s="27">
        <f t="shared" si="72"/>
        <v>7</v>
      </c>
      <c r="AP48" s="27">
        <f t="shared" si="60"/>
        <v>2005</v>
      </c>
      <c r="AQ48" s="27">
        <v>51</v>
      </c>
      <c r="AR48" s="27">
        <v>1</v>
      </c>
      <c r="AS48" s="28">
        <f t="shared" si="61"/>
        <v>1</v>
      </c>
      <c r="AT48" s="29">
        <f t="shared" si="73"/>
        <v>0</v>
      </c>
      <c r="AU48" s="30">
        <f t="shared" si="62"/>
        <v>47.54564146273686</v>
      </c>
      <c r="AV48" s="30">
        <v>1.9456430923477661</v>
      </c>
      <c r="AW48" s="31">
        <f t="shared" si="74"/>
        <v>2.1579734496680446E-2</v>
      </c>
      <c r="AX48" s="30">
        <f t="shared" si="63"/>
        <v>0.93061221164059382</v>
      </c>
      <c r="AY48" s="30"/>
      <c r="AZ48" s="27">
        <f t="shared" si="75"/>
        <v>7</v>
      </c>
      <c r="BA48" s="27">
        <f t="shared" si="64"/>
        <v>2005</v>
      </c>
      <c r="BB48" s="27">
        <v>51</v>
      </c>
      <c r="BC48" s="27">
        <v>0</v>
      </c>
      <c r="BD48" s="28">
        <f t="shared" si="65"/>
        <v>0.86274509803921573</v>
      </c>
      <c r="BE48" s="29">
        <f t="shared" si="76"/>
        <v>-2.2222222222222143E-2</v>
      </c>
      <c r="BF48" s="30">
        <f>+BF41*BD48+BG42*BD47+BG43*BD46+BG44*BD45+BG45*BD44+BG46*BD43+BG47*BD42+BG48</f>
        <v>37.475798065601069</v>
      </c>
      <c r="BG48" s="30">
        <v>1.9456430923477661</v>
      </c>
      <c r="BH48" s="31">
        <f t="shared" si="77"/>
        <v>3.1264393589521218E-2</v>
      </c>
      <c r="BI48" s="16"/>
      <c r="BJ48" s="16"/>
      <c r="BK48" s="27">
        <f t="shared" si="78"/>
        <v>7</v>
      </c>
      <c r="BL48" s="27">
        <f t="shared" si="66"/>
        <v>2005</v>
      </c>
      <c r="BM48" s="32">
        <v>3.5000000000000003E-2</v>
      </c>
      <c r="BN48" s="30">
        <f t="shared" si="79"/>
        <v>34.463807807472108</v>
      </c>
      <c r="BO48" s="30">
        <v>1.9456430923477661</v>
      </c>
      <c r="BP48" s="31">
        <f t="shared" si="80"/>
        <v>2.2483699185508212E-2</v>
      </c>
      <c r="BQ48" s="31">
        <v>4.5900000000000003E-2</v>
      </c>
      <c r="BR48" s="30">
        <f t="shared" si="67"/>
        <v>32.316453111921248</v>
      </c>
      <c r="BS48" s="30">
        <v>1.9456430923477661</v>
      </c>
      <c r="BT48" s="31">
        <f t="shared" si="81"/>
        <v>1.5107743178716222E-2</v>
      </c>
      <c r="BU48" s="27">
        <f t="shared" si="82"/>
        <v>2005</v>
      </c>
      <c r="BV48" s="35">
        <f t="shared" si="85"/>
        <v>120.88364937523527</v>
      </c>
      <c r="BW48" s="34">
        <v>191</v>
      </c>
      <c r="BX48" s="39">
        <v>84.099881267124459</v>
      </c>
      <c r="BY48" s="39"/>
      <c r="BZ48" s="30">
        <f t="shared" si="87"/>
        <v>22.711090327622607</v>
      </c>
      <c r="CA48" s="31">
        <f t="shared" si="89"/>
        <v>-0.13502298760095224</v>
      </c>
      <c r="CB48" s="30">
        <v>168</v>
      </c>
      <c r="CC48" s="39">
        <v>776.33</v>
      </c>
      <c r="CD48" s="39"/>
      <c r="CE48" s="39">
        <v>19.09</v>
      </c>
      <c r="CF48" s="39"/>
      <c r="CG48" s="30">
        <f t="shared" si="88"/>
        <v>880.04190675746463</v>
      </c>
      <c r="CH48" s="31">
        <f t="shared" si="90"/>
        <v>4.9144956830635245E-2</v>
      </c>
      <c r="CI48" s="14">
        <v>2969797.833333333</v>
      </c>
      <c r="CJ48" s="31">
        <f t="shared" ref="CJ48" si="92">LN(CI48/CI47)</f>
        <v>2.8686900579623004E-2</v>
      </c>
      <c r="CK48" s="30"/>
      <c r="CL48" s="31"/>
      <c r="CM48" s="31"/>
      <c r="CN48" s="30"/>
      <c r="CO48" s="30"/>
      <c r="CP48" s="30"/>
      <c r="CQ48" s="30"/>
      <c r="CR48" s="30" t="e">
        <f>+#REF!/CN48</f>
        <v>#REF!</v>
      </c>
      <c r="CS48" s="16"/>
      <c r="CX48" s="3"/>
    </row>
    <row r="49" spans="1:102" x14ac:dyDescent="0.25">
      <c r="A49" s="22"/>
      <c r="B49" s="22"/>
      <c r="C49" s="22"/>
      <c r="D49" s="22"/>
      <c r="E49" s="16"/>
      <c r="F49" s="16"/>
      <c r="G49" s="16"/>
      <c r="H49" s="16"/>
      <c r="I49" s="27">
        <f t="shared" si="68"/>
        <v>2006</v>
      </c>
      <c r="J49" s="27">
        <v>51</v>
      </c>
      <c r="K49" s="27">
        <v>0.75</v>
      </c>
      <c r="L49" s="28">
        <v>0.9555555555555556</v>
      </c>
      <c r="M49" s="29">
        <f t="shared" si="69"/>
        <v>-6.4393939393938464E-3</v>
      </c>
      <c r="N49" s="29">
        <f t="shared" si="83"/>
        <v>6.216908385883309E-3</v>
      </c>
      <c r="O49" s="29">
        <v>3.1E-2</v>
      </c>
      <c r="P49" s="39">
        <v>86.276080644611369</v>
      </c>
      <c r="Q49" s="38">
        <f t="shared" si="70"/>
        <v>2.5547239315890993E-2</v>
      </c>
      <c r="R49" s="38">
        <f t="shared" si="86"/>
        <v>2.9441821642952466E-2</v>
      </c>
      <c r="S49" s="29"/>
      <c r="T49" s="29"/>
      <c r="U49" s="29"/>
      <c r="V49" s="36">
        <v>0.36120000000000002</v>
      </c>
      <c r="W49" s="36">
        <v>0.375</v>
      </c>
      <c r="X49" s="36">
        <f t="shared" ref="X49:X64" si="93">1-(V49*W49)</f>
        <v>0.86454999999999993</v>
      </c>
      <c r="Y49" s="36">
        <f>+(1-V49)</f>
        <v>0.63880000000000003</v>
      </c>
      <c r="Z49" s="36">
        <f>+(AF49*(O49-N49)-R49)*(X49/Y49)</f>
        <v>2.8539707541774728</v>
      </c>
      <c r="AA49" s="38"/>
      <c r="AB49" s="30">
        <f>+AB41*L49+AG42*L48+AG43*L47+AG44*L46+L45*AG45+L44*AG46+L43*AG47+L42*AG48+AG49</f>
        <v>128.38446517200418</v>
      </c>
      <c r="AC49" s="31">
        <f t="shared" si="71"/>
        <v>3.7500689499245184E-2</v>
      </c>
      <c r="AD49" s="22">
        <f>301.5+116.2+0.762*(41.4+32.5)</f>
        <v>474.01179999999999</v>
      </c>
      <c r="AE49" s="22">
        <f>10.9+41.4+32.5+14.5+56.1+136.8</f>
        <v>292.20000000000005</v>
      </c>
      <c r="AF49" s="39">
        <v>86.276080644611369</v>
      </c>
      <c r="AG49" s="22">
        <f t="shared" si="84"/>
        <v>5.4941276476448957</v>
      </c>
      <c r="AH49" s="22">
        <f t="shared" ref="AH49:AH64" si="94">+Z49*AB49</f>
        <v>366.40550889161625</v>
      </c>
      <c r="AI49" s="22">
        <f t="shared" ref="AI49:AI64" si="95">+AH49+BW49+CB49</f>
        <v>742.40550889161625</v>
      </c>
      <c r="AJ49" s="37"/>
      <c r="AK49" s="37">
        <f t="shared" ref="AK49:AK64" si="96">+CB49/AI49</f>
        <v>0.23437326086086768</v>
      </c>
      <c r="AL49" s="37">
        <f t="shared" ref="AL49:AL64" si="97">+BW49/AI49</f>
        <v>0.27208849824077741</v>
      </c>
      <c r="AM49" s="37">
        <f t="shared" ref="AM49:AM64" si="98">+AH49/AI49</f>
        <v>0.49353824089835491</v>
      </c>
      <c r="AN49" s="16"/>
      <c r="AO49" s="27">
        <f t="shared" si="72"/>
        <v>8</v>
      </c>
      <c r="AP49" s="27">
        <f t="shared" si="60"/>
        <v>2006</v>
      </c>
      <c r="AQ49" s="27">
        <v>51</v>
      </c>
      <c r="AR49" s="27">
        <v>1</v>
      </c>
      <c r="AS49" s="28">
        <f t="shared" si="61"/>
        <v>1</v>
      </c>
      <c r="AT49" s="29">
        <f t="shared" si="73"/>
        <v>0</v>
      </c>
      <c r="AU49" s="30">
        <f t="shared" si="62"/>
        <v>48.497174423856151</v>
      </c>
      <c r="AV49" s="30">
        <v>1.9024457903740346</v>
      </c>
      <c r="AW49" s="31">
        <f t="shared" si="74"/>
        <v>1.9815414346904939E-2</v>
      </c>
      <c r="AX49" s="30">
        <f t="shared" si="63"/>
        <v>0.95091282925473719</v>
      </c>
      <c r="AY49" s="30"/>
      <c r="AZ49" s="27">
        <f t="shared" si="75"/>
        <v>8</v>
      </c>
      <c r="BA49" s="27">
        <f t="shared" si="64"/>
        <v>2006</v>
      </c>
      <c r="BB49" s="27">
        <v>51</v>
      </c>
      <c r="BC49" s="27">
        <v>0</v>
      </c>
      <c r="BD49" s="28">
        <f t="shared" si="65"/>
        <v>0.84313725490196079</v>
      </c>
      <c r="BE49" s="29">
        <f t="shared" si="76"/>
        <v>-2.2727272727272773E-2</v>
      </c>
      <c r="BF49" s="30">
        <f>+BF41*BD49+BG42*BD48+BG43*BD47+BG44*BD46+BD45*BG45+BD44*BG46+BD43*BG47+BD42*BG48+BG49</f>
        <v>38.547982802519883</v>
      </c>
      <c r="BG49" s="30">
        <v>1.9024457903740346</v>
      </c>
      <c r="BH49" s="31">
        <f t="shared" si="77"/>
        <v>2.8208432148796574E-2</v>
      </c>
      <c r="BI49" s="16"/>
      <c r="BJ49" s="16"/>
      <c r="BK49" s="27">
        <f t="shared" si="78"/>
        <v>8</v>
      </c>
      <c r="BL49" s="27">
        <f t="shared" si="66"/>
        <v>2006</v>
      </c>
      <c r="BM49" s="32">
        <v>3.5000000000000003E-2</v>
      </c>
      <c r="BN49" s="30">
        <f t="shared" si="79"/>
        <v>35.160020324584615</v>
      </c>
      <c r="BO49" s="30">
        <v>1.9024457903740346</v>
      </c>
      <c r="BP49" s="31">
        <f t="shared" si="80"/>
        <v>1.9999926535227169E-2</v>
      </c>
      <c r="BQ49" s="31">
        <v>4.5900000000000003E-2</v>
      </c>
      <c r="BR49" s="30">
        <f t="shared" si="67"/>
        <v>32.735573704458098</v>
      </c>
      <c r="BS49" s="30">
        <v>1.9024457903740346</v>
      </c>
      <c r="BT49" s="31">
        <f t="shared" si="81"/>
        <v>1.2885882653414078E-2</v>
      </c>
      <c r="BU49" s="27">
        <f t="shared" si="82"/>
        <v>2006</v>
      </c>
      <c r="BV49" s="35">
        <f t="shared" si="85"/>
        <v>123.70582174347507</v>
      </c>
      <c r="BW49" s="34">
        <v>202</v>
      </c>
      <c r="BX49" s="39">
        <v>86.276080644611369</v>
      </c>
      <c r="BY49" s="39"/>
      <c r="BZ49" s="30">
        <f t="shared" si="87"/>
        <v>23.413210068278236</v>
      </c>
      <c r="CA49" s="31">
        <f t="shared" si="89"/>
        <v>3.044703003868381E-2</v>
      </c>
      <c r="CB49" s="30">
        <v>174</v>
      </c>
      <c r="CC49" s="39">
        <v>788.8</v>
      </c>
      <c r="CD49" s="39"/>
      <c r="CE49" s="39">
        <v>19.71</v>
      </c>
      <c r="CF49" s="39"/>
      <c r="CG49" s="30">
        <f t="shared" si="88"/>
        <v>882.80060882800603</v>
      </c>
      <c r="CH49" s="31">
        <f t="shared" si="90"/>
        <v>3.1298363842974172E-3</v>
      </c>
      <c r="CI49" s="14">
        <v>3039468.916666667</v>
      </c>
      <c r="CJ49" s="31">
        <f t="shared" ref="CJ49" si="99">LN(CI49/CI48)</f>
        <v>2.3188920778631276E-2</v>
      </c>
      <c r="CK49" s="30">
        <v>100</v>
      </c>
      <c r="CL49" s="31"/>
      <c r="CM49" s="31">
        <f t="shared" ref="CM49:CM63" si="100">+CJ49-CL49</f>
        <v>2.3188920778631276E-2</v>
      </c>
      <c r="CN49" s="30">
        <f t="shared" ref="CN49:CN64" si="101">+AI49*1000000/CI49</f>
        <v>244.25500942638345</v>
      </c>
      <c r="CO49" s="41">
        <f>+(CB49+BW49)*1000000/CI49</f>
        <v>123.70582174347507</v>
      </c>
      <c r="CP49" s="30"/>
      <c r="CQ49" s="30">
        <v>100</v>
      </c>
      <c r="CR49" s="30" t="e">
        <f>+#REF!/CN49</f>
        <v>#REF!</v>
      </c>
      <c r="CS49" s="31"/>
      <c r="CT49" s="13">
        <f>+CQ49/CN49</f>
        <v>0.40940818464621587</v>
      </c>
      <c r="CV49" s="8"/>
      <c r="CX49" s="3"/>
    </row>
    <row r="50" spans="1:102" x14ac:dyDescent="0.25">
      <c r="A50" s="22"/>
      <c r="B50" s="22"/>
      <c r="C50" s="22"/>
      <c r="D50" s="22"/>
      <c r="E50" s="16"/>
      <c r="F50" s="16"/>
      <c r="G50" s="16"/>
      <c r="H50" s="16"/>
      <c r="I50" s="27">
        <f t="shared" si="68"/>
        <v>2007</v>
      </c>
      <c r="J50" s="27">
        <v>51</v>
      </c>
      <c r="K50" s="27">
        <v>0.75</v>
      </c>
      <c r="L50" s="28">
        <v>0.94915254237288138</v>
      </c>
      <c r="M50" s="29">
        <f t="shared" si="69"/>
        <v>-6.7008277493102323E-3</v>
      </c>
      <c r="N50" s="29">
        <f t="shared" si="83"/>
        <v>6.4012235079362149E-3</v>
      </c>
      <c r="O50" s="29">
        <v>3.1E-2</v>
      </c>
      <c r="P50" s="39">
        <v>89.101033387811185</v>
      </c>
      <c r="Q50" s="38">
        <f t="shared" si="70"/>
        <v>3.2218537989067729E-2</v>
      </c>
      <c r="R50" s="38">
        <f t="shared" si="86"/>
        <v>2.9491972760176136E-2</v>
      </c>
      <c r="S50" s="29"/>
      <c r="T50" s="29"/>
      <c r="U50" s="29"/>
      <c r="V50" s="36">
        <v>0.36120000000000002</v>
      </c>
      <c r="W50" s="36">
        <v>0.375</v>
      </c>
      <c r="X50" s="36">
        <f t="shared" si="93"/>
        <v>0.86454999999999993</v>
      </c>
      <c r="Y50" s="36">
        <f t="shared" ref="Y50:Y64" si="102">+(1-V50)</f>
        <v>0.63880000000000003</v>
      </c>
      <c r="Z50" s="36">
        <f t="shared" ref="Z50:Z64" si="103">+(AF50*(O50-N50)-R50)*(X50/Y50)</f>
        <v>2.9264292522563626</v>
      </c>
      <c r="AA50" s="38">
        <f>LN(Z50/Z49)</f>
        <v>2.5071722899291472E-2</v>
      </c>
      <c r="AB50" s="30">
        <f>+AB41*L50+AG42*L49+AG43*L48+AG44*L47+AG45*L46+AG46*L45+AG47*L44+AG48*L43+AG49*L42+AG50</f>
        <v>132.81942829783492</v>
      </c>
      <c r="AC50" s="31">
        <f t="shared" si="71"/>
        <v>3.3961127586089782E-2</v>
      </c>
      <c r="AD50" s="22">
        <f>292.4+108.7+0.762*(41+47.3)</f>
        <v>468.38459999999998</v>
      </c>
      <c r="AE50" s="22">
        <f>2.5+41+47.3+14.7+9.5+99.4</f>
        <v>214.4</v>
      </c>
      <c r="AF50" s="39">
        <v>89.101033387811185</v>
      </c>
      <c r="AG50" s="22">
        <f t="shared" si="84"/>
        <v>5.2567807823435855</v>
      </c>
      <c r="AH50" s="22">
        <f t="shared" si="94"/>
        <v>388.68666023875062</v>
      </c>
      <c r="AI50" s="22">
        <f t="shared" si="95"/>
        <v>787.68666023875062</v>
      </c>
      <c r="AJ50" s="37">
        <f t="shared" ref="AJ50:AJ63" si="104">LN(AI50/AI49)</f>
        <v>5.9204769661000349E-2</v>
      </c>
      <c r="AK50" s="37">
        <f t="shared" si="96"/>
        <v>0.2424822072549854</v>
      </c>
      <c r="AL50" s="37">
        <f t="shared" si="97"/>
        <v>0.2640643932410312</v>
      </c>
      <c r="AM50" s="37">
        <f t="shared" si="98"/>
        <v>0.49345339950398337</v>
      </c>
      <c r="AN50" s="16"/>
      <c r="AO50" s="27">
        <f t="shared" si="72"/>
        <v>9</v>
      </c>
      <c r="AP50" s="27">
        <f t="shared" si="60"/>
        <v>2007</v>
      </c>
      <c r="AQ50" s="27">
        <v>51</v>
      </c>
      <c r="AR50" s="27">
        <v>1</v>
      </c>
      <c r="AS50" s="28">
        <f t="shared" si="61"/>
        <v>1</v>
      </c>
      <c r="AT50" s="29">
        <f t="shared" si="73"/>
        <v>0</v>
      </c>
      <c r="AU50" s="30">
        <f t="shared" si="62"/>
        <v>49.347348309474839</v>
      </c>
      <c r="AV50" s="30">
        <v>1.8201173740958099</v>
      </c>
      <c r="AW50" s="31">
        <f t="shared" si="74"/>
        <v>1.7378495160690014E-2</v>
      </c>
      <c r="AX50" s="30">
        <f t="shared" si="63"/>
        <v>0.96994348847712308</v>
      </c>
      <c r="AY50" s="30"/>
      <c r="AZ50" s="27">
        <f t="shared" si="75"/>
        <v>9</v>
      </c>
      <c r="BA50" s="27">
        <f t="shared" si="64"/>
        <v>2007</v>
      </c>
      <c r="BB50" s="27">
        <v>51</v>
      </c>
      <c r="BC50" s="27">
        <v>0</v>
      </c>
      <c r="BD50" s="28">
        <f t="shared" si="65"/>
        <v>0.82352941176470584</v>
      </c>
      <c r="BE50" s="29">
        <f t="shared" si="76"/>
        <v>-2.325581395348842E-2</v>
      </c>
      <c r="BF50" s="30">
        <f>+BF41*BD50+BG42*BD49+BG43*BD48+BG44*BD47+BG45*BD46+BG46*BD45+BG47*BD44+BG48*BD43+BG49*BD42+BG50</f>
        <v>39.500536264525707</v>
      </c>
      <c r="BG50" s="30">
        <v>1.8201173740958099</v>
      </c>
      <c r="BH50" s="31">
        <f t="shared" si="77"/>
        <v>2.4410476274663053E-2</v>
      </c>
      <c r="BI50" s="16"/>
      <c r="BJ50" s="16"/>
      <c r="BK50" s="27">
        <f t="shared" si="78"/>
        <v>9</v>
      </c>
      <c r="BL50" s="27">
        <f t="shared" si="66"/>
        <v>2007</v>
      </c>
      <c r="BM50" s="32">
        <v>3.5000000000000003E-2</v>
      </c>
      <c r="BN50" s="30">
        <f t="shared" si="79"/>
        <v>35.749536987319964</v>
      </c>
      <c r="BO50" s="30">
        <v>1.8201173740958099</v>
      </c>
      <c r="BP50" s="31">
        <f t="shared" si="80"/>
        <v>1.6627666775841741E-2</v>
      </c>
      <c r="BQ50" s="31">
        <v>4.5900000000000003E-2</v>
      </c>
      <c r="BR50" s="30">
        <f t="shared" si="67"/>
        <v>33.053128245519282</v>
      </c>
      <c r="BS50" s="30">
        <v>1.8201173740958099</v>
      </c>
      <c r="BT50" s="31">
        <f t="shared" si="81"/>
        <v>9.6538462653668073E-3</v>
      </c>
      <c r="BU50" s="27">
        <f t="shared" si="82"/>
        <v>2007</v>
      </c>
      <c r="BV50" s="35">
        <f t="shared" si="85"/>
        <v>128.61003575697441</v>
      </c>
      <c r="BW50" s="34">
        <v>208</v>
      </c>
      <c r="BX50" s="39">
        <v>89.101033387811185</v>
      </c>
      <c r="BY50" s="32">
        <f>LN(BX50/BX49)</f>
        <v>3.2218537989067729E-2</v>
      </c>
      <c r="BZ50" s="30">
        <f t="shared" si="87"/>
        <v>23.344285929286865</v>
      </c>
      <c r="CA50" s="31">
        <f t="shared" si="89"/>
        <v>-2.94815568895443E-3</v>
      </c>
      <c r="CB50" s="30">
        <v>191</v>
      </c>
      <c r="CC50" s="39">
        <v>819.19</v>
      </c>
      <c r="CD50" s="39"/>
      <c r="CE50" s="39">
        <v>20.399999999999999</v>
      </c>
      <c r="CF50" s="32">
        <f>LN(CE50/CE49)</f>
        <v>3.4408779685541818E-2</v>
      </c>
      <c r="CG50" s="30">
        <f t="shared" si="88"/>
        <v>936.27450980392166</v>
      </c>
      <c r="CH50" s="31">
        <f t="shared" si="90"/>
        <v>5.8809349146559227E-2</v>
      </c>
      <c r="CI50" s="14">
        <v>3102401.75</v>
      </c>
      <c r="CJ50" s="31">
        <f t="shared" ref="CJ50" si="105">LN(CI50/CI49)</f>
        <v>2.0493767893849751E-2</v>
      </c>
      <c r="CK50" s="30">
        <f t="shared" ref="CK50:CK64" si="106">+CK49*EXP((((AK50+AK49)/2)*CH50)+(((AL50+AL49)/2)*CA50)+(((AM50+AM49)/2)*AC50))</f>
        <v>103.04453869304318</v>
      </c>
      <c r="CL50" s="31">
        <f>LN(CK50/CK49)</f>
        <v>2.9991123272903771E-2</v>
      </c>
      <c r="CM50" s="31">
        <f t="shared" si="100"/>
        <v>-9.4973553790540198E-3</v>
      </c>
      <c r="CN50" s="30">
        <f t="shared" si="101"/>
        <v>253.89576325463025</v>
      </c>
      <c r="CO50" s="41">
        <f t="shared" ref="CO50:CO64" si="107">+(CB50+BW50)*1000000/CI50</f>
        <v>128.61003575697441</v>
      </c>
      <c r="CP50" s="30"/>
      <c r="CQ50" s="30">
        <f t="shared" ref="CQ50:CQ64" si="108">+CQ49*EXP((((AM50+AM49)/2)*AA50)+(((AK50+AK49)/2)*CF50)+(((AL50+AL49)/2)*BY50))</f>
        <v>102.96447388211556</v>
      </c>
      <c r="CR50" s="30" t="e">
        <f>+#REF!/CN50</f>
        <v>#REF!</v>
      </c>
      <c r="CS50" s="31">
        <f>LN(CQ50/CQ49)</f>
        <v>2.9213828979241949E-2</v>
      </c>
      <c r="CT50" s="13">
        <f t="shared" ref="CT50:CT64" si="109">+CQ50/CN50</f>
        <v>0.40553836961372697</v>
      </c>
      <c r="CV50" s="8"/>
      <c r="CX50" s="3"/>
    </row>
    <row r="51" spans="1:102" x14ac:dyDescent="0.25">
      <c r="A51" s="22"/>
      <c r="B51" s="22"/>
      <c r="C51" s="22"/>
      <c r="D51" s="22"/>
      <c r="E51" s="16"/>
      <c r="F51" s="16"/>
      <c r="G51" s="16"/>
      <c r="H51" s="16"/>
      <c r="I51" s="27">
        <f t="shared" si="68"/>
        <v>2008</v>
      </c>
      <c r="J51" s="27">
        <v>51</v>
      </c>
      <c r="K51" s="27">
        <v>0.75</v>
      </c>
      <c r="L51" s="28">
        <v>0.94252873563218387</v>
      </c>
      <c r="M51" s="29">
        <f t="shared" si="69"/>
        <v>-6.978653530377737E-3</v>
      </c>
      <c r="N51" s="29">
        <f t="shared" si="83"/>
        <v>6.5940491217459053E-3</v>
      </c>
      <c r="O51" s="29">
        <v>3.1E-2</v>
      </c>
      <c r="P51" s="39">
        <v>92.652116953891237</v>
      </c>
      <c r="Q51" s="38">
        <f t="shared" si="70"/>
        <v>3.9080868929048967E-2</v>
      </c>
      <c r="R51" s="38">
        <f t="shared" si="86"/>
        <v>3.2282215411335899E-2</v>
      </c>
      <c r="S51" s="29"/>
      <c r="T51" s="29"/>
      <c r="U51" s="29"/>
      <c r="V51" s="36">
        <v>0.33500000000000002</v>
      </c>
      <c r="W51" s="36">
        <v>0.375</v>
      </c>
      <c r="X51" s="36">
        <f t="shared" si="93"/>
        <v>0.87437500000000001</v>
      </c>
      <c r="Y51" s="36">
        <f t="shared" si="102"/>
        <v>0.66500000000000004</v>
      </c>
      <c r="Z51" s="36">
        <f t="shared" si="103"/>
        <v>2.9307745665643705</v>
      </c>
      <c r="AA51" s="38">
        <f t="shared" ref="AA51:AA64" si="110">LN(Z51/Z50)</f>
        <v>1.4837506904694954E-3</v>
      </c>
      <c r="AB51" s="30">
        <f>+AB41*L51+AG42*L50+AG43*L49+AG44*L48+AG45*L47+AG46*L46+AG47*L45+AG48*L44+AG49*L43+AG50*L42+AG51</f>
        <v>137.22863595543464</v>
      </c>
      <c r="AC51" s="31">
        <f t="shared" si="71"/>
        <v>3.2657886624428971E-2</v>
      </c>
      <c r="AD51" s="22">
        <f>283.3+151.2+0.762*(39.4+33)</f>
        <v>489.66880000000003</v>
      </c>
      <c r="AE51" s="22">
        <f>6.5+39.4+33+14.7+5.7+180.3</f>
        <v>279.60000000000002</v>
      </c>
      <c r="AF51" s="39">
        <v>92.652116953891237</v>
      </c>
      <c r="AG51" s="22">
        <f t="shared" si="84"/>
        <v>5.2850254921178541</v>
      </c>
      <c r="AH51" s="22">
        <f t="shared" si="94"/>
        <v>402.18619606250877</v>
      </c>
      <c r="AI51" s="22">
        <f t="shared" si="95"/>
        <v>804.18619606250877</v>
      </c>
      <c r="AJ51" s="37">
        <f t="shared" si="104"/>
        <v>2.0730458021740804E-2</v>
      </c>
      <c r="AK51" s="37">
        <f t="shared" si="96"/>
        <v>0.24372465103189245</v>
      </c>
      <c r="AL51" s="37">
        <f t="shared" si="97"/>
        <v>0.25615958220698903</v>
      </c>
      <c r="AM51" s="37">
        <f t="shared" si="98"/>
        <v>0.50011576676111857</v>
      </c>
      <c r="AN51" s="16"/>
      <c r="AO51" s="27">
        <f t="shared" si="72"/>
        <v>10</v>
      </c>
      <c r="AP51" s="27">
        <f t="shared" si="60"/>
        <v>2008</v>
      </c>
      <c r="AQ51" s="27">
        <v>51</v>
      </c>
      <c r="AR51" s="27">
        <v>1</v>
      </c>
      <c r="AS51" s="28">
        <f t="shared" si="61"/>
        <v>1</v>
      </c>
      <c r="AT51" s="29">
        <f t="shared" si="73"/>
        <v>0</v>
      </c>
      <c r="AU51" s="30">
        <f t="shared" si="62"/>
        <v>50.003128191798467</v>
      </c>
      <c r="AV51" s="30">
        <v>1.6427268485131294</v>
      </c>
      <c r="AW51" s="31">
        <f t="shared" si="74"/>
        <v>1.3201535202026644E-2</v>
      </c>
      <c r="AX51" s="30">
        <f t="shared" si="63"/>
        <v>0.98694696618949684</v>
      </c>
      <c r="AY51" s="30"/>
      <c r="AZ51" s="27">
        <f t="shared" si="75"/>
        <v>10</v>
      </c>
      <c r="BA51" s="27">
        <f t="shared" si="64"/>
        <v>2008</v>
      </c>
      <c r="BB51" s="27">
        <v>51</v>
      </c>
      <c r="BC51" s="27">
        <v>0</v>
      </c>
      <c r="BD51" s="28">
        <f t="shared" si="65"/>
        <v>0.80392156862745101</v>
      </c>
      <c r="BE51" s="29">
        <f t="shared" si="76"/>
        <v>-2.3809523809523725E-2</v>
      </c>
      <c r="BF51" s="30">
        <f>+BF41*BD51+BG42*BD50+BG43*BD49+BG44*BD48+BG45*BD47+BG46*BD46+BG47*BD45+BG48*BD44+BG49*BD43+BG50*BD42+BG51</f>
        <v>40.240010624986184</v>
      </c>
      <c r="BG51" s="30">
        <v>1.6427268485131294</v>
      </c>
      <c r="BH51" s="31">
        <f t="shared" si="77"/>
        <v>1.854754169983561E-2</v>
      </c>
      <c r="BI51" s="16"/>
      <c r="BJ51" s="16"/>
      <c r="BK51" s="27">
        <f t="shared" si="78"/>
        <v>10</v>
      </c>
      <c r="BL51" s="27">
        <f t="shared" si="66"/>
        <v>2008</v>
      </c>
      <c r="BM51" s="32">
        <v>3.5000000000000003E-2</v>
      </c>
      <c r="BN51" s="30">
        <f t="shared" si="79"/>
        <v>36.141030041276892</v>
      </c>
      <c r="BO51" s="30">
        <v>1.6427268485131294</v>
      </c>
      <c r="BP51" s="31">
        <f t="shared" si="80"/>
        <v>1.089146852425606E-2</v>
      </c>
      <c r="BQ51" s="31">
        <v>4.5900000000000003E-2</v>
      </c>
      <c r="BR51" s="30">
        <f t="shared" si="67"/>
        <v>33.178716507563074</v>
      </c>
      <c r="BS51" s="30">
        <v>1.6427268485131294</v>
      </c>
      <c r="BT51" s="31">
        <f t="shared" si="81"/>
        <v>3.7923875752403978E-3</v>
      </c>
      <c r="BU51" s="27">
        <f t="shared" si="82"/>
        <v>2008</v>
      </c>
      <c r="BV51" s="35">
        <f t="shared" si="85"/>
        <v>127.10634500962151</v>
      </c>
      <c r="BW51" s="34">
        <v>206</v>
      </c>
      <c r="BX51" s="39">
        <v>92.652116953891237</v>
      </c>
      <c r="BY51" s="32">
        <f t="shared" ref="BY51:BY64" si="111">LN(BX51/BX50)</f>
        <v>3.9080868929048967E-2</v>
      </c>
      <c r="BZ51" s="30">
        <f t="shared" si="87"/>
        <v>22.233706770296124</v>
      </c>
      <c r="CA51" s="31">
        <f t="shared" si="89"/>
        <v>-4.8742779840785809E-2</v>
      </c>
      <c r="CB51" s="16">
        <v>196</v>
      </c>
      <c r="CC51" s="39">
        <v>838.34</v>
      </c>
      <c r="CD51" s="39"/>
      <c r="CE51" s="39">
        <v>21.27</v>
      </c>
      <c r="CF51" s="32">
        <f t="shared" ref="CF51:CF64" si="112">LN(CE51/CE50)</f>
        <v>4.1762728361975185E-2</v>
      </c>
      <c r="CG51" s="30">
        <f t="shared" si="88"/>
        <v>921.48566055477204</v>
      </c>
      <c r="CH51" s="31">
        <f t="shared" si="90"/>
        <v>-1.5921497178087784E-2</v>
      </c>
      <c r="CI51" s="14">
        <v>3162706</v>
      </c>
      <c r="CJ51" s="31">
        <f t="shared" ref="CJ51" si="113">LN(CI51/CI50)</f>
        <v>1.9251420686636329E-2</v>
      </c>
      <c r="CK51" s="30">
        <f t="shared" si="106"/>
        <v>103.01103227306184</v>
      </c>
      <c r="CL51" s="31">
        <f t="shared" ref="CL51" si="114">LN(CK51/CK50)</f>
        <v>-3.2521731996427528E-4</v>
      </c>
      <c r="CM51" s="31">
        <f t="shared" si="100"/>
        <v>1.9576638006600606E-2</v>
      </c>
      <c r="CN51" s="30">
        <f t="shared" si="101"/>
        <v>254.27156240969248</v>
      </c>
      <c r="CO51" s="41">
        <f t="shared" si="107"/>
        <v>127.10634500962151</v>
      </c>
      <c r="CP51" s="30"/>
      <c r="CQ51" s="30">
        <f t="shared" si="108"/>
        <v>105.15539246802882</v>
      </c>
      <c r="CR51" s="30" t="e">
        <f>+#REF!/CN51</f>
        <v>#REF!</v>
      </c>
      <c r="CS51" s="31">
        <f t="shared" ref="CS51:CS64" si="115">LN(CQ51/CQ50)</f>
        <v>2.1055169442535986E-2</v>
      </c>
      <c r="CT51" s="13">
        <f t="shared" si="109"/>
        <v>0.41355545807595367</v>
      </c>
      <c r="CV51" s="8"/>
      <c r="CX51" s="3"/>
    </row>
    <row r="52" spans="1:102" x14ac:dyDescent="0.25">
      <c r="A52" s="22"/>
      <c r="B52" s="16"/>
      <c r="C52" s="16"/>
      <c r="D52" s="16"/>
      <c r="E52" s="16"/>
      <c r="F52" s="16"/>
      <c r="G52" s="16"/>
      <c r="H52" s="16"/>
      <c r="I52" s="27">
        <f t="shared" si="68"/>
        <v>2009</v>
      </c>
      <c r="J52" s="27">
        <v>51</v>
      </c>
      <c r="K52" s="27">
        <v>0.75</v>
      </c>
      <c r="L52" s="28">
        <v>0.93567251461988299</v>
      </c>
      <c r="M52" s="29">
        <f t="shared" si="69"/>
        <v>-7.2742832691484929E-3</v>
      </c>
      <c r="N52" s="29">
        <f t="shared" si="83"/>
        <v>6.7929895317953197E-3</v>
      </c>
      <c r="O52" s="29">
        <v>3.1E-2</v>
      </c>
      <c r="P52" s="39">
        <v>90.50950790088595</v>
      </c>
      <c r="Q52" s="38">
        <f t="shared" si="70"/>
        <v>-2.3396896540224352E-2</v>
      </c>
      <c r="R52" s="38">
        <f t="shared" si="86"/>
        <v>1.5967503459297448E-2</v>
      </c>
      <c r="S52" s="29"/>
      <c r="T52" s="29"/>
      <c r="U52" s="29"/>
      <c r="V52" s="36">
        <v>0.33</v>
      </c>
      <c r="W52" s="36">
        <v>0.375</v>
      </c>
      <c r="X52" s="36">
        <f t="shared" si="93"/>
        <v>0.87624999999999997</v>
      </c>
      <c r="Y52" s="36">
        <f t="shared" si="102"/>
        <v>0.66999999999999993</v>
      </c>
      <c r="Z52" s="36">
        <f t="shared" si="103"/>
        <v>2.8445391200381001</v>
      </c>
      <c r="AA52" s="38">
        <f t="shared" si="110"/>
        <v>-2.9865687298197073E-2</v>
      </c>
      <c r="AB52" s="30">
        <f>+AB41*L52+AG42*L51+AG43*L50+AG44*L49+AG45*L48+AG46*L47+AG47*L46+AG48*L45+AG49*L44+AG50*L43+AG51*L42+AG52</f>
        <v>142.56053654551772</v>
      </c>
      <c r="AC52" s="31">
        <f t="shared" si="71"/>
        <v>3.8118316972632925E-2</v>
      </c>
      <c r="AD52" s="22">
        <f>270.6+159.2+0.762*(158.9+21.1)</f>
        <v>566.96</v>
      </c>
      <c r="AE52" s="22">
        <f>0.1+158.9+21.1+15.8+7.4+60</f>
        <v>263.3</v>
      </c>
      <c r="AF52" s="39">
        <v>90.50950790088595</v>
      </c>
      <c r="AG52" s="22">
        <f t="shared" si="84"/>
        <v>6.2640932775908986</v>
      </c>
      <c r="AH52" s="22">
        <f t="shared" si="94"/>
        <v>405.51902317734636</v>
      </c>
      <c r="AI52" s="22">
        <f t="shared" si="95"/>
        <v>799.5190231773463</v>
      </c>
      <c r="AJ52" s="37">
        <f t="shared" si="104"/>
        <v>-5.8205036754528112E-3</v>
      </c>
      <c r="AK52" s="37">
        <f t="shared" si="96"/>
        <v>0.25015039567812353</v>
      </c>
      <c r="AL52" s="37">
        <f t="shared" si="97"/>
        <v>0.24264588380777982</v>
      </c>
      <c r="AM52" s="37">
        <f t="shared" si="98"/>
        <v>0.50720372051409668</v>
      </c>
      <c r="AN52" s="16"/>
      <c r="AO52" s="27">
        <f t="shared" si="72"/>
        <v>11</v>
      </c>
      <c r="AP52" s="27">
        <f t="shared" si="60"/>
        <v>2009</v>
      </c>
      <c r="AQ52" s="27">
        <v>51</v>
      </c>
      <c r="AR52" s="27">
        <v>1</v>
      </c>
      <c r="AS52" s="28">
        <f t="shared" si="61"/>
        <v>1</v>
      </c>
      <c r="AT52" s="29">
        <f t="shared" si="73"/>
        <v>0</v>
      </c>
      <c r="AU52" s="30">
        <f t="shared" si="62"/>
        <v>51.273450192519128</v>
      </c>
      <c r="AV52" s="30">
        <v>2.2703845645566272</v>
      </c>
      <c r="AW52" s="31">
        <f t="shared" si="74"/>
        <v>2.5087510792697675E-2</v>
      </c>
      <c r="AX52" s="30">
        <f t="shared" si="63"/>
        <v>1.0000625638359693</v>
      </c>
      <c r="AY52" s="30"/>
      <c r="AZ52" s="27">
        <f t="shared" si="75"/>
        <v>11</v>
      </c>
      <c r="BA52" s="27">
        <f t="shared" si="64"/>
        <v>2009</v>
      </c>
      <c r="BB52" s="27">
        <v>51</v>
      </c>
      <c r="BC52" s="27">
        <v>0</v>
      </c>
      <c r="BD52" s="28">
        <f t="shared" si="65"/>
        <v>0.78431372549019607</v>
      </c>
      <c r="BE52" s="29">
        <f t="shared" si="76"/>
        <v>-2.4390243902439074E-2</v>
      </c>
      <c r="BF52" s="30">
        <f>+BF41*BD52+BG42*BD51+BG43*BD50+BG44*BD49+BG45*BD48+BG46*BD47+BG47*BD46+BG48*BD45+BG49*BD44+BG50*BD43+BG51*BD42+BG52</f>
        <v>41.574932371127154</v>
      </c>
      <c r="BG52" s="30">
        <v>2.2703845645566272</v>
      </c>
      <c r="BH52" s="31">
        <f t="shared" si="77"/>
        <v>3.26356085741814E-2</v>
      </c>
      <c r="BI52" s="16"/>
      <c r="BJ52" s="16"/>
      <c r="BK52" s="27">
        <f t="shared" si="78"/>
        <v>11</v>
      </c>
      <c r="BL52" s="27">
        <f t="shared" si="66"/>
        <v>2009</v>
      </c>
      <c r="BM52" s="32">
        <v>3.5000000000000003E-2</v>
      </c>
      <c r="BN52" s="30">
        <f t="shared" si="79"/>
        <v>37.146478554388828</v>
      </c>
      <c r="BO52" s="30">
        <v>2.2703845645566272</v>
      </c>
      <c r="BP52" s="31">
        <f t="shared" si="80"/>
        <v>2.7440190571915643E-2</v>
      </c>
      <c r="BQ52" s="31">
        <v>4.5900000000000003E-2</v>
      </c>
      <c r="BR52" s="30">
        <f t="shared" si="67"/>
        <v>33.926197984422551</v>
      </c>
      <c r="BS52" s="30">
        <v>2.2703845645566272</v>
      </c>
      <c r="BT52" s="31">
        <f t="shared" si="81"/>
        <v>2.2278916528629268E-2</v>
      </c>
      <c r="BU52" s="27">
        <f t="shared" si="82"/>
        <v>2009</v>
      </c>
      <c r="BV52" s="35">
        <f t="shared" si="85"/>
        <v>123.01152507154661</v>
      </c>
      <c r="BW52" s="34">
        <v>194</v>
      </c>
      <c r="BX52" s="39">
        <v>90.50950790088595</v>
      </c>
      <c r="BY52" s="32">
        <f t="shared" si="111"/>
        <v>-2.3396896540224352E-2</v>
      </c>
      <c r="BZ52" s="30">
        <f t="shared" si="87"/>
        <v>21.434212216957711</v>
      </c>
      <c r="CA52" s="31">
        <f t="shared" si="89"/>
        <v>-3.6621113186028537E-2</v>
      </c>
      <c r="CB52" s="30">
        <v>200</v>
      </c>
      <c r="CC52" s="39">
        <v>848.77</v>
      </c>
      <c r="CD52" s="39"/>
      <c r="CE52" s="39">
        <v>21.99</v>
      </c>
      <c r="CF52" s="32">
        <f t="shared" si="112"/>
        <v>3.3290175354523943E-2</v>
      </c>
      <c r="CG52" s="30">
        <f t="shared" si="88"/>
        <v>909.50432014552075</v>
      </c>
      <c r="CH52" s="31">
        <f t="shared" si="90"/>
        <v>-1.308746803700451E-2</v>
      </c>
      <c r="CI52" s="14">
        <v>3202951.916666667</v>
      </c>
      <c r="CJ52" s="31">
        <f t="shared" ref="CJ52" si="116">LN(CI52/CI51)</f>
        <v>1.2644868274243808E-2</v>
      </c>
      <c r="CK52" s="30">
        <f t="shared" si="106"/>
        <v>103.71736558346873</v>
      </c>
      <c r="CL52" s="31">
        <f t="shared" ref="CL52" si="117">LN(CK52/CK51)</f>
        <v>6.8334690959193107E-3</v>
      </c>
      <c r="CM52" s="31">
        <f t="shared" si="100"/>
        <v>5.8113991783244976E-3</v>
      </c>
      <c r="CN52" s="30">
        <f t="shared" si="101"/>
        <v>249.61942732172233</v>
      </c>
      <c r="CO52" s="41">
        <f t="shared" si="107"/>
        <v>123.01152507154661</v>
      </c>
      <c r="CP52" s="30"/>
      <c r="CQ52" s="30">
        <f t="shared" si="108"/>
        <v>103.832848843497</v>
      </c>
      <c r="CR52" s="30" t="e">
        <f>+#REF!/CN52</f>
        <v>#REF!</v>
      </c>
      <c r="CS52" s="31">
        <f t="shared" si="115"/>
        <v>-1.2656800895093823E-2</v>
      </c>
      <c r="CT52" s="13">
        <f t="shared" si="109"/>
        <v>0.41596461444353811</v>
      </c>
      <c r="CV52" s="8"/>
      <c r="CX52" s="3"/>
    </row>
    <row r="53" spans="1:102" x14ac:dyDescent="0.25">
      <c r="A53" s="22"/>
      <c r="B53" s="16"/>
      <c r="C53" s="16"/>
      <c r="D53" s="16"/>
      <c r="E53" s="16"/>
      <c r="F53" s="16"/>
      <c r="G53" s="16"/>
      <c r="H53" s="31"/>
      <c r="I53" s="27">
        <f t="shared" si="68"/>
        <v>2010</v>
      </c>
      <c r="J53" s="27">
        <v>51</v>
      </c>
      <c r="K53" s="27">
        <v>0.75</v>
      </c>
      <c r="L53" s="28">
        <v>0.9285714285714286</v>
      </c>
      <c r="M53" s="29">
        <f t="shared" si="69"/>
        <v>-7.5892857142856249E-3</v>
      </c>
      <c r="N53" s="29">
        <f t="shared" si="83"/>
        <v>6.9852072833852131E-3</v>
      </c>
      <c r="O53" s="29">
        <v>3.1E-2</v>
      </c>
      <c r="P53" s="39">
        <v>93.088917966047077</v>
      </c>
      <c r="Q53" s="38">
        <f t="shared" si="70"/>
        <v>2.8100238669933386E-2</v>
      </c>
      <c r="R53" s="38">
        <f t="shared" si="86"/>
        <v>1.4594737019586001E-2</v>
      </c>
      <c r="S53" s="29"/>
      <c r="T53" s="29"/>
      <c r="U53" s="29"/>
      <c r="V53" s="36">
        <v>0.31</v>
      </c>
      <c r="W53" s="36">
        <v>0.375</v>
      </c>
      <c r="X53" s="36">
        <f t="shared" si="93"/>
        <v>0.88375000000000004</v>
      </c>
      <c r="Y53" s="36">
        <f t="shared" si="102"/>
        <v>0.69</v>
      </c>
      <c r="Z53" s="36">
        <f t="shared" si="103"/>
        <v>2.8445432007777862</v>
      </c>
      <c r="AA53" s="38">
        <f t="shared" si="110"/>
        <v>1.4345862674922088E-6</v>
      </c>
      <c r="AB53" s="30">
        <f>+AB41*L53+AG42*L52+AG43*L51+AG44*L50+AG45*L49+AG46*L48+AG47*L47+AG48*L46+AG49*L45+AG50*L44+AG51*L43+AG52*L42+AG53</f>
        <v>146.60938657908954</v>
      </c>
      <c r="AC53" s="31">
        <f t="shared" si="71"/>
        <v>2.8005088547137312E-2</v>
      </c>
      <c r="AD53" s="22">
        <f>284.6+127.7+0.762*(40+35.2)</f>
        <v>469.60239999999999</v>
      </c>
      <c r="AE53" s="22">
        <f>16.1+40+35.2+17.3+14.1+22.7</f>
        <v>145.4</v>
      </c>
      <c r="AF53" s="39">
        <v>93.088917966047077</v>
      </c>
      <c r="AG53" s="22">
        <f t="shared" si="84"/>
        <v>5.0446649317728784</v>
      </c>
      <c r="AH53" s="22">
        <f t="shared" si="94"/>
        <v>417.03673376375122</v>
      </c>
      <c r="AI53" s="22">
        <f t="shared" si="95"/>
        <v>839.03673376375127</v>
      </c>
      <c r="AJ53" s="37">
        <f t="shared" si="104"/>
        <v>4.8244162468498802E-2</v>
      </c>
      <c r="AK53" s="37">
        <f t="shared" si="96"/>
        <v>0.25267070137562431</v>
      </c>
      <c r="AL53" s="37">
        <f t="shared" si="97"/>
        <v>0.25028701551359012</v>
      </c>
      <c r="AM53" s="37">
        <f t="shared" si="98"/>
        <v>0.49704228311078552</v>
      </c>
      <c r="AN53" s="16"/>
      <c r="AO53" s="27">
        <f t="shared" si="72"/>
        <v>12</v>
      </c>
      <c r="AP53" s="27">
        <f t="shared" si="60"/>
        <v>2010</v>
      </c>
      <c r="AQ53" s="27">
        <v>51</v>
      </c>
      <c r="AR53" s="27">
        <v>1</v>
      </c>
      <c r="AS53" s="28">
        <f t="shared" si="61"/>
        <v>1</v>
      </c>
      <c r="AT53" s="29">
        <f t="shared" si="73"/>
        <v>0</v>
      </c>
      <c r="AU53" s="30">
        <f t="shared" si="62"/>
        <v>51.916875790211165</v>
      </c>
      <c r="AV53" s="30">
        <v>1.6688946015424166</v>
      </c>
      <c r="AW53" s="31">
        <f t="shared" si="74"/>
        <v>1.2470818953414592E-2</v>
      </c>
      <c r="AX53" s="30">
        <f t="shared" si="63"/>
        <v>1.0254690038503826</v>
      </c>
      <c r="AY53" s="30"/>
      <c r="AZ53" s="27">
        <f t="shared" si="75"/>
        <v>12</v>
      </c>
      <c r="BA53" s="27">
        <f t="shared" si="64"/>
        <v>2010</v>
      </c>
      <c r="BB53" s="27">
        <v>51</v>
      </c>
      <c r="BC53" s="27">
        <v>0</v>
      </c>
      <c r="BD53" s="28">
        <f t="shared" si="65"/>
        <v>0.76470588235294112</v>
      </c>
      <c r="BE53" s="29">
        <f t="shared" si="76"/>
        <v>-2.5000000000000053E-2</v>
      </c>
      <c r="BF53" s="30">
        <f>+BF41*BD53+BG42*BD52+BG43*BD51+BG44*BD50+BG45*BD49+BG46*BD48+BG47*BD47+BG48*BD46+BG49*BD45+BG50*BD44+BG51*BD43+BG52*BD42+BG53</f>
        <v>42.263846809850847</v>
      </c>
      <c r="BG53" s="30">
        <v>1.6688946015424166</v>
      </c>
      <c r="BH53" s="31">
        <f t="shared" si="77"/>
        <v>1.6434636848107878E-2</v>
      </c>
      <c r="BI53" s="16"/>
      <c r="BJ53" s="16"/>
      <c r="BK53" s="27">
        <f t="shared" si="78"/>
        <v>12</v>
      </c>
      <c r="BL53" s="27">
        <f t="shared" si="66"/>
        <v>2010</v>
      </c>
      <c r="BM53" s="32">
        <v>3.5000000000000003E-2</v>
      </c>
      <c r="BN53" s="30">
        <f t="shared" si="79"/>
        <v>37.515246406527638</v>
      </c>
      <c r="BO53" s="30">
        <v>1.6688946015424166</v>
      </c>
      <c r="BP53" s="31">
        <f t="shared" si="80"/>
        <v>9.8784444408922031E-3</v>
      </c>
      <c r="BQ53" s="31">
        <v>4.5900000000000003E-2</v>
      </c>
      <c r="BR53" s="30">
        <f t="shared" si="67"/>
        <v>34.037880098479974</v>
      </c>
      <c r="BS53" s="30">
        <v>1.6688946015424166</v>
      </c>
      <c r="BT53" s="31">
        <f t="shared" si="81"/>
        <v>3.2865071588431497E-3</v>
      </c>
      <c r="BU53" s="27">
        <f t="shared" si="82"/>
        <v>2010</v>
      </c>
      <c r="BV53" s="35">
        <f t="shared" si="85"/>
        <v>129.50563372523112</v>
      </c>
      <c r="BW53" s="34">
        <v>210</v>
      </c>
      <c r="BX53" s="39">
        <v>93.088917966047077</v>
      </c>
      <c r="BY53" s="32">
        <f t="shared" si="111"/>
        <v>2.8100238669933386E-2</v>
      </c>
      <c r="BZ53" s="30">
        <f t="shared" si="87"/>
        <v>22.559076266908018</v>
      </c>
      <c r="CA53" s="31">
        <f t="shared" si="89"/>
        <v>5.1149132984207091E-2</v>
      </c>
      <c r="CB53" s="30">
        <v>212</v>
      </c>
      <c r="CC53" s="39">
        <v>881.36</v>
      </c>
      <c r="CD53" s="39"/>
      <c r="CE53" s="39">
        <v>22.44</v>
      </c>
      <c r="CF53" s="32">
        <f t="shared" si="112"/>
        <v>2.0257276087825855E-2</v>
      </c>
      <c r="CG53" s="30">
        <f t="shared" si="88"/>
        <v>944.74153297682699</v>
      </c>
      <c r="CH53" s="31">
        <f t="shared" si="90"/>
        <v>3.8011632036149878E-2</v>
      </c>
      <c r="CI53" s="14">
        <v>3258545.4999999995</v>
      </c>
      <c r="CJ53" s="31">
        <f t="shared" ref="CJ53" si="118">LN(CI53/CI52)</f>
        <v>1.7208071626544436E-2</v>
      </c>
      <c r="CK53" s="30">
        <f t="shared" si="106"/>
        <v>107.54341544432266</v>
      </c>
      <c r="CL53" s="31">
        <f t="shared" ref="CL53" si="119">LN(CK53/CK52)</f>
        <v>3.6225069597761748E-2</v>
      </c>
      <c r="CM53" s="31">
        <f t="shared" si="100"/>
        <v>-1.9016997971217312E-2</v>
      </c>
      <c r="CN53" s="30">
        <f t="shared" si="101"/>
        <v>257.48811356593041</v>
      </c>
      <c r="CO53" s="41">
        <f t="shared" si="107"/>
        <v>129.50563372523112</v>
      </c>
      <c r="CP53" s="30"/>
      <c r="CQ53" s="30">
        <f t="shared" si="108"/>
        <v>105.08838550722108</v>
      </c>
      <c r="CR53" s="30" t="e">
        <f>+#REF!/CN53</f>
        <v>#REF!</v>
      </c>
      <c r="CS53" s="31">
        <f t="shared" si="115"/>
        <v>1.2019379291260042E-2</v>
      </c>
      <c r="CT53" s="13">
        <f t="shared" si="109"/>
        <v>0.408129074588575</v>
      </c>
      <c r="CV53" s="8"/>
      <c r="CX53" s="3"/>
    </row>
    <row r="54" spans="1:102" x14ac:dyDescent="0.25">
      <c r="A54" s="22"/>
      <c r="B54" s="16"/>
      <c r="C54" s="16"/>
      <c r="D54" s="16"/>
      <c r="E54" s="16"/>
      <c r="F54" s="16"/>
      <c r="G54" s="16"/>
      <c r="H54" s="31"/>
      <c r="I54" s="27">
        <f t="shared" si="68"/>
        <v>2011</v>
      </c>
      <c r="J54" s="27">
        <v>51</v>
      </c>
      <c r="K54" s="27">
        <v>0.75</v>
      </c>
      <c r="L54" s="28">
        <v>0.92121212121212126</v>
      </c>
      <c r="M54" s="29">
        <f t="shared" si="69"/>
        <v>-7.9254079254079072E-3</v>
      </c>
      <c r="N54" s="29">
        <f t="shared" si="83"/>
        <v>7.2031118319399838E-3</v>
      </c>
      <c r="O54" s="29">
        <v>3.1E-2</v>
      </c>
      <c r="P54" s="39">
        <v>96.098932548676402</v>
      </c>
      <c r="Q54" s="38">
        <f t="shared" si="70"/>
        <v>3.1823064664740219E-2</v>
      </c>
      <c r="R54" s="38">
        <f t="shared" si="86"/>
        <v>1.2175468931483085E-2</v>
      </c>
      <c r="S54" s="29"/>
      <c r="T54" s="29"/>
      <c r="U54" s="29"/>
      <c r="V54" s="36">
        <v>0.28249999999999997</v>
      </c>
      <c r="W54" s="36">
        <v>0.375</v>
      </c>
      <c r="X54" s="36">
        <f t="shared" si="93"/>
        <v>0.89406249999999998</v>
      </c>
      <c r="Y54" s="36">
        <f t="shared" si="102"/>
        <v>0.71750000000000003</v>
      </c>
      <c r="Z54" s="36">
        <f t="shared" si="103"/>
        <v>2.8344336736062852</v>
      </c>
      <c r="AA54" s="38">
        <f t="shared" si="110"/>
        <v>-3.5603377418682971E-3</v>
      </c>
      <c r="AB54" s="30">
        <f>+AB41*L54+AG42*L53+AG43*L52+AG44*L51+AG45*L50+AG46*L49+AG47*L48+AG48*L47+AG49*L46+AG50*L45+AG51*L44+AG52*L43+AG53*L42+AG54</f>
        <v>150.6206748128462</v>
      </c>
      <c r="AC54" s="31">
        <f t="shared" si="71"/>
        <v>2.6992772987613205E-2</v>
      </c>
      <c r="AD54" s="22">
        <f>287.3+135.2+0.762*(44.8+39.8)</f>
        <v>486.96519999999998</v>
      </c>
      <c r="AE54" s="22">
        <f>21+44.8+39.8+17.9+34.5+72.2</f>
        <v>230.2</v>
      </c>
      <c r="AF54" s="39">
        <v>96.098932548676402</v>
      </c>
      <c r="AG54" s="22">
        <f t="shared" si="84"/>
        <v>5.0673320408979619</v>
      </c>
      <c r="AH54" s="22">
        <f t="shared" si="94"/>
        <v>426.92431263083336</v>
      </c>
      <c r="AI54" s="22">
        <f t="shared" si="95"/>
        <v>895.92431263083336</v>
      </c>
      <c r="AJ54" s="37">
        <f t="shared" si="104"/>
        <v>6.5601448594422976E-2</v>
      </c>
      <c r="AK54" s="37">
        <f t="shared" si="96"/>
        <v>0.27122826847554077</v>
      </c>
      <c r="AL54" s="37">
        <f t="shared" si="97"/>
        <v>0.25225345133939181</v>
      </c>
      <c r="AM54" s="37">
        <f t="shared" si="98"/>
        <v>0.47651828018506737</v>
      </c>
      <c r="AN54" s="16"/>
      <c r="AO54" s="27">
        <f t="shared" si="72"/>
        <v>13</v>
      </c>
      <c r="AP54" s="27">
        <f t="shared" si="60"/>
        <v>2011</v>
      </c>
      <c r="AQ54" s="27">
        <v>51</v>
      </c>
      <c r="AR54" s="27">
        <v>1</v>
      </c>
      <c r="AS54" s="28">
        <f t="shared" si="61"/>
        <v>1</v>
      </c>
      <c r="AT54" s="29">
        <f t="shared" si="73"/>
        <v>0</v>
      </c>
      <c r="AU54" s="30">
        <f t="shared" si="62"/>
        <v>52.528755800820868</v>
      </c>
      <c r="AV54" s="30">
        <v>1.6502175264139218</v>
      </c>
      <c r="AW54" s="31">
        <f t="shared" si="74"/>
        <v>1.1716852134758357E-2</v>
      </c>
      <c r="AX54" s="30">
        <f t="shared" si="63"/>
        <v>1.0383375158042234</v>
      </c>
      <c r="AY54" s="30"/>
      <c r="AZ54" s="27">
        <f t="shared" si="75"/>
        <v>13</v>
      </c>
      <c r="BA54" s="27">
        <f t="shared" si="64"/>
        <v>2011</v>
      </c>
      <c r="BB54" s="27">
        <v>51</v>
      </c>
      <c r="BC54" s="27">
        <v>0</v>
      </c>
      <c r="BD54" s="28">
        <f t="shared" si="65"/>
        <v>0.74509803921568629</v>
      </c>
      <c r="BE54" s="29">
        <f t="shared" si="76"/>
        <v>-2.5641025641025553E-2</v>
      </c>
      <c r="BF54" s="30">
        <f>+BF41*BD54+BG42*BD53+BG43*BD52+BG44*BD51+BG45*BD50+BG46*BD49+BG47*BD48+BG48*BD47+BG49*BD46+BG50*BD45+BG51*BD44+BG52*BD43+BG53*BD42+BG54</f>
        <v>42.901360749886379</v>
      </c>
      <c r="BG54" s="30">
        <v>1.6502175264139218</v>
      </c>
      <c r="BH54" s="31">
        <f t="shared" si="77"/>
        <v>1.4971509288351191E-2</v>
      </c>
      <c r="BI54" s="16"/>
      <c r="BJ54" s="16"/>
      <c r="BK54" s="27">
        <f t="shared" si="78"/>
        <v>13</v>
      </c>
      <c r="BL54" s="27">
        <f t="shared" si="66"/>
        <v>2011</v>
      </c>
      <c r="BM54" s="32">
        <v>3.5000000000000003E-2</v>
      </c>
      <c r="BN54" s="30">
        <f t="shared" si="79"/>
        <v>37.852430308713096</v>
      </c>
      <c r="BO54" s="30">
        <v>1.6502175264139218</v>
      </c>
      <c r="BP54" s="31">
        <f t="shared" si="80"/>
        <v>8.9477655814052381E-3</v>
      </c>
      <c r="BQ54" s="31">
        <v>4.5900000000000003E-2</v>
      </c>
      <c r="BR54" s="30">
        <f t="shared" si="67"/>
        <v>34.125758928373656</v>
      </c>
      <c r="BS54" s="30">
        <v>1.6502175264139218</v>
      </c>
      <c r="BT54" s="31">
        <f t="shared" si="81"/>
        <v>2.5784679291423361E-3</v>
      </c>
      <c r="BU54" s="27">
        <f t="shared" si="82"/>
        <v>2011</v>
      </c>
      <c r="BV54" s="35">
        <f t="shared" si="85"/>
        <v>141.68955631909364</v>
      </c>
      <c r="BW54" s="34">
        <v>226</v>
      </c>
      <c r="BX54" s="39">
        <v>96.098932548676402</v>
      </c>
      <c r="BY54" s="32">
        <f t="shared" si="111"/>
        <v>3.1823064664740219E-2</v>
      </c>
      <c r="BZ54" s="30">
        <f t="shared" si="87"/>
        <v>23.517430839882181</v>
      </c>
      <c r="CA54" s="31">
        <f t="shared" si="89"/>
        <v>4.1604403890077017E-2</v>
      </c>
      <c r="CB54" s="30">
        <v>243</v>
      </c>
      <c r="CC54" s="39">
        <v>893.4</v>
      </c>
      <c r="CD54" s="39"/>
      <c r="CE54" s="39">
        <v>22.88</v>
      </c>
      <c r="CF54" s="32">
        <f t="shared" si="112"/>
        <v>1.9418085857101516E-2</v>
      </c>
      <c r="CG54" s="30">
        <f t="shared" si="88"/>
        <v>1062.0629370629372</v>
      </c>
      <c r="CH54" s="31">
        <f t="shared" si="90"/>
        <v>0.11705708281143459</v>
      </c>
      <c r="CI54" s="14">
        <v>3310053.4166666665</v>
      </c>
      <c r="CJ54" s="31">
        <f t="shared" ref="CJ54" si="120">LN(CI54/CI53)</f>
        <v>1.5683397051577855E-2</v>
      </c>
      <c r="CK54" s="30">
        <f t="shared" si="106"/>
        <v>113.53954281574673</v>
      </c>
      <c r="CL54" s="31">
        <f t="shared" ref="CL54" si="121">LN(CK54/CK53)</f>
        <v>5.4256540463745125E-2</v>
      </c>
      <c r="CM54" s="31">
        <f t="shared" si="100"/>
        <v>-3.857314341216727E-2</v>
      </c>
      <c r="CN54" s="30">
        <f t="shared" si="101"/>
        <v>270.66762974872438</v>
      </c>
      <c r="CO54" s="41">
        <f t="shared" si="107"/>
        <v>141.68955631909364</v>
      </c>
      <c r="CP54" s="30"/>
      <c r="CQ54" s="30">
        <f t="shared" si="108"/>
        <v>106.28789542855651</v>
      </c>
      <c r="CR54" s="30" t="e">
        <f>+#REF!/CN54</f>
        <v>#REF!</v>
      </c>
      <c r="CS54" s="31">
        <f t="shared" si="115"/>
        <v>1.1349644266415732E-2</v>
      </c>
      <c r="CT54" s="13">
        <f t="shared" si="109"/>
        <v>0.39268787156864454</v>
      </c>
      <c r="CV54" s="8"/>
      <c r="CX54" s="3"/>
    </row>
    <row r="55" spans="1:102" x14ac:dyDescent="0.25">
      <c r="A55" s="22"/>
      <c r="B55" s="16"/>
      <c r="C55" s="16"/>
      <c r="D55" s="16"/>
      <c r="E55" s="16"/>
      <c r="F55" s="16"/>
      <c r="G55" s="16"/>
      <c r="H55" s="31"/>
      <c r="I55" s="27">
        <f t="shared" si="68"/>
        <v>2012</v>
      </c>
      <c r="J55" s="27">
        <v>51</v>
      </c>
      <c r="K55" s="27">
        <v>0.75</v>
      </c>
      <c r="L55" s="28">
        <v>0.9135802469135802</v>
      </c>
      <c r="M55" s="29">
        <f t="shared" si="69"/>
        <v>-8.2846003898636549E-3</v>
      </c>
      <c r="N55" s="29">
        <f t="shared" si="83"/>
        <v>7.4295514173435117E-3</v>
      </c>
      <c r="O55" s="29">
        <v>3.1E-2</v>
      </c>
      <c r="P55" s="39">
        <v>97.269133401537545</v>
      </c>
      <c r="Q55" s="38">
        <f t="shared" si="70"/>
        <v>1.2103499435244554E-2</v>
      </c>
      <c r="R55" s="38">
        <f t="shared" si="86"/>
        <v>2.4008934256639386E-2</v>
      </c>
      <c r="S55" s="29"/>
      <c r="T55" s="29"/>
      <c r="U55" s="29"/>
      <c r="V55" s="36">
        <v>0.26500000000000001</v>
      </c>
      <c r="W55" s="36">
        <v>0.375</v>
      </c>
      <c r="X55" s="36">
        <f t="shared" si="93"/>
        <v>0.90062500000000001</v>
      </c>
      <c r="Y55" s="36">
        <f t="shared" si="102"/>
        <v>0.73499999999999999</v>
      </c>
      <c r="Z55" s="36">
        <f t="shared" si="103"/>
        <v>2.7798901680894699</v>
      </c>
      <c r="AA55" s="38">
        <f t="shared" si="110"/>
        <v>-1.9430735787575121E-2</v>
      </c>
      <c r="AB55" s="30">
        <f>+AB41*L55+AG42*L54+AG43*L53+AG44*L52+AG45*L51+AG46*L50+AG47*L49+AG48*L48+AG49*L47+AG50*L46+AG51*L45+AG52*L44+AG53*L43+AG54*L42+AG55</f>
        <v>155.60138285729181</v>
      </c>
      <c r="AC55" s="31">
        <f t="shared" si="71"/>
        <v>3.2532910065282375E-2</v>
      </c>
      <c r="AD55" s="22">
        <f>367.5+161.2+0.762*(43.5+41.3)</f>
        <v>593.31760000000008</v>
      </c>
      <c r="AE55" s="22">
        <f>20.1+43.5+41.3+19.2+15.8+17.6</f>
        <v>157.5</v>
      </c>
      <c r="AF55" s="39">
        <v>97.269133401537545</v>
      </c>
      <c r="AG55" s="22">
        <f t="shared" si="84"/>
        <v>6.0997520924826238</v>
      </c>
      <c r="AH55" s="22">
        <f t="shared" si="94"/>
        <v>432.55475434611088</v>
      </c>
      <c r="AI55" s="22">
        <f t="shared" si="95"/>
        <v>920.55475434611094</v>
      </c>
      <c r="AJ55" s="37">
        <f t="shared" si="104"/>
        <v>2.7120545273113909E-2</v>
      </c>
      <c r="AK55" s="37">
        <f t="shared" si="96"/>
        <v>0.26831646768849637</v>
      </c>
      <c r="AL55" s="37">
        <f t="shared" si="97"/>
        <v>0.26179865875679204</v>
      </c>
      <c r="AM55" s="37">
        <f t="shared" si="98"/>
        <v>0.46988487355471154</v>
      </c>
      <c r="AN55" s="16"/>
      <c r="AO55" s="27">
        <f t="shared" si="72"/>
        <v>14</v>
      </c>
      <c r="AP55" s="27">
        <f t="shared" si="60"/>
        <v>2012</v>
      </c>
      <c r="AQ55" s="27">
        <v>51</v>
      </c>
      <c r="AR55" s="27">
        <v>1</v>
      </c>
      <c r="AS55" s="28">
        <f t="shared" si="61"/>
        <v>1</v>
      </c>
      <c r="AT55" s="29">
        <f t="shared" si="73"/>
        <v>0</v>
      </c>
      <c r="AU55" s="30">
        <f t="shared" si="62"/>
        <v>53.475022662212439</v>
      </c>
      <c r="AV55" s="30">
        <v>1.9968419774079924</v>
      </c>
      <c r="AW55" s="31">
        <f t="shared" si="74"/>
        <v>1.7853929571217543E-2</v>
      </c>
      <c r="AX55" s="30">
        <f t="shared" si="63"/>
        <v>1.0505751160164174</v>
      </c>
      <c r="AY55" s="30"/>
      <c r="AZ55" s="27">
        <f t="shared" si="75"/>
        <v>14</v>
      </c>
      <c r="BA55" s="27">
        <f t="shared" si="64"/>
        <v>2012</v>
      </c>
      <c r="BB55" s="27">
        <v>51</v>
      </c>
      <c r="BC55" s="27">
        <v>0</v>
      </c>
      <c r="BD55" s="28">
        <f t="shared" si="65"/>
        <v>0.72549019607843135</v>
      </c>
      <c r="BE55" s="29">
        <f t="shared" si="76"/>
        <v>-2.6315789473684265E-2</v>
      </c>
      <c r="BF55" s="30">
        <f>+BF41*BD55+BG42*BD54+BG43*BD53+BG44*BD52+BG45*BD51+BG46*BD50+BG47*BD49+BG48*BD48+BG49*BD47+BG50*BD46+BG51*BD45+BG52*BD44+BG53*BD43+BG54*BD42+BG55</f>
        <v>43.853141934515719</v>
      </c>
      <c r="BG55" s="30">
        <v>1.9968419774079924</v>
      </c>
      <c r="BH55" s="31">
        <f t="shared" si="77"/>
        <v>2.1942823579187788E-2</v>
      </c>
      <c r="BI55" s="16"/>
      <c r="BJ55" s="16"/>
      <c r="BK55" s="27">
        <f t="shared" si="78"/>
        <v>14</v>
      </c>
      <c r="BL55" s="27">
        <f t="shared" si="66"/>
        <v>2012</v>
      </c>
      <c r="BM55" s="32">
        <v>3.5000000000000003E-2</v>
      </c>
      <c r="BN55" s="30">
        <f t="shared" si="79"/>
        <v>38.524437225316127</v>
      </c>
      <c r="BO55" s="30">
        <v>1.9968419774079924</v>
      </c>
      <c r="BP55" s="31">
        <f t="shared" si="80"/>
        <v>1.7597586289985492E-2</v>
      </c>
      <c r="BQ55" s="31">
        <v>4.5900000000000003E-2</v>
      </c>
      <c r="BR55" s="30">
        <f t="shared" si="67"/>
        <v>34.556228570969296</v>
      </c>
      <c r="BS55" s="30">
        <v>1.9968419774079924</v>
      </c>
      <c r="BT55" s="31">
        <f t="shared" si="81"/>
        <v>1.2535318066527204E-2</v>
      </c>
      <c r="BU55" s="27">
        <f t="shared" si="82"/>
        <v>2012</v>
      </c>
      <c r="BV55" s="35">
        <f t="shared" si="85"/>
        <v>145.11764974829299</v>
      </c>
      <c r="BW55" s="34">
        <v>241</v>
      </c>
      <c r="BX55" s="39">
        <v>97.269133401537545</v>
      </c>
      <c r="BY55" s="32">
        <f t="shared" si="111"/>
        <v>1.2103499435244554E-2</v>
      </c>
      <c r="BZ55" s="30">
        <f t="shared" si="87"/>
        <v>24.776616339854272</v>
      </c>
      <c r="CA55" s="31">
        <f t="shared" si="89"/>
        <v>5.2158434783124784E-2</v>
      </c>
      <c r="CB55" s="30">
        <v>247</v>
      </c>
      <c r="CC55" s="39">
        <v>906.1</v>
      </c>
      <c r="CD55" s="39"/>
      <c r="CE55" s="39">
        <v>23.55</v>
      </c>
      <c r="CF55" s="32">
        <f t="shared" si="112"/>
        <v>2.8862653950829702E-2</v>
      </c>
      <c r="CG55" s="30">
        <f t="shared" si="88"/>
        <v>1048.8322717622079</v>
      </c>
      <c r="CH55" s="31">
        <f t="shared" si="90"/>
        <v>-1.2535760663401129E-2</v>
      </c>
      <c r="CI55" s="14">
        <v>3362788.75</v>
      </c>
      <c r="CJ55" s="31">
        <f t="shared" ref="CJ55" si="122">LN(CI55/CI54)</f>
        <v>1.5806287622462195E-2</v>
      </c>
      <c r="CK55" s="30">
        <f t="shared" si="106"/>
        <v>116.46258589751761</v>
      </c>
      <c r="CL55" s="31">
        <f t="shared" ref="CL55" si="123">LN(CK55/CK54)</f>
        <v>2.5418899232972435E-2</v>
      </c>
      <c r="CM55" s="31">
        <f t="shared" si="100"/>
        <v>-9.6126116105102397E-3</v>
      </c>
      <c r="CN55" s="30">
        <f t="shared" si="101"/>
        <v>273.74742298222299</v>
      </c>
      <c r="CO55" s="41">
        <f t="shared" si="107"/>
        <v>145.11764974829299</v>
      </c>
      <c r="CP55" s="30"/>
      <c r="CQ55" s="30">
        <f t="shared" si="108"/>
        <v>106.46901602467931</v>
      </c>
      <c r="CR55" s="30" t="e">
        <f>+#REF!/CN55</f>
        <v>#REF!</v>
      </c>
      <c r="CS55" s="31">
        <f t="shared" si="115"/>
        <v>1.702606403142235E-3</v>
      </c>
      <c r="CT55" s="13">
        <f t="shared" si="109"/>
        <v>0.38893157372879944</v>
      </c>
      <c r="CV55" s="8"/>
      <c r="CX55" s="3"/>
    </row>
    <row r="56" spans="1:102" x14ac:dyDescent="0.25">
      <c r="A56" s="22"/>
      <c r="B56" s="16"/>
      <c r="C56" s="16"/>
      <c r="D56" s="16"/>
      <c r="E56" s="16"/>
      <c r="F56" s="16"/>
      <c r="G56" s="16"/>
      <c r="H56" s="31"/>
      <c r="I56" s="27">
        <f t="shared" si="68"/>
        <v>2013</v>
      </c>
      <c r="J56" s="27">
        <v>51</v>
      </c>
      <c r="K56" s="27">
        <v>0.75</v>
      </c>
      <c r="L56" s="28">
        <v>0.90566037735849059</v>
      </c>
      <c r="M56" s="29">
        <f t="shared" si="69"/>
        <v>-8.6690464048953843E-3</v>
      </c>
      <c r="N56" s="29">
        <f t="shared" si="83"/>
        <v>7.6478588005546013E-3</v>
      </c>
      <c r="O56" s="29">
        <v>3.1E-2</v>
      </c>
      <c r="P56" s="39">
        <v>98.95789756205258</v>
      </c>
      <c r="Q56" s="38">
        <f t="shared" si="70"/>
        <v>1.7212774891916742E-2</v>
      </c>
      <c r="R56" s="38">
        <f t="shared" si="86"/>
        <v>2.037977966396717E-2</v>
      </c>
      <c r="S56" s="29"/>
      <c r="T56" s="29"/>
      <c r="U56" s="29"/>
      <c r="V56" s="36">
        <v>0.26500000000000001</v>
      </c>
      <c r="W56" s="36">
        <v>0.375</v>
      </c>
      <c r="X56" s="36">
        <f t="shared" si="93"/>
        <v>0.90062500000000001</v>
      </c>
      <c r="Y56" s="36">
        <f t="shared" si="102"/>
        <v>0.73499999999999999</v>
      </c>
      <c r="Z56" s="36">
        <f t="shared" si="103"/>
        <v>2.8066403771298405</v>
      </c>
      <c r="AA56" s="38">
        <f t="shared" si="110"/>
        <v>9.5767536833069964E-3</v>
      </c>
      <c r="AB56" s="30">
        <f>+AB41*L56+AG42*L55+AG43*L54+AG44*L53+AG45*L52+AG46*L51+AG47*L50+AG48*L49+AG49*L48+AG50*L47+AG51*L46+AG52*L45+AG53*L44+AG54*L43+AG55*L42+AG56</f>
        <v>161.0730692295021</v>
      </c>
      <c r="AC56" s="31">
        <f t="shared" si="71"/>
        <v>3.4560609210967277E-2</v>
      </c>
      <c r="AD56" s="22">
        <f>366.3+219.7+0.762*(64.4+31.7)</f>
        <v>659.22820000000002</v>
      </c>
      <c r="AE56" s="22">
        <f>20+69.4+31.7+23.5+7+76.8</f>
        <v>228.40000000000003</v>
      </c>
      <c r="AF56" s="39">
        <v>98.95789756205258</v>
      </c>
      <c r="AG56" s="22">
        <f t="shared" si="84"/>
        <v>6.6617037774738908</v>
      </c>
      <c r="AH56" s="22">
        <f t="shared" si="94"/>
        <v>452.07417976775065</v>
      </c>
      <c r="AI56" s="22">
        <f t="shared" si="95"/>
        <v>966.07417976775059</v>
      </c>
      <c r="AJ56" s="37">
        <f t="shared" si="104"/>
        <v>4.8264139744301965E-2</v>
      </c>
      <c r="AK56" s="37">
        <f t="shared" si="96"/>
        <v>0.27844652681295035</v>
      </c>
      <c r="AL56" s="37">
        <f t="shared" si="97"/>
        <v>0.25360371401179493</v>
      </c>
      <c r="AM56" s="37">
        <f t="shared" si="98"/>
        <v>0.46794975917525472</v>
      </c>
      <c r="AN56" s="16"/>
      <c r="AO56" s="27">
        <f t="shared" si="72"/>
        <v>15</v>
      </c>
      <c r="AP56" s="27">
        <f t="shared" si="60"/>
        <v>2013</v>
      </c>
      <c r="AQ56" s="27">
        <v>51</v>
      </c>
      <c r="AR56" s="27">
        <v>1</v>
      </c>
      <c r="AS56" s="28">
        <f t="shared" si="61"/>
        <v>1</v>
      </c>
      <c r="AT56" s="29">
        <f t="shared" si="73"/>
        <v>0</v>
      </c>
      <c r="AU56" s="30">
        <f t="shared" si="62"/>
        <v>54.463579788707769</v>
      </c>
      <c r="AV56" s="30">
        <v>2.0580575797395775</v>
      </c>
      <c r="AW56" s="31">
        <f t="shared" si="74"/>
        <v>1.8317538766628731E-2</v>
      </c>
      <c r="AX56" s="30">
        <f t="shared" si="63"/>
        <v>1.0695004532442487</v>
      </c>
      <c r="AY56" s="30"/>
      <c r="AZ56" s="27">
        <f t="shared" si="75"/>
        <v>15</v>
      </c>
      <c r="BA56" s="27">
        <f t="shared" si="64"/>
        <v>2013</v>
      </c>
      <c r="BB56" s="27">
        <v>51</v>
      </c>
      <c r="BC56" s="27">
        <v>0</v>
      </c>
      <c r="BD56" s="28">
        <f t="shared" si="65"/>
        <v>0.70588235294117652</v>
      </c>
      <c r="BE56" s="29">
        <f t="shared" si="76"/>
        <v>-2.7027027027026931E-2</v>
      </c>
      <c r="BF56" s="30">
        <f>+BF41*BD56+BG42*BD55+BG43*BD54+BG44*BD53+BG45*BD52+BG46*BD51+BG47*BD50+BG48*BD49+BG49*BD48+BG50*BD47+BG51*BD46+BG52*BD45+BG53*BD44+BG54*BD43+BG55*BD42+BG56</f>
        <v>44.826984957213739</v>
      </c>
      <c r="BG56" s="30">
        <v>2.0580575797395775</v>
      </c>
      <c r="BH56" s="31">
        <f t="shared" si="77"/>
        <v>2.1963932758592337E-2</v>
      </c>
      <c r="BI56" s="16"/>
      <c r="BJ56" s="16"/>
      <c r="BK56" s="27">
        <f t="shared" si="78"/>
        <v>15</v>
      </c>
      <c r="BL56" s="27">
        <f t="shared" si="66"/>
        <v>2013</v>
      </c>
      <c r="BM56" s="32">
        <v>3.5000000000000003E-2</v>
      </c>
      <c r="BN56" s="30">
        <f t="shared" si="79"/>
        <v>39.23413950216964</v>
      </c>
      <c r="BO56" s="30">
        <v>2.0580575797395775</v>
      </c>
      <c r="BP56" s="31">
        <f t="shared" si="80"/>
        <v>1.825450038474849E-2</v>
      </c>
      <c r="BQ56" s="31">
        <v>4.5900000000000003E-2</v>
      </c>
      <c r="BR56" s="30">
        <f t="shared" si="67"/>
        <v>35.028155259301379</v>
      </c>
      <c r="BS56" s="30">
        <v>2.0580575797395775</v>
      </c>
      <c r="BT56" s="31">
        <f t="shared" si="81"/>
        <v>1.3564363100592234E-2</v>
      </c>
      <c r="BU56" s="27">
        <f t="shared" si="82"/>
        <v>2013</v>
      </c>
      <c r="BV56" s="35">
        <f t="shared" si="85"/>
        <v>150.40641554566378</v>
      </c>
      <c r="BW56" s="34">
        <v>245</v>
      </c>
      <c r="BX56" s="39">
        <v>98.95789756205258</v>
      </c>
      <c r="BY56" s="32">
        <f t="shared" si="111"/>
        <v>1.7212774891916742E-2</v>
      </c>
      <c r="BZ56" s="30">
        <f t="shared" si="87"/>
        <v>24.758003760778184</v>
      </c>
      <c r="CA56" s="31">
        <f t="shared" si="89"/>
        <v>-7.5149783784469548E-4</v>
      </c>
      <c r="CB56" s="30">
        <v>269</v>
      </c>
      <c r="CC56" s="39">
        <v>920.09</v>
      </c>
      <c r="CD56" s="39"/>
      <c r="CE56" s="39">
        <v>24.07</v>
      </c>
      <c r="CF56" s="32">
        <f t="shared" si="112"/>
        <v>2.1840431332553822E-2</v>
      </c>
      <c r="CG56" s="30">
        <f t="shared" si="88"/>
        <v>1117.5737432488575</v>
      </c>
      <c r="CH56" s="31">
        <f t="shared" si="90"/>
        <v>6.348261164130807E-2</v>
      </c>
      <c r="CI56" s="14">
        <v>3417407.4166666665</v>
      </c>
      <c r="CJ56" s="31">
        <f t="shared" ref="CJ56" si="124">LN(CI56/CI55)</f>
        <v>1.6111583448596544E-2</v>
      </c>
      <c r="CK56" s="30">
        <f t="shared" si="106"/>
        <v>120.41419781694195</v>
      </c>
      <c r="CL56" s="31">
        <f t="shared" ref="CL56" si="125">LN(CK56/CK55)</f>
        <v>3.3367377658654822E-2</v>
      </c>
      <c r="CM56" s="31">
        <f t="shared" si="100"/>
        <v>-1.7255794210058278E-2</v>
      </c>
      <c r="CN56" s="30">
        <f t="shared" si="101"/>
        <v>282.69212943596222</v>
      </c>
      <c r="CO56" s="41">
        <f t="shared" si="107"/>
        <v>150.40641554566378</v>
      </c>
      <c r="CP56" s="30"/>
      <c r="CQ56" s="30">
        <f t="shared" si="108"/>
        <v>108.06698230907978</v>
      </c>
      <c r="CR56" s="30" t="e">
        <f>+#REF!/CN56</f>
        <v>#REF!</v>
      </c>
      <c r="CS56" s="31">
        <f t="shared" si="115"/>
        <v>1.4897227965572775E-2</v>
      </c>
      <c r="CT56" s="13">
        <f t="shared" si="109"/>
        <v>0.38227800160089004</v>
      </c>
      <c r="CV56" s="8"/>
      <c r="CX56" s="3"/>
    </row>
    <row r="57" spans="1:102" x14ac:dyDescent="0.25">
      <c r="A57" s="22"/>
      <c r="B57" s="16"/>
      <c r="C57" s="16"/>
      <c r="D57" s="16"/>
      <c r="E57" s="16"/>
      <c r="F57" s="16"/>
      <c r="G57" s="16"/>
      <c r="H57" s="31"/>
      <c r="I57" s="27">
        <f t="shared" si="68"/>
        <v>2014</v>
      </c>
      <c r="J57" s="27">
        <v>51</v>
      </c>
      <c r="K57" s="27">
        <v>0.75</v>
      </c>
      <c r="L57" s="28">
        <v>0.89743589743589747</v>
      </c>
      <c r="M57" s="29">
        <f t="shared" si="69"/>
        <v>-9.0811965811965698E-3</v>
      </c>
      <c r="N57" s="29">
        <f t="shared" si="83"/>
        <v>7.8658032650815984E-3</v>
      </c>
      <c r="O57" s="29">
        <v>3.1E-2</v>
      </c>
      <c r="P57" s="39">
        <v>100.88410495879751</v>
      </c>
      <c r="Q57" s="38">
        <f t="shared" si="70"/>
        <v>1.9277899803906682E-2</v>
      </c>
      <c r="R57" s="38">
        <f t="shared" si="86"/>
        <v>1.6198058043689328E-2</v>
      </c>
      <c r="S57" s="29"/>
      <c r="T57" s="29"/>
      <c r="U57" s="29"/>
      <c r="V57" s="36">
        <v>0.26500000000000001</v>
      </c>
      <c r="W57" s="36">
        <v>0.375</v>
      </c>
      <c r="X57" s="36">
        <f t="shared" si="93"/>
        <v>0.90062500000000001</v>
      </c>
      <c r="Y57" s="36">
        <f t="shared" si="102"/>
        <v>0.73499999999999999</v>
      </c>
      <c r="Z57" s="36">
        <f t="shared" si="103"/>
        <v>2.8399397997555069</v>
      </c>
      <c r="AA57" s="38">
        <f t="shared" si="110"/>
        <v>1.1794681955351563E-2</v>
      </c>
      <c r="AB57" s="30">
        <f>+AB41*L57+AG42*L56+AG43*L55+AG44*L54+AG45*L53+AG46*L52+AG47*L51+AG48*L50+AG49*L49+AG50*L48+AG51*L47+AG52*L46+AG53*L45+AG54*L44+AG55*L43+AG56*L42+AG57</f>
        <v>166.76273619148159</v>
      </c>
      <c r="AC57" s="31">
        <f t="shared" si="71"/>
        <v>3.4713952664992151E-2</v>
      </c>
      <c r="AD57" s="22">
        <f>441.5+186.4+0.762*(57.6+39.4)</f>
        <v>701.81399999999996</v>
      </c>
      <c r="AE57" s="22">
        <f>9.8+57.6+39.4+75.6+3.6+145.3</f>
        <v>331.3</v>
      </c>
      <c r="AF57" s="39">
        <v>100.88410495879751</v>
      </c>
      <c r="AG57" s="22">
        <f t="shared" si="84"/>
        <v>6.9566360358416297</v>
      </c>
      <c r="AH57" s="22">
        <f t="shared" si="94"/>
        <v>473.59613162631666</v>
      </c>
      <c r="AI57" s="22">
        <f t="shared" si="95"/>
        <v>978.59613162631672</v>
      </c>
      <c r="AJ57" s="37">
        <f t="shared" si="104"/>
        <v>1.2878403965917025E-2</v>
      </c>
      <c r="AK57" s="37">
        <f t="shared" si="96"/>
        <v>0.28203667588724168</v>
      </c>
      <c r="AL57" s="37">
        <f t="shared" si="97"/>
        <v>0.23400869122528387</v>
      </c>
      <c r="AM57" s="37">
        <f t="shared" si="98"/>
        <v>0.48395463288747437</v>
      </c>
      <c r="AN57" s="16"/>
      <c r="AO57" s="27">
        <f t="shared" si="72"/>
        <v>16</v>
      </c>
      <c r="AP57" s="27">
        <f t="shared" si="60"/>
        <v>2014</v>
      </c>
      <c r="AQ57" s="27">
        <v>51</v>
      </c>
      <c r="AR57" s="27">
        <v>1</v>
      </c>
      <c r="AS57" s="28">
        <f t="shared" si="61"/>
        <v>1</v>
      </c>
      <c r="AT57" s="29">
        <f t="shared" si="73"/>
        <v>0</v>
      </c>
      <c r="AU57" s="30">
        <f t="shared" si="62"/>
        <v>55.701657225342096</v>
      </c>
      <c r="AV57" s="30">
        <v>2.3273490324084869</v>
      </c>
      <c r="AW57" s="31">
        <f t="shared" si="74"/>
        <v>2.2477681663978313E-2</v>
      </c>
      <c r="AX57" s="30">
        <f t="shared" si="63"/>
        <v>1.0892715957741554</v>
      </c>
      <c r="AY57" s="30"/>
      <c r="AZ57" s="27">
        <f t="shared" si="75"/>
        <v>16</v>
      </c>
      <c r="BA57" s="27">
        <f t="shared" si="64"/>
        <v>2014</v>
      </c>
      <c r="BB57" s="27">
        <v>51</v>
      </c>
      <c r="BC57" s="27">
        <v>0</v>
      </c>
      <c r="BD57" s="28">
        <f t="shared" si="65"/>
        <v>0.68627450980392157</v>
      </c>
      <c r="BE57" s="29">
        <f t="shared" si="76"/>
        <v>-2.7777777777777835E-2</v>
      </c>
      <c r="BF57" s="30">
        <f>+BF41*BD57+BG42*BD56+BG43*BD55+BG44*BD54+BG45*BD53+BG46*BD52+BG47*BD51+BG48*BD50+BG49*BD49+BG50*BD48+BG51*BD47+BG52*BD46+BG53*BD45+BG54*BD44+BG55*BD43+BG56*BD42+BG57</f>
        <v>46.029765362389689</v>
      </c>
      <c r="BG57" s="30">
        <v>2.3273490324084869</v>
      </c>
      <c r="BH57" s="31">
        <f t="shared" si="77"/>
        <v>2.6477959442712813E-2</v>
      </c>
      <c r="BI57" s="16"/>
      <c r="BJ57" s="16"/>
      <c r="BK57" s="27">
        <f t="shared" si="78"/>
        <v>16</v>
      </c>
      <c r="BL57" s="27">
        <f t="shared" si="66"/>
        <v>2014</v>
      </c>
      <c r="BM57" s="32">
        <v>3.5000000000000003E-2</v>
      </c>
      <c r="BN57" s="30">
        <f t="shared" si="79"/>
        <v>40.188293652002187</v>
      </c>
      <c r="BO57" s="30">
        <v>2.3273490324084869</v>
      </c>
      <c r="BP57" s="31">
        <f t="shared" si="80"/>
        <v>2.4028477085015043E-2</v>
      </c>
      <c r="BQ57" s="31">
        <v>4.5900000000000003E-2</v>
      </c>
      <c r="BR57" s="30">
        <f t="shared" si="67"/>
        <v>35.747711965307928</v>
      </c>
      <c r="BS57" s="30">
        <v>2.3273490324084869</v>
      </c>
      <c r="BT57" s="31">
        <f t="shared" si="81"/>
        <v>2.0334092037212759E-2</v>
      </c>
      <c r="BU57" s="27">
        <f t="shared" si="82"/>
        <v>2014</v>
      </c>
      <c r="BV57" s="35">
        <f t="shared" si="85"/>
        <v>145.4900811777033</v>
      </c>
      <c r="BW57" s="34">
        <v>229</v>
      </c>
      <c r="BX57" s="39">
        <v>100.88410495879751</v>
      </c>
      <c r="BY57" s="32">
        <f t="shared" si="111"/>
        <v>1.9277899803906682E-2</v>
      </c>
      <c r="BZ57" s="30">
        <f t="shared" si="87"/>
        <v>22.699314237215749</v>
      </c>
      <c r="CA57" s="31">
        <f t="shared" si="89"/>
        <v>-8.6814106794394066E-2</v>
      </c>
      <c r="CB57" s="30">
        <v>276</v>
      </c>
      <c r="CC57" s="39">
        <v>938.5</v>
      </c>
      <c r="CD57" s="39"/>
      <c r="CE57" s="39">
        <v>24.51</v>
      </c>
      <c r="CF57" s="32">
        <f t="shared" si="112"/>
        <v>1.8114945745040592E-2</v>
      </c>
      <c r="CG57" s="30">
        <f t="shared" si="88"/>
        <v>1126.0709914320685</v>
      </c>
      <c r="CH57" s="31">
        <f t="shared" si="90"/>
        <v>7.5745403702703424E-3</v>
      </c>
      <c r="CI57" s="14">
        <v>3471027</v>
      </c>
      <c r="CJ57" s="31">
        <f t="shared" ref="CJ57" si="126">LN(CI57/CI56)</f>
        <v>1.556831729193583E-2</v>
      </c>
      <c r="CK57" s="30">
        <f t="shared" si="106"/>
        <v>120.11102382670121</v>
      </c>
      <c r="CL57" s="31">
        <f t="shared" ref="CL57" si="127">LN(CK57/CK56)</f>
        <v>-2.5209343845741961E-3</v>
      </c>
      <c r="CM57" s="31">
        <f t="shared" si="100"/>
        <v>1.8089251676510026E-2</v>
      </c>
      <c r="CN57" s="30">
        <f t="shared" si="101"/>
        <v>281.93273392178071</v>
      </c>
      <c r="CO57" s="41">
        <f t="shared" si="107"/>
        <v>145.4900811777033</v>
      </c>
      <c r="CP57" s="30"/>
      <c r="CQ57" s="30">
        <f t="shared" si="108"/>
        <v>109.74303408277221</v>
      </c>
      <c r="CR57" s="30" t="e">
        <f>+#REF!/CN57</f>
        <v>#REF!</v>
      </c>
      <c r="CS57" s="31">
        <f t="shared" si="115"/>
        <v>1.5390337727752506E-2</v>
      </c>
      <c r="CT57" s="13">
        <f t="shared" si="109"/>
        <v>0.38925254459178643</v>
      </c>
      <c r="CV57" s="8"/>
      <c r="CX57" s="3"/>
    </row>
    <row r="58" spans="1:102" x14ac:dyDescent="0.25">
      <c r="A58" s="22"/>
      <c r="B58" s="16"/>
      <c r="C58" s="16"/>
      <c r="D58" s="16"/>
      <c r="E58" s="16"/>
      <c r="F58" s="16"/>
      <c r="G58" s="16"/>
      <c r="H58" s="31"/>
      <c r="I58" s="27">
        <f t="shared" si="68"/>
        <v>2015</v>
      </c>
      <c r="J58" s="27">
        <v>51</v>
      </c>
      <c r="K58" s="27">
        <v>0.75</v>
      </c>
      <c r="L58" s="28">
        <v>0.88888888888888884</v>
      </c>
      <c r="M58" s="29">
        <f t="shared" si="69"/>
        <v>-9.5238095238096131E-3</v>
      </c>
      <c r="N58" s="29">
        <f t="shared" si="83"/>
        <v>8.0885557460724528E-3</v>
      </c>
      <c r="O58" s="29">
        <v>3.1E-2</v>
      </c>
      <c r="P58" s="39">
        <v>99.999942665340996</v>
      </c>
      <c r="Q58" s="38">
        <f t="shared" si="70"/>
        <v>-8.8027696902013373E-3</v>
      </c>
      <c r="R58" s="38">
        <f t="shared" si="86"/>
        <v>9.2293016685406955E-3</v>
      </c>
      <c r="S58" s="29"/>
      <c r="T58" s="29"/>
      <c r="U58" s="29"/>
      <c r="V58" s="36">
        <v>0.26500000000000001</v>
      </c>
      <c r="W58" s="36">
        <v>0.375</v>
      </c>
      <c r="X58" s="36">
        <f t="shared" si="93"/>
        <v>0.90062500000000001</v>
      </c>
      <c r="Y58" s="36">
        <f t="shared" si="102"/>
        <v>0.73499999999999999</v>
      </c>
      <c r="Z58" s="36">
        <f t="shared" si="103"/>
        <v>2.7961205785377534</v>
      </c>
      <c r="AA58" s="38">
        <f t="shared" si="110"/>
        <v>-1.5549905866413534E-2</v>
      </c>
      <c r="AB58" s="30">
        <f>+AB41*L58+AG42*L57+AG43*L56+AG44*L55+AG45*L54+AG46*L53+AG47*L52+AG48*L51+AG49*L50+AG50*L49+AG51*L48+AG52*L47+AG53*L46+AG54*L45+AG55*L44+AG56*L43+AG57*L42+AG58</f>
        <v>171.21961383213466</v>
      </c>
      <c r="AC58" s="31">
        <f t="shared" si="71"/>
        <v>2.6374963083438514E-2</v>
      </c>
      <c r="AD58" s="22">
        <f>320.7+198+0.762*(24.5+56.7)</f>
        <v>580.57440000000008</v>
      </c>
      <c r="AE58" s="22">
        <f>18.7+24.5+56.7+26.3+3.8+392.5</f>
        <v>522.5</v>
      </c>
      <c r="AF58" s="39">
        <v>99.999942665340996</v>
      </c>
      <c r="AG58" s="22">
        <f t="shared" si="84"/>
        <v>5.8057473287054346</v>
      </c>
      <c r="AH58" s="22">
        <f t="shared" si="94"/>
        <v>478.75068568531907</v>
      </c>
      <c r="AI58" s="22">
        <f t="shared" si="95"/>
        <v>1002.750685685319</v>
      </c>
      <c r="AJ58" s="37">
        <f t="shared" si="104"/>
        <v>2.4383162574754928E-2</v>
      </c>
      <c r="AK58" s="37">
        <f t="shared" si="96"/>
        <v>0.27324837959371495</v>
      </c>
      <c r="AL58" s="37">
        <f t="shared" si="97"/>
        <v>0.24931421495776912</v>
      </c>
      <c r="AM58" s="37">
        <f t="shared" si="98"/>
        <v>0.47743740544851598</v>
      </c>
      <c r="AN58" s="16"/>
      <c r="AO58" s="27">
        <f t="shared" si="72"/>
        <v>17</v>
      </c>
      <c r="AP58" s="27">
        <f t="shared" si="60"/>
        <v>2015</v>
      </c>
      <c r="AQ58" s="27">
        <v>51</v>
      </c>
      <c r="AR58" s="27">
        <v>1</v>
      </c>
      <c r="AS58" s="28">
        <f t="shared" si="61"/>
        <v>1</v>
      </c>
      <c r="AT58" s="29">
        <f t="shared" si="73"/>
        <v>0</v>
      </c>
      <c r="AU58" s="30">
        <f t="shared" si="62"/>
        <v>56.204170422298667</v>
      </c>
      <c r="AV58" s="30">
        <v>1.6165463414634147</v>
      </c>
      <c r="AW58" s="31">
        <f t="shared" si="74"/>
        <v>8.9810617591486383E-3</v>
      </c>
      <c r="AX58" s="30">
        <f t="shared" si="63"/>
        <v>1.1140331445068419</v>
      </c>
      <c r="AY58" s="30"/>
      <c r="AZ58" s="27">
        <f t="shared" si="75"/>
        <v>17</v>
      </c>
      <c r="BA58" s="27">
        <f t="shared" si="64"/>
        <v>2015</v>
      </c>
      <c r="BB58" s="27">
        <v>51</v>
      </c>
      <c r="BC58" s="27">
        <v>0</v>
      </c>
      <c r="BD58" s="28">
        <f t="shared" si="65"/>
        <v>0.66666666666666663</v>
      </c>
      <c r="BE58" s="29">
        <f t="shared" si="76"/>
        <v>-2.8571428571428633E-2</v>
      </c>
      <c r="BF58" s="30">
        <f>+BF41*BD58+BG42*BD57+BG43*BD56+BG44*BD55+BG45*BD54+BG46*BD53+BG47*BD52+BG48*BD51+BG49*BD50+BG50*BD49+BG51*BD48+BG52*BD47+BG53*BD46+BG54*BD45+BG55*BD44+BG56*BD43+BG57*BD42+BG58</f>
        <v>46.47610878186746</v>
      </c>
      <c r="BG58" s="30">
        <v>1.6165463414634147</v>
      </c>
      <c r="BH58" s="31">
        <f t="shared" si="77"/>
        <v>9.6501305979341135E-3</v>
      </c>
      <c r="BI58" s="16"/>
      <c r="BJ58" s="16"/>
      <c r="BK58" s="27">
        <f t="shared" si="78"/>
        <v>17</v>
      </c>
      <c r="BL58" s="27">
        <f t="shared" si="66"/>
        <v>2015</v>
      </c>
      <c r="BM58" s="32">
        <v>3.5000000000000003E-2</v>
      </c>
      <c r="BN58" s="30">
        <f t="shared" si="79"/>
        <v>40.39824971564552</v>
      </c>
      <c r="BO58" s="30">
        <v>1.6165463414634147</v>
      </c>
      <c r="BP58" s="31">
        <f t="shared" si="80"/>
        <v>5.2107096277107115E-3</v>
      </c>
      <c r="BQ58" s="31">
        <v>4.5900000000000003E-2</v>
      </c>
      <c r="BR58" s="30">
        <f t="shared" si="67"/>
        <v>35.723438327563706</v>
      </c>
      <c r="BS58" s="30">
        <v>1.6165463414634147</v>
      </c>
      <c r="BT58" s="31">
        <f t="shared" si="81"/>
        <v>-6.7925697510267801E-4</v>
      </c>
      <c r="BU58" s="27">
        <f t="shared" si="82"/>
        <v>2015</v>
      </c>
      <c r="BV58" s="35">
        <f t="shared" si="85"/>
        <v>148.79843489035545</v>
      </c>
      <c r="BW58" s="34">
        <v>250</v>
      </c>
      <c r="BX58" s="39">
        <v>99.999942665340996</v>
      </c>
      <c r="BY58" s="32">
        <f t="shared" si="111"/>
        <v>-8.8027696902013373E-3</v>
      </c>
      <c r="BZ58" s="30">
        <f t="shared" si="87"/>
        <v>25.000014333672969</v>
      </c>
      <c r="CA58" s="31">
        <f t="shared" si="89"/>
        <v>9.654168399820795E-2</v>
      </c>
      <c r="CB58" s="30">
        <v>274</v>
      </c>
      <c r="CC58" s="39">
        <v>963.37</v>
      </c>
      <c r="CD58" s="39"/>
      <c r="CE58" s="39">
        <v>25.19</v>
      </c>
      <c r="CF58" s="32">
        <f t="shared" si="112"/>
        <v>2.7365892824497588E-2</v>
      </c>
      <c r="CG58" s="30">
        <f t="shared" si="88"/>
        <v>1087.7332274712187</v>
      </c>
      <c r="CH58" s="31">
        <f t="shared" si="90"/>
        <v>-3.4638652153577337E-2</v>
      </c>
      <c r="CI58" s="14">
        <v>3521542.4166666665</v>
      </c>
      <c r="CJ58" s="31">
        <f t="shared" ref="CJ58" si="128">LN(CI58/CI57)</f>
        <v>1.4448564599833303E-2</v>
      </c>
      <c r="CK58" s="30">
        <f t="shared" si="106"/>
        <v>123.32314359572858</v>
      </c>
      <c r="CL58" s="31">
        <f t="shared" ref="CL58" si="129">LN(CK58/CK57)</f>
        <v>2.6391580457379282E-2</v>
      </c>
      <c r="CM58" s="31">
        <f t="shared" si="100"/>
        <v>-1.1943015857545978E-2</v>
      </c>
      <c r="CN58" s="30">
        <f t="shared" si="101"/>
        <v>284.74758132672946</v>
      </c>
      <c r="CO58" s="41">
        <f t="shared" si="107"/>
        <v>148.79843489035545</v>
      </c>
      <c r="CP58" s="30"/>
      <c r="CQ58" s="30">
        <f t="shared" si="108"/>
        <v>109.5233147697128</v>
      </c>
      <c r="CR58" s="30" t="e">
        <f>+#REF!/CN58</f>
        <v>#REF!</v>
      </c>
      <c r="CS58" s="31">
        <f t="shared" si="115"/>
        <v>-2.0041323053175638E-3</v>
      </c>
      <c r="CT58" s="13">
        <f t="shared" si="109"/>
        <v>0.38463299410449381</v>
      </c>
      <c r="CV58" s="8"/>
      <c r="CX58" s="3"/>
    </row>
    <row r="59" spans="1:102" x14ac:dyDescent="0.25">
      <c r="A59" s="22"/>
      <c r="B59" s="16"/>
      <c r="C59" s="16"/>
      <c r="D59" s="16"/>
      <c r="E59" s="16"/>
      <c r="F59" s="16"/>
      <c r="G59" s="16"/>
      <c r="H59" s="31"/>
      <c r="I59" s="27">
        <f t="shared" si="68"/>
        <v>2016</v>
      </c>
      <c r="J59" s="27">
        <v>51</v>
      </c>
      <c r="K59" s="27">
        <v>0.75</v>
      </c>
      <c r="L59" s="28">
        <v>0.88</v>
      </c>
      <c r="M59" s="29">
        <f t="shared" si="69"/>
        <v>-9.9999999999999395E-3</v>
      </c>
      <c r="N59" s="29">
        <f t="shared" si="83"/>
        <v>8.3448862983404159E-3</v>
      </c>
      <c r="O59" s="29">
        <v>3.1E-2</v>
      </c>
      <c r="P59" s="39">
        <v>100.7501065155333</v>
      </c>
      <c r="Q59" s="38">
        <f t="shared" si="70"/>
        <v>7.4736454110335389E-3</v>
      </c>
      <c r="R59" s="38">
        <f t="shared" si="86"/>
        <v>5.9829251749129618E-3</v>
      </c>
      <c r="S59" s="29"/>
      <c r="T59" s="29"/>
      <c r="U59" s="29"/>
      <c r="V59" s="36">
        <v>0.26500000000000001</v>
      </c>
      <c r="W59" s="36">
        <v>0.375</v>
      </c>
      <c r="X59" s="36">
        <f t="shared" si="93"/>
        <v>0.90062500000000001</v>
      </c>
      <c r="Y59" s="36">
        <f t="shared" si="102"/>
        <v>0.73499999999999999</v>
      </c>
      <c r="Z59" s="36">
        <f t="shared" si="103"/>
        <v>2.7895140141779526</v>
      </c>
      <c r="AA59" s="38">
        <f t="shared" si="110"/>
        <v>-2.3655566188304838E-3</v>
      </c>
      <c r="AB59" s="30">
        <f>+AB41*L59+AG42*L58+AG43*L57+AG44*L56+AG45*L55+AG46*L54+AG47*L53+AG48*L52+AG49*L51+AG50*L50+AG51*L49+AG52*L48+AG53*L47+AG54*L46+AG55*L45+AG56*L44+AG57*L43+AG58*L42+AG59</f>
        <v>185.61638889143947</v>
      </c>
      <c r="AC59" s="31">
        <f t="shared" si="71"/>
        <v>8.0735094748639213E-2</v>
      </c>
      <c r="AD59" s="22">
        <f>1240.1+235+0.762*(131.5+25.1)</f>
        <v>1594.4291999999998</v>
      </c>
      <c r="AE59" s="22">
        <f>40+131.5+25.1+27.8+33.9+551.1</f>
        <v>809.40000000000009</v>
      </c>
      <c r="AF59" s="39">
        <v>100.7501065155333</v>
      </c>
      <c r="AG59" s="22">
        <f t="shared" si="84"/>
        <v>15.825583268779733</v>
      </c>
      <c r="AH59" s="22">
        <f t="shared" si="94"/>
        <v>517.77951807377531</v>
      </c>
      <c r="AI59" s="22">
        <f t="shared" si="95"/>
        <v>1036.7795180737753</v>
      </c>
      <c r="AJ59" s="37">
        <f t="shared" si="104"/>
        <v>3.3372382003819201E-2</v>
      </c>
      <c r="AK59" s="37">
        <f t="shared" si="96"/>
        <v>0.26138633651201831</v>
      </c>
      <c r="AL59" s="37">
        <f t="shared" si="97"/>
        <v>0.2392022562914411</v>
      </c>
      <c r="AM59" s="37">
        <f t="shared" si="98"/>
        <v>0.49941140719654059</v>
      </c>
      <c r="AN59" s="16"/>
      <c r="AO59" s="27">
        <f t="shared" si="72"/>
        <v>18</v>
      </c>
      <c r="AP59" s="27">
        <f t="shared" si="60"/>
        <v>2016</v>
      </c>
      <c r="AQ59" s="27">
        <v>51</v>
      </c>
      <c r="AR59" s="27">
        <v>1</v>
      </c>
      <c r="AS59" s="28">
        <f t="shared" si="61"/>
        <v>1</v>
      </c>
      <c r="AT59" s="29">
        <f t="shared" si="73"/>
        <v>0</v>
      </c>
      <c r="AU59" s="30">
        <f t="shared" si="62"/>
        <v>61.492679058111854</v>
      </c>
      <c r="AV59" s="30">
        <v>6.4125920442591644</v>
      </c>
      <c r="AW59" s="31">
        <f t="shared" si="74"/>
        <v>8.9927167072261685E-2</v>
      </c>
      <c r="AX59" s="30">
        <f t="shared" si="63"/>
        <v>1.1240834084459734</v>
      </c>
      <c r="AY59" s="30"/>
      <c r="AZ59" s="27">
        <f t="shared" si="75"/>
        <v>18</v>
      </c>
      <c r="BA59" s="27">
        <f t="shared" si="64"/>
        <v>2016</v>
      </c>
      <c r="BB59" s="27">
        <v>51</v>
      </c>
      <c r="BC59" s="27">
        <v>0</v>
      </c>
      <c r="BD59" s="28">
        <f t="shared" si="65"/>
        <v>0.6470588235294118</v>
      </c>
      <c r="BE59" s="29">
        <f t="shared" si="76"/>
        <v>-2.9411764705882248E-2</v>
      </c>
      <c r="BF59" s="30">
        <f>+BF41*BD59+BG42*BD58+BG43*BD57+BG44*BD56+BG45*BD55+BG46*BD54+BG47*BD53+BG48*BD52+BG49*BD51+BG50*BD50+BG51*BD49+BG52*BD48+BG53*BD47+BG54*BD46+BG55*BD45+BG56*BD44+BG57*BD43+BG58*BD42+BG59</f>
        <v>51.686800917053489</v>
      </c>
      <c r="BG59" s="30">
        <v>6.4125920442591644</v>
      </c>
      <c r="BH59" s="31">
        <f t="shared" si="77"/>
        <v>0.10626405658754409</v>
      </c>
      <c r="BI59" s="16"/>
      <c r="BJ59" s="16"/>
      <c r="BK59" s="27">
        <f t="shared" si="78"/>
        <v>18</v>
      </c>
      <c r="BL59" s="27">
        <f t="shared" si="66"/>
        <v>2016</v>
      </c>
      <c r="BM59" s="32">
        <v>3.5000000000000003E-2</v>
      </c>
      <c r="BN59" s="30">
        <f t="shared" si="79"/>
        <v>45.396903019857092</v>
      </c>
      <c r="BO59" s="30">
        <v>6.4125920442591644</v>
      </c>
      <c r="BP59" s="31">
        <f t="shared" si="80"/>
        <v>0.11665742714043661</v>
      </c>
      <c r="BQ59" s="31">
        <v>4.5900000000000003E-2</v>
      </c>
      <c r="BR59" s="30">
        <f t="shared" si="67"/>
        <v>40.496324552587694</v>
      </c>
      <c r="BS59" s="30">
        <v>6.4125920442591644</v>
      </c>
      <c r="BT59" s="31">
        <f t="shared" si="81"/>
        <v>0.12540420905998581</v>
      </c>
      <c r="BU59" s="27">
        <f t="shared" si="82"/>
        <v>2016</v>
      </c>
      <c r="BV59" s="35">
        <f t="shared" si="85"/>
        <v>145.31866016195332</v>
      </c>
      <c r="BW59" s="34">
        <v>248</v>
      </c>
      <c r="BX59" s="39">
        <v>100.7501065155333</v>
      </c>
      <c r="BY59" s="32">
        <f t="shared" si="111"/>
        <v>7.4736454110335389E-3</v>
      </c>
      <c r="BZ59" s="30">
        <f t="shared" si="87"/>
        <v>24.61535859138414</v>
      </c>
      <c r="CA59" s="31">
        <f t="shared" si="89"/>
        <v>-1.550581710829781E-2</v>
      </c>
      <c r="CB59" s="30">
        <v>271</v>
      </c>
      <c r="CC59" s="39">
        <v>974.41</v>
      </c>
      <c r="CD59" s="39"/>
      <c r="CE59" s="39">
        <v>25.72</v>
      </c>
      <c r="CF59" s="32">
        <f t="shared" si="112"/>
        <v>2.0821809004899793E-2</v>
      </c>
      <c r="CG59" s="30">
        <f t="shared" si="88"/>
        <v>1053.6547433903577</v>
      </c>
      <c r="CH59" s="31">
        <f t="shared" si="90"/>
        <v>-3.1831094513269098E-2</v>
      </c>
      <c r="CI59" s="14">
        <v>3571461.5</v>
      </c>
      <c r="CJ59" s="31">
        <f t="shared" ref="CJ59" si="130">LN(CI59/CI58)</f>
        <v>1.4075815583039279E-2</v>
      </c>
      <c r="CK59" s="30">
        <f t="shared" si="106"/>
        <v>126.71553055046978</v>
      </c>
      <c r="CL59" s="31">
        <f t="shared" ref="CL59" si="131">LN(CK59/CK58)</f>
        <v>2.7136563103988248E-2</v>
      </c>
      <c r="CM59" s="31">
        <f t="shared" si="100"/>
        <v>-1.3060747520948969E-2</v>
      </c>
      <c r="CN59" s="30">
        <f t="shared" si="101"/>
        <v>290.29558853533081</v>
      </c>
      <c r="CO59" s="41">
        <f t="shared" si="107"/>
        <v>145.31866016195332</v>
      </c>
      <c r="CP59" s="30"/>
      <c r="CQ59" s="30">
        <f t="shared" si="108"/>
        <v>110.20845100799436</v>
      </c>
      <c r="CR59" s="30" t="e">
        <f>+#REF!/CN59</f>
        <v>#REF!</v>
      </c>
      <c r="CS59" s="31">
        <f t="shared" si="115"/>
        <v>6.2361348276795004E-3</v>
      </c>
      <c r="CT59" s="13">
        <f t="shared" si="109"/>
        <v>0.37964218321072174</v>
      </c>
      <c r="CV59" s="8"/>
      <c r="CX59" s="3"/>
    </row>
    <row r="60" spans="1:102" x14ac:dyDescent="0.25">
      <c r="A60" s="16"/>
      <c r="B60" s="16"/>
      <c r="C60" s="16"/>
      <c r="D60" s="16"/>
      <c r="E60" s="16"/>
      <c r="F60" s="16"/>
      <c r="G60" s="16"/>
      <c r="H60" s="31"/>
      <c r="I60" s="27">
        <f t="shared" si="68"/>
        <v>2017</v>
      </c>
      <c r="J60" s="27">
        <v>51</v>
      </c>
      <c r="K60" s="27">
        <v>0.75</v>
      </c>
      <c r="L60" s="28">
        <v>0.87074829931972786</v>
      </c>
      <c r="M60" s="29">
        <f t="shared" si="69"/>
        <v>-1.0513296227581985E-2</v>
      </c>
      <c r="N60" s="29">
        <f t="shared" si="83"/>
        <v>8.4176207541837404E-3</v>
      </c>
      <c r="O60" s="29">
        <v>3.1E-2</v>
      </c>
      <c r="P60" s="39">
        <v>103.33489193933775</v>
      </c>
      <c r="Q60" s="38">
        <f t="shared" si="70"/>
        <v>2.533183392887384E-2</v>
      </c>
      <c r="R60" s="38">
        <f t="shared" si="86"/>
        <v>8.0009032165686816E-3</v>
      </c>
      <c r="S60" s="29"/>
      <c r="T60" s="29"/>
      <c r="U60" s="29"/>
      <c r="V60" s="36">
        <v>0.26500000000000001</v>
      </c>
      <c r="W60" s="36">
        <v>0.375</v>
      </c>
      <c r="X60" s="36">
        <f t="shared" si="93"/>
        <v>0.90062500000000001</v>
      </c>
      <c r="Y60" s="36">
        <f t="shared" si="102"/>
        <v>0.73499999999999999</v>
      </c>
      <c r="Z60" s="36">
        <f t="shared" si="103"/>
        <v>2.8495858517750006</v>
      </c>
      <c r="AA60" s="38">
        <f t="shared" si="110"/>
        <v>2.130627636060322E-2</v>
      </c>
      <c r="AB60" s="30">
        <f>+AB41*L60+AG42*L59+AG43*L58+AG44*L57+AG45*L56+AG46*L55+AG47*L54+AG48*L53+AG49*L52+AG50*L51+AG51*L50+AG52*L49+AG53*L48+AG54*L47+AG55*L46+AG56*L45+AG57*L44+AG58*L43+AG59*L42+AG60</f>
        <v>190.92481430800507</v>
      </c>
      <c r="AC60" s="31">
        <f t="shared" si="71"/>
        <v>2.8197589512173354E-2</v>
      </c>
      <c r="AD60" s="22">
        <f>395.4+230.4+0.762*(46.6+63.9)</f>
        <v>710.00099999999998</v>
      </c>
      <c r="AE60" s="22">
        <f>13.6+46.6+63.9+30.5+237.6+518.2</f>
        <v>910.40000000000009</v>
      </c>
      <c r="AF60" s="39">
        <v>103.33489193933775</v>
      </c>
      <c r="AG60" s="22">
        <f t="shared" si="84"/>
        <v>6.8708737840148189</v>
      </c>
      <c r="AH60" s="22">
        <f t="shared" si="94"/>
        <v>544.05664960486047</v>
      </c>
      <c r="AI60" s="22">
        <f t="shared" si="95"/>
        <v>1045.0566496048605</v>
      </c>
      <c r="AJ60" s="37">
        <f t="shared" si="104"/>
        <v>7.951802619182843E-3</v>
      </c>
      <c r="AK60" s="37">
        <f t="shared" si="96"/>
        <v>0.25740231412499009</v>
      </c>
      <c r="AL60" s="37">
        <f t="shared" si="97"/>
        <v>0.22199753485872753</v>
      </c>
      <c r="AM60" s="37">
        <f t="shared" si="98"/>
        <v>0.52060015101628243</v>
      </c>
      <c r="AN60" s="16"/>
      <c r="AO60" s="27">
        <f t="shared" si="72"/>
        <v>19</v>
      </c>
      <c r="AP60" s="27">
        <f t="shared" si="60"/>
        <v>2017</v>
      </c>
      <c r="AQ60" s="27">
        <v>51</v>
      </c>
      <c r="AR60" s="27">
        <v>1</v>
      </c>
      <c r="AS60" s="28">
        <f t="shared" si="61"/>
        <v>1</v>
      </c>
      <c r="AT60" s="29">
        <f t="shared" si="73"/>
        <v>0</v>
      </c>
      <c r="AU60" s="30">
        <f t="shared" si="62"/>
        <v>62.257035350243598</v>
      </c>
      <c r="AV60" s="30">
        <v>1.9942098732939804</v>
      </c>
      <c r="AW60" s="31">
        <f t="shared" si="74"/>
        <v>1.2353418612210851E-2</v>
      </c>
      <c r="AX60" s="30">
        <f t="shared" si="63"/>
        <v>1.2298535811622371</v>
      </c>
      <c r="AY60" s="30"/>
      <c r="AZ60" s="27">
        <f t="shared" si="75"/>
        <v>19</v>
      </c>
      <c r="BA60" s="27">
        <f t="shared" si="64"/>
        <v>2017</v>
      </c>
      <c r="BB60" s="27">
        <v>51</v>
      </c>
      <c r="BC60" s="27">
        <v>0</v>
      </c>
      <c r="BD60" s="28">
        <f t="shared" si="65"/>
        <v>0.62745098039215685</v>
      </c>
      <c r="BE60" s="29">
        <f t="shared" si="76"/>
        <v>-3.0303030303030366E-2</v>
      </c>
      <c r="BF60" s="30">
        <f>+BF41*BD60+BG42*BD59+BG43*BD58+BG44*BD57+BG45*BD56+BG46*BD55+BG47*BD54+BG48*BD53+BG49*BD52+BG50*BD51+BG51*BD50+BG52*BD49+BG53*BD48+BG54*BD47+BG55*BD46+BG56*BD45+BG57*BD44+BG58*BD43+BG59*BD42+BG60</f>
        <v>52.353373782367257</v>
      </c>
      <c r="BG60" s="30">
        <v>1.9942098732939804</v>
      </c>
      <c r="BH60" s="31">
        <f t="shared" si="77"/>
        <v>1.2813934386056583E-2</v>
      </c>
      <c r="BI60" s="16"/>
      <c r="BJ60" s="16"/>
      <c r="BK60" s="27">
        <f t="shared" si="78"/>
        <v>19</v>
      </c>
      <c r="BL60" s="27">
        <f t="shared" si="66"/>
        <v>2017</v>
      </c>
      <c r="BM60" s="32">
        <v>3.5000000000000003E-2</v>
      </c>
      <c r="BN60" s="30">
        <f t="shared" si="79"/>
        <v>45.802221287456078</v>
      </c>
      <c r="BO60" s="30">
        <v>1.9942098732939804</v>
      </c>
      <c r="BP60" s="31">
        <f t="shared" si="80"/>
        <v>8.8887023713062393E-3</v>
      </c>
      <c r="BQ60" s="31">
        <v>4.5900000000000003E-2</v>
      </c>
      <c r="BR60" s="30">
        <f t="shared" si="67"/>
        <v>40.6317531289179</v>
      </c>
      <c r="BS60" s="30">
        <v>1.9942098732939804</v>
      </c>
      <c r="BT60" s="31">
        <f t="shared" si="81"/>
        <v>3.3386394944108374E-3</v>
      </c>
      <c r="BU60" s="27">
        <f t="shared" si="82"/>
        <v>2017</v>
      </c>
      <c r="BV60" s="35">
        <f t="shared" si="85"/>
        <v>138.2873798067717</v>
      </c>
      <c r="BW60" s="34">
        <v>232</v>
      </c>
      <c r="BX60" s="39">
        <v>103.33489193933775</v>
      </c>
      <c r="BY60" s="32">
        <f t="shared" si="111"/>
        <v>2.533183392887384E-2</v>
      </c>
      <c r="BZ60" s="30">
        <f t="shared" si="87"/>
        <v>22.451274264281853</v>
      </c>
      <c r="CA60" s="31">
        <f t="shared" si="89"/>
        <v>-9.2023208427546063E-2</v>
      </c>
      <c r="CB60" s="30">
        <v>269</v>
      </c>
      <c r="CC60" s="39">
        <v>993.23</v>
      </c>
      <c r="CD60" s="39"/>
      <c r="CE60" s="39">
        <v>26.16</v>
      </c>
      <c r="CF60" s="32">
        <f t="shared" si="112"/>
        <v>1.6962627219579449E-2</v>
      </c>
      <c r="CG60" s="30">
        <f t="shared" si="88"/>
        <v>1028.2874617737002</v>
      </c>
      <c r="CH60" s="31">
        <f t="shared" si="90"/>
        <v>-2.4370068497441204E-2</v>
      </c>
      <c r="CI60" s="14">
        <v>3622890.2499999995</v>
      </c>
      <c r="CJ60" s="31">
        <f t="shared" ref="CJ60" si="132">LN(CI60/CI59)</f>
        <v>1.4297223108513234E-2</v>
      </c>
      <c r="CK60" s="30">
        <f t="shared" si="106"/>
        <v>125.05874551768488</v>
      </c>
      <c r="CL60" s="31">
        <f t="shared" ref="CL60" si="133">LN(CK60/CK59)</f>
        <v>-1.3161066121657135E-2</v>
      </c>
      <c r="CM60" s="31">
        <f t="shared" si="100"/>
        <v>2.7458289230170369E-2</v>
      </c>
      <c r="CN60" s="30">
        <f t="shared" si="101"/>
        <v>288.4593729011969</v>
      </c>
      <c r="CO60" s="41">
        <f t="shared" si="107"/>
        <v>138.2873798067717</v>
      </c>
      <c r="CP60" s="30"/>
      <c r="CQ60" s="30">
        <f t="shared" si="108"/>
        <v>112.55943950462851</v>
      </c>
      <c r="CR60" s="30" t="e">
        <f>+#REF!/CN60</f>
        <v>#REF!</v>
      </c>
      <c r="CS60" s="31">
        <f t="shared" si="115"/>
        <v>2.1107851577121819E-2</v>
      </c>
      <c r="CT60" s="13">
        <f t="shared" si="109"/>
        <v>0.39020898635587886</v>
      </c>
      <c r="CV60" s="8"/>
      <c r="CX60" s="3"/>
    </row>
    <row r="61" spans="1:102" x14ac:dyDescent="0.25">
      <c r="A61" s="16"/>
      <c r="B61" s="16"/>
      <c r="C61" s="16"/>
      <c r="D61" s="16"/>
      <c r="E61" s="16"/>
      <c r="F61" s="16"/>
      <c r="G61" s="16"/>
      <c r="H61" s="31"/>
      <c r="I61" s="27">
        <f t="shared" si="68"/>
        <v>2018</v>
      </c>
      <c r="J61" s="27">
        <v>51</v>
      </c>
      <c r="K61" s="27">
        <v>0.75</v>
      </c>
      <c r="L61" s="28">
        <v>0.86111111111111116</v>
      </c>
      <c r="M61" s="29">
        <f t="shared" si="69"/>
        <v>-1.106770833333324E-2</v>
      </c>
      <c r="N61" s="29">
        <f t="shared" si="83"/>
        <v>8.0470097998481017E-3</v>
      </c>
      <c r="O61" s="29">
        <v>3.1E-2</v>
      </c>
      <c r="P61" s="39">
        <v>105.01038318022376</v>
      </c>
      <c r="Q61" s="38">
        <f t="shared" si="70"/>
        <v>1.6084140717941654E-2</v>
      </c>
      <c r="R61" s="38">
        <f t="shared" si="86"/>
        <v>1.6296540019283014E-2</v>
      </c>
      <c r="S61" s="29"/>
      <c r="T61" s="29"/>
      <c r="U61" s="29"/>
      <c r="V61" s="36">
        <v>0.26500000000000001</v>
      </c>
      <c r="W61" s="36">
        <v>0.375</v>
      </c>
      <c r="X61" s="36">
        <f t="shared" si="93"/>
        <v>0.90062500000000001</v>
      </c>
      <c r="Y61" s="36">
        <f t="shared" si="102"/>
        <v>0.73499999999999999</v>
      </c>
      <c r="Z61" s="36">
        <f t="shared" si="103"/>
        <v>2.9334713388095901</v>
      </c>
      <c r="AA61" s="38">
        <f t="shared" si="110"/>
        <v>2.901281047619091E-2</v>
      </c>
      <c r="AB61" s="30">
        <f>+AB41*L61+AG42*L60+AG43*L59+AG44*L58+AG45*L57+AG46*L56+AG47*L55+AG48*L54+AG49*L53+AG50*L52+AG51*L51+AG52*L50+AG53*L49+AG54*L48+AG55*L47+AG56*L46+AG57*L45+AG58*L44+AG59*L43+AG60*L42+AG60</f>
        <v>196.13851010204718</v>
      </c>
      <c r="AC61" s="31">
        <f t="shared" si="71"/>
        <v>2.6941385658268393E-2</v>
      </c>
      <c r="AD61" s="22">
        <f>328.6+313.4+0.762*(48+39.7)</f>
        <v>708.82740000000001</v>
      </c>
      <c r="AE61" s="22">
        <f>15.5+48+39.7+31.1+24.4+104.4</f>
        <v>263.10000000000002</v>
      </c>
      <c r="AF61" s="39">
        <v>105.01038318022376</v>
      </c>
      <c r="AG61" s="22">
        <f t="shared" si="84"/>
        <v>6.7500696458128058</v>
      </c>
      <c r="AH61" s="22">
        <f t="shared" si="94"/>
        <v>575.36669782117065</v>
      </c>
      <c r="AI61" s="22">
        <f t="shared" si="95"/>
        <v>1098.3666978211706</v>
      </c>
      <c r="AJ61" s="37">
        <f t="shared" si="104"/>
        <v>4.9753162108239497E-2</v>
      </c>
      <c r="AK61" s="37">
        <f t="shared" si="96"/>
        <v>0.26038662731430046</v>
      </c>
      <c r="AL61" s="37">
        <f t="shared" si="97"/>
        <v>0.21577493242478743</v>
      </c>
      <c r="AM61" s="37">
        <f t="shared" si="98"/>
        <v>0.5238384402609122</v>
      </c>
      <c r="AN61" s="16"/>
      <c r="AO61" s="27">
        <f t="shared" si="72"/>
        <v>20</v>
      </c>
      <c r="AP61" s="27">
        <f t="shared" si="60"/>
        <v>2018</v>
      </c>
      <c r="AQ61" s="27">
        <v>51</v>
      </c>
      <c r="AR61" s="27">
        <v>1</v>
      </c>
      <c r="AS61" s="28">
        <f t="shared" si="61"/>
        <v>1</v>
      </c>
      <c r="AT61" s="29">
        <f t="shared" si="73"/>
        <v>0</v>
      </c>
      <c r="AU61" s="30">
        <f t="shared" si="62"/>
        <v>62.609349574309775</v>
      </c>
      <c r="AV61" s="30">
        <v>1.59745493107105</v>
      </c>
      <c r="AW61" s="31">
        <f t="shared" si="74"/>
        <v>5.6430745426255162E-3</v>
      </c>
      <c r="AX61" s="30">
        <f t="shared" si="63"/>
        <v>1.2451407070048719</v>
      </c>
      <c r="AY61" s="30"/>
      <c r="AZ61" s="27">
        <f t="shared" si="75"/>
        <v>20</v>
      </c>
      <c r="BA61" s="27">
        <f t="shared" si="64"/>
        <v>2018</v>
      </c>
      <c r="BB61" s="27">
        <v>51</v>
      </c>
      <c r="BC61" s="27">
        <v>0</v>
      </c>
      <c r="BD61" s="28">
        <f t="shared" si="65"/>
        <v>0.60784313725490191</v>
      </c>
      <c r="BE61" s="29">
        <f t="shared" si="76"/>
        <v>-3.1250000000000069E-2</v>
      </c>
      <c r="BF61" s="30">
        <f>+BF41*BD61+BG42*BD60+BG43*BD59+BG44*BD58+BG45*BD57+BG46*BD56+BG47*BD55+BG48*BD54+BG49*BD53+BG50*BD52+BG51*BD51+BG52*BD50+BG53*BD49+BG54*BD48+BG55*BD47+BG56*BD46+BG57*BD45+BG58*BD44+BG59*BD43+BG60*BD42+BG60</f>
        <v>52.98084449330274</v>
      </c>
      <c r="BG61" s="30">
        <v>1.59745493107105</v>
      </c>
      <c r="BH61" s="31">
        <f t="shared" si="77"/>
        <v>1.1914041673295168E-2</v>
      </c>
      <c r="BI61" s="16"/>
      <c r="BJ61" s="16"/>
      <c r="BK61" s="27">
        <f t="shared" si="78"/>
        <v>20</v>
      </c>
      <c r="BL61" s="27">
        <f t="shared" si="66"/>
        <v>2018</v>
      </c>
      <c r="BM61" s="32">
        <v>3.5000000000000003E-2</v>
      </c>
      <c r="BN61" s="30">
        <f t="shared" si="79"/>
        <v>45.796598473466162</v>
      </c>
      <c r="BO61" s="30">
        <v>1.59745493107105</v>
      </c>
      <c r="BP61" s="31">
        <f t="shared" si="80"/>
        <v>-1.2277044642396563E-4</v>
      </c>
      <c r="BQ61" s="31">
        <v>4.5900000000000003E-2</v>
      </c>
      <c r="BR61" s="30">
        <f t="shared" si="67"/>
        <v>40.364210591371616</v>
      </c>
      <c r="BS61" s="30">
        <v>1.59745493107105</v>
      </c>
      <c r="BT61" s="31">
        <f t="shared" si="81"/>
        <v>-6.6063418052827848E-3</v>
      </c>
      <c r="BU61" s="27">
        <f t="shared" si="82"/>
        <v>2018</v>
      </c>
      <c r="BV61" s="35">
        <f t="shared" si="85"/>
        <v>142.44746534754321</v>
      </c>
      <c r="BW61" s="34">
        <v>237</v>
      </c>
      <c r="BX61" s="39">
        <v>105.01038318022376</v>
      </c>
      <c r="BY61" s="32">
        <f t="shared" si="111"/>
        <v>1.6084140717941654E-2</v>
      </c>
      <c r="BZ61" s="30">
        <f t="shared" si="87"/>
        <v>22.569196761547804</v>
      </c>
      <c r="CA61" s="31">
        <f t="shared" si="89"/>
        <v>5.2386287508795048E-3</v>
      </c>
      <c r="CB61" s="30">
        <v>286</v>
      </c>
      <c r="CC61" s="39">
        <v>1022</v>
      </c>
      <c r="CD61" s="39"/>
      <c r="CE61" s="39">
        <v>26.92</v>
      </c>
      <c r="CF61" s="32">
        <f t="shared" si="112"/>
        <v>2.8637978187529115E-2</v>
      </c>
      <c r="CG61" s="30">
        <f t="shared" si="88"/>
        <v>1062.4071322436848</v>
      </c>
      <c r="CH61" s="31">
        <f t="shared" si="90"/>
        <v>3.2642453030484304E-2</v>
      </c>
      <c r="CI61" s="14">
        <v>3671529</v>
      </c>
      <c r="CJ61" s="31">
        <f t="shared" ref="CJ61" si="134">LN(CI61/CI60)</f>
        <v>1.3336077678450848E-2</v>
      </c>
      <c r="CK61" s="30">
        <f t="shared" si="106"/>
        <v>128.05380367401636</v>
      </c>
      <c r="CL61" s="31">
        <f t="shared" ref="CL61" si="135">LN(CK61/CK60)</f>
        <v>2.3666925759034244E-2</v>
      </c>
      <c r="CM61" s="31">
        <f t="shared" si="100"/>
        <v>-1.0330848080583396E-2</v>
      </c>
      <c r="CN61" s="30">
        <f t="shared" si="101"/>
        <v>299.15784345463987</v>
      </c>
      <c r="CO61" s="41">
        <f t="shared" si="107"/>
        <v>142.44746534754321</v>
      </c>
      <c r="CP61" s="30"/>
      <c r="CQ61" s="30">
        <f t="shared" si="108"/>
        <v>115.53428132228582</v>
      </c>
      <c r="CR61" s="30" t="e">
        <f>+#REF!/CN61</f>
        <v>#REF!</v>
      </c>
      <c r="CS61" s="31">
        <f t="shared" si="115"/>
        <v>2.6085860639827898E-2</v>
      </c>
      <c r="CT61" s="13">
        <f t="shared" si="109"/>
        <v>0.38619840278332473</v>
      </c>
      <c r="CV61" s="8"/>
      <c r="CX61" s="3"/>
    </row>
    <row r="62" spans="1:102" x14ac:dyDescent="0.25">
      <c r="A62" s="16"/>
      <c r="B62" s="16"/>
      <c r="C62" s="16"/>
      <c r="D62" s="16"/>
      <c r="E62" s="16"/>
      <c r="F62" s="16"/>
      <c r="G62" s="16"/>
      <c r="H62" s="31"/>
      <c r="I62" s="27">
        <f t="shared" si="68"/>
        <v>2019</v>
      </c>
      <c r="J62" s="27">
        <v>51</v>
      </c>
      <c r="K62" s="27">
        <v>0.75</v>
      </c>
      <c r="L62" s="28">
        <v>0.85106382978723405</v>
      </c>
      <c r="M62" s="29">
        <f t="shared" si="69"/>
        <v>-1.166781056966374E-2</v>
      </c>
      <c r="N62" s="29">
        <f t="shared" si="83"/>
        <v>1.6029015359839315E-2</v>
      </c>
      <c r="O62" s="29">
        <v>3.1E-2</v>
      </c>
      <c r="P62" s="39">
        <v>106.55501033346825</v>
      </c>
      <c r="Q62" s="38">
        <f t="shared" si="70"/>
        <v>1.460214804788677E-2</v>
      </c>
      <c r="R62" s="38">
        <f t="shared" si="86"/>
        <v>1.8672707564900755E-2</v>
      </c>
      <c r="S62" s="29"/>
      <c r="T62" s="29"/>
      <c r="U62" s="29"/>
      <c r="V62" s="36">
        <v>0.26500000000000001</v>
      </c>
      <c r="W62" s="36">
        <v>0.375</v>
      </c>
      <c r="X62" s="36">
        <f t="shared" si="93"/>
        <v>0.90062500000000001</v>
      </c>
      <c r="Y62" s="36">
        <f t="shared" si="102"/>
        <v>0.73499999999999999</v>
      </c>
      <c r="Z62" s="36">
        <f t="shared" si="103"/>
        <v>1.9318231215915953</v>
      </c>
      <c r="AA62" s="38">
        <f t="shared" si="110"/>
        <v>-0.41772229940284705</v>
      </c>
      <c r="AB62" s="30">
        <f>+AB41*L62+AG42*L61+AG43*L60+AG44*L59+AG45*L58+AG46*L57+AG47*L56+AG48*L55+AG49*L54+AG50*L53+AG51*L52+AG52*L51+AG53*L50+AG54*L49+AG55*L48+AG56+L47*AG57*L46+AG58*L45+AG59*L44+AG60*L43+AG61*L42+AG61</f>
        <v>201.00822702237713</v>
      </c>
      <c r="AC62" s="31">
        <f t="shared" si="71"/>
        <v>2.4524743840097011E-2</v>
      </c>
      <c r="AD62" s="22">
        <f>480.5+286.6+0.762*(53.6+60.3)</f>
        <v>853.89179999999999</v>
      </c>
      <c r="AE62" s="22">
        <f>8.6+53.6+32.4+9+156.2</f>
        <v>259.79999999999995</v>
      </c>
      <c r="AF62" s="39">
        <v>106.55501033346825</v>
      </c>
      <c r="AG62" s="22">
        <f t="shared" si="84"/>
        <v>8.0136241114116622</v>
      </c>
      <c r="AH62" s="22">
        <f t="shared" si="94"/>
        <v>388.31234059196066</v>
      </c>
      <c r="AI62" s="22">
        <f t="shared" si="95"/>
        <v>929.31234059196072</v>
      </c>
      <c r="AJ62" s="37">
        <f t="shared" si="104"/>
        <v>-0.16713464126189778</v>
      </c>
      <c r="AK62" s="37">
        <f t="shared" si="96"/>
        <v>0.25287515266428923</v>
      </c>
      <c r="AL62" s="37">
        <f t="shared" si="97"/>
        <v>0.32927573070328725</v>
      </c>
      <c r="AM62" s="37">
        <f t="shared" si="98"/>
        <v>0.41784911663242352</v>
      </c>
      <c r="AN62" s="16"/>
      <c r="AO62" s="27">
        <f t="shared" si="72"/>
        <v>21</v>
      </c>
      <c r="AP62" s="27">
        <f t="shared" si="60"/>
        <v>2019</v>
      </c>
      <c r="AQ62" s="27">
        <v>51</v>
      </c>
      <c r="AR62" s="27">
        <v>1</v>
      </c>
      <c r="AS62" s="28">
        <f t="shared" si="61"/>
        <v>1</v>
      </c>
      <c r="AT62" s="29">
        <f t="shared" si="73"/>
        <v>0</v>
      </c>
      <c r="AU62" s="30">
        <f t="shared" si="62"/>
        <v>63.622938380893359</v>
      </c>
      <c r="AV62" s="30">
        <v>2.265775798069785</v>
      </c>
      <c r="AW62" s="31">
        <f t="shared" si="74"/>
        <v>1.6059450511822289E-2</v>
      </c>
      <c r="AX62" s="30">
        <f t="shared" si="63"/>
        <v>1.2521869914861956</v>
      </c>
      <c r="AY62" s="30"/>
      <c r="AZ62" s="27">
        <f t="shared" si="75"/>
        <v>21</v>
      </c>
      <c r="BA62" s="27">
        <f t="shared" si="64"/>
        <v>2019</v>
      </c>
      <c r="BB62" s="27">
        <v>51</v>
      </c>
      <c r="BC62" s="27">
        <v>0</v>
      </c>
      <c r="BD62" s="28">
        <f t="shared" si="65"/>
        <v>0.58823529411764708</v>
      </c>
      <c r="BE62" s="29">
        <f t="shared" si="76"/>
        <v>-3.225806451612892E-2</v>
      </c>
      <c r="BF62" s="30">
        <f>+BF41*BD62+BG42*BD61+BG43*BD60+BG44*BD59+BG45*BD58+BG46*BD57+BG47*BD56+BG48*BD55+BG49*BD54+BG50*BD53+BG51*BD52+BG52*BD51+BG53*BD50+BG54*BD49+BG55*BD48+BG56+BD47*BG57*BD46+BG58*BD45+BG59*BD44+BG60*BD43+BG61*BD42+BG61</f>
        <v>52.778645029508198</v>
      </c>
      <c r="BG62" s="30">
        <v>2.265775798069785</v>
      </c>
      <c r="BH62" s="31">
        <f t="shared" si="77"/>
        <v>-3.8237648663586713E-3</v>
      </c>
      <c r="BI62" s="16"/>
      <c r="BJ62" s="16"/>
      <c r="BK62" s="27">
        <f t="shared" si="78"/>
        <v>21</v>
      </c>
      <c r="BL62" s="27">
        <f t="shared" si="66"/>
        <v>2019</v>
      </c>
      <c r="BM62" s="32">
        <v>3.5000000000000003E-2</v>
      </c>
      <c r="BN62" s="30">
        <f t="shared" si="79"/>
        <v>46.459493324964626</v>
      </c>
      <c r="BO62" s="30">
        <v>2.265775798069785</v>
      </c>
      <c r="BP62" s="31">
        <f t="shared" si="80"/>
        <v>1.4371002440542402E-2</v>
      </c>
      <c r="BQ62" s="31">
        <v>4.5900000000000003E-2</v>
      </c>
      <c r="BR62" s="30">
        <f t="shared" si="67"/>
        <v>40.777269123297437</v>
      </c>
      <c r="BS62" s="30">
        <v>2.265775798069785</v>
      </c>
      <c r="BT62" s="31">
        <f t="shared" si="81"/>
        <v>1.0181280929487307E-2</v>
      </c>
      <c r="BU62" s="27">
        <f t="shared" si="82"/>
        <v>2019</v>
      </c>
      <c r="BV62" s="35">
        <f t="shared" si="85"/>
        <v>145.58381847070254</v>
      </c>
      <c r="BW62" s="16">
        <v>306</v>
      </c>
      <c r="BX62" s="39">
        <v>106.55501033346825</v>
      </c>
      <c r="BY62" s="32">
        <f t="shared" si="111"/>
        <v>1.460214804788677E-2</v>
      </c>
      <c r="BZ62" s="30">
        <f t="shared" si="87"/>
        <v>28.717560914532367</v>
      </c>
      <c r="CA62" s="31">
        <f t="shared" si="89"/>
        <v>0.24092281276936278</v>
      </c>
      <c r="CB62" s="30">
        <v>235</v>
      </c>
      <c r="CC62" s="39">
        <v>1049.73</v>
      </c>
      <c r="CD62" s="39"/>
      <c r="CE62" s="39">
        <v>27.83</v>
      </c>
      <c r="CF62" s="32">
        <f t="shared" si="112"/>
        <v>3.3245070761272241E-2</v>
      </c>
      <c r="CG62" s="30">
        <f t="shared" si="88"/>
        <v>844.41250449155598</v>
      </c>
      <c r="CH62" s="31">
        <f t="shared" si="90"/>
        <v>-0.22965136743696565</v>
      </c>
      <c r="CI62" s="14">
        <v>3716072.3333333335</v>
      </c>
      <c r="CJ62" s="31">
        <f t="shared" ref="CJ62" si="136">LN(CI62/CI61)</f>
        <v>1.2059089579751677E-2</v>
      </c>
      <c r="CK62" s="30">
        <f t="shared" si="106"/>
        <v>130.41475233252402</v>
      </c>
      <c r="CL62" s="31">
        <f t="shared" ref="CL62" si="137">LN(CK62/CK61)</f>
        <v>1.8269257673811934E-2</v>
      </c>
      <c r="CM62" s="31">
        <f t="shared" si="100"/>
        <v>-6.2101680940602564E-3</v>
      </c>
      <c r="CN62" s="30">
        <f t="shared" si="101"/>
        <v>250.07918501908259</v>
      </c>
      <c r="CO62" s="41">
        <f t="shared" si="107"/>
        <v>145.58381847070254</v>
      </c>
      <c r="CP62" s="30"/>
      <c r="CQ62" s="30">
        <f t="shared" si="108"/>
        <v>96.100691872060821</v>
      </c>
      <c r="CR62" s="30" t="e">
        <f>+#REF!/CN62</f>
        <v>#REF!</v>
      </c>
      <c r="CS62" s="31">
        <f t="shared" si="115"/>
        <v>-0.18417077845674701</v>
      </c>
      <c r="CT62" s="13">
        <f t="shared" si="109"/>
        <v>0.38428105027904558</v>
      </c>
      <c r="CV62" s="8"/>
      <c r="CX62" s="3"/>
    </row>
    <row r="63" spans="1:102" x14ac:dyDescent="0.25">
      <c r="A63" s="22"/>
      <c r="B63" s="31"/>
      <c r="C63" s="16"/>
      <c r="D63" s="16"/>
      <c r="E63" s="16"/>
      <c r="F63" s="16"/>
      <c r="G63" s="16"/>
      <c r="H63" s="31"/>
      <c r="I63" s="27">
        <f t="shared" si="68"/>
        <v>2020</v>
      </c>
      <c r="J63" s="27">
        <v>51</v>
      </c>
      <c r="K63" s="27">
        <v>0.75</v>
      </c>
      <c r="L63" s="28">
        <v>0.84057971014492749</v>
      </c>
      <c r="M63" s="29">
        <f t="shared" si="69"/>
        <v>-1.2318840579710203E-2</v>
      </c>
      <c r="N63" s="29">
        <f t="shared" si="83"/>
        <v>2.979542694340317E-3</v>
      </c>
      <c r="O63" s="29">
        <v>3.1E-2</v>
      </c>
      <c r="P63" s="39">
        <v>107.31819005360099</v>
      </c>
      <c r="Q63" s="38">
        <f t="shared" si="70"/>
        <v>7.1367797184615127E-3</v>
      </c>
      <c r="R63" s="38">
        <f t="shared" si="86"/>
        <v>1.2607689494763312E-2</v>
      </c>
      <c r="S63" s="29"/>
      <c r="T63" s="29"/>
      <c r="U63" s="29"/>
      <c r="V63" s="36">
        <v>0.26500000000000001</v>
      </c>
      <c r="W63" s="36">
        <v>0.375</v>
      </c>
      <c r="X63" s="36">
        <f t="shared" si="93"/>
        <v>0.90062500000000001</v>
      </c>
      <c r="Y63" s="36">
        <f t="shared" si="102"/>
        <v>0.73499999999999999</v>
      </c>
      <c r="Z63" s="36">
        <f t="shared" si="103"/>
        <v>3.6692774508723685</v>
      </c>
      <c r="AA63" s="38">
        <f t="shared" si="110"/>
        <v>0.64153058318383893</v>
      </c>
      <c r="AB63" s="30">
        <f>+AB41*L63+AG42*L62+AG43*L61+AG44*L60+AG45*L59+AG46*L58+AG47*L57+AG48*L56+AG49*L55+AG50*L54+AG51*L53+AG52*L52+AG53*L51+AG54*L50+AG55*L49+AG56*L48+AG57*L47+AG58*L46+AG59*L45+AG60*L44+AG61*L43+AG62*L42+AG63</f>
        <v>207.82832139790634</v>
      </c>
      <c r="AC63" s="31">
        <f t="shared" si="71"/>
        <v>3.3366523313722092E-2</v>
      </c>
      <c r="AD63" s="22">
        <f>463.7+263+0.762*(63.7+27.5)</f>
        <v>796.19440000000009</v>
      </c>
      <c r="AE63" s="22">
        <f>43.9+63.7+27.5+31.8+27.3+134.8</f>
        <v>329</v>
      </c>
      <c r="AF63" s="39">
        <v>107.31819005360099</v>
      </c>
      <c r="AG63" s="22">
        <f t="shared" si="84"/>
        <v>7.4190069698560324</v>
      </c>
      <c r="AH63" s="22">
        <f t="shared" si="94"/>
        <v>762.57977335799308</v>
      </c>
      <c r="AI63" s="22">
        <f t="shared" si="95"/>
        <v>1322.579773357993</v>
      </c>
      <c r="AJ63" s="37">
        <f t="shared" si="104"/>
        <v>0.35289458810860663</v>
      </c>
      <c r="AK63" s="37">
        <f t="shared" si="96"/>
        <v>0.16256108276487627</v>
      </c>
      <c r="AL63" s="37">
        <f t="shared" si="97"/>
        <v>0.26085383048317357</v>
      </c>
      <c r="AM63" s="37">
        <f t="shared" si="98"/>
        <v>0.5765850867519503</v>
      </c>
      <c r="AN63" s="16"/>
      <c r="AO63" s="27">
        <f t="shared" si="72"/>
        <v>22</v>
      </c>
      <c r="AP63" s="27">
        <f t="shared" si="60"/>
        <v>2020</v>
      </c>
      <c r="AQ63" s="27">
        <v>51</v>
      </c>
      <c r="AR63" s="27">
        <v>1</v>
      </c>
      <c r="AS63" s="28">
        <f t="shared" si="61"/>
        <v>1</v>
      </c>
      <c r="AT63" s="29">
        <f t="shared" si="73"/>
        <v>0</v>
      </c>
      <c r="AU63" s="30">
        <f t="shared" si="62"/>
        <v>64.555482748945479</v>
      </c>
      <c r="AV63" s="30">
        <v>2.2050031356699882</v>
      </c>
      <c r="AW63" s="31">
        <f t="shared" si="74"/>
        <v>1.4550980013974257E-2</v>
      </c>
      <c r="AX63" s="30">
        <f t="shared" si="63"/>
        <v>1.2724587676178671</v>
      </c>
      <c r="AY63" s="30"/>
      <c r="AZ63" s="27">
        <f t="shared" si="75"/>
        <v>22</v>
      </c>
      <c r="BA63" s="27">
        <f t="shared" si="64"/>
        <v>2020</v>
      </c>
      <c r="BB63" s="27">
        <v>51</v>
      </c>
      <c r="BC63" s="27">
        <v>0</v>
      </c>
      <c r="BD63" s="28">
        <f t="shared" si="65"/>
        <v>0.56862745098039214</v>
      </c>
      <c r="BE63" s="29">
        <f t="shared" si="76"/>
        <v>-3.3333333333333402E-2</v>
      </c>
      <c r="BF63" s="30">
        <f>+BF41*BD63+BG42*BD62+BG43*BD61+BG44*BD60+BG45*BD59+BG46*BD58+BG47*BD57+BG48*BD56+BG49*BD55+BG50*BD54+BG51*BD53+BG52*BD52+BG53*BD51+BG54*BD50+BG55*BD49+BG56*BD48+BG57*BD47+BG58*BD46+BG59*BD45+BG60*BD44+BG61*BD43+BG62*BD42+BG63</f>
        <v>54.214317892255259</v>
      </c>
      <c r="BG63" s="30">
        <v>2.2050031356699882</v>
      </c>
      <c r="BH63" s="31">
        <f t="shared" si="77"/>
        <v>2.6838382611764383E-2</v>
      </c>
      <c r="BI63" s="16"/>
      <c r="BJ63" s="16"/>
      <c r="BK63" s="27">
        <f t="shared" si="78"/>
        <v>22</v>
      </c>
      <c r="BL63" s="27">
        <f t="shared" si="66"/>
        <v>2020</v>
      </c>
      <c r="BM63" s="32">
        <v>3.5000000000000003E-2</v>
      </c>
      <c r="BN63" s="30">
        <f t="shared" si="79"/>
        <v>47.038414194260852</v>
      </c>
      <c r="BO63" s="30">
        <v>2.2050031356699882</v>
      </c>
      <c r="BP63" s="31">
        <f t="shared" si="80"/>
        <v>1.2383769501115144E-2</v>
      </c>
      <c r="BQ63" s="31">
        <v>4.5900000000000003E-2</v>
      </c>
      <c r="BR63" s="30">
        <f t="shared" si="67"/>
        <v>41.110595606208072</v>
      </c>
      <c r="BS63" s="30">
        <v>2.2050031356699882</v>
      </c>
      <c r="BT63" s="31">
        <f t="shared" si="81"/>
        <v>8.141092090022577E-3</v>
      </c>
      <c r="BU63" s="27">
        <f t="shared" si="82"/>
        <v>2020</v>
      </c>
      <c r="BV63" s="35">
        <f t="shared" si="85"/>
        <v>149.04559253663069</v>
      </c>
      <c r="BW63" s="16">
        <v>345</v>
      </c>
      <c r="BX63" s="39">
        <v>107.31819005360099</v>
      </c>
      <c r="BY63" s="32">
        <f t="shared" si="111"/>
        <v>7.1367797184615127E-3</v>
      </c>
      <c r="BZ63" s="30">
        <f t="shared" si="87"/>
        <v>32.147392704599916</v>
      </c>
      <c r="CA63" s="31">
        <f t="shared" si="89"/>
        <v>0.11282253536051724</v>
      </c>
      <c r="CB63" s="16">
        <v>215</v>
      </c>
      <c r="CC63" s="39">
        <v>1126.3</v>
      </c>
      <c r="CD63" s="39"/>
      <c r="CE63" s="39">
        <v>29.61</v>
      </c>
      <c r="CF63" s="32">
        <f t="shared" si="112"/>
        <v>6.1997566575700602E-2</v>
      </c>
      <c r="CG63" s="30">
        <f t="shared" si="88"/>
        <v>726.1060452549815</v>
      </c>
      <c r="CH63" s="31">
        <f t="shared" si="90"/>
        <v>-0.1509450525921967</v>
      </c>
      <c r="CI63" s="14">
        <v>3757239.583333333</v>
      </c>
      <c r="CJ63" s="31">
        <f t="shared" ref="CJ63:CJ64" si="138">LN(CI63/CI62)</f>
        <v>1.1017248273353989E-2</v>
      </c>
      <c r="CK63" s="30">
        <f t="shared" si="106"/>
        <v>132.85338010930545</v>
      </c>
      <c r="CL63" s="31">
        <f t="shared" ref="CL63" si="139">LN(CK63/CK62)</f>
        <v>1.8526340454936965E-2</v>
      </c>
      <c r="CM63" s="31">
        <f t="shared" si="100"/>
        <v>-7.5090921815829763E-3</v>
      </c>
      <c r="CN63" s="30">
        <f t="shared" si="101"/>
        <v>352.00836785197282</v>
      </c>
      <c r="CO63" s="41">
        <f t="shared" si="107"/>
        <v>149.04559253663069</v>
      </c>
      <c r="CP63" s="30"/>
      <c r="CQ63" s="30">
        <f t="shared" si="108"/>
        <v>134.20390504937652</v>
      </c>
      <c r="CR63" s="30" t="e">
        <f>+#REF!/CN63</f>
        <v>#REF!</v>
      </c>
      <c r="CS63" s="31">
        <f t="shared" si="115"/>
        <v>0.33396380739132592</v>
      </c>
      <c r="CT63" s="13">
        <f t="shared" si="109"/>
        <v>0.38125203065005597</v>
      </c>
      <c r="CV63" s="8"/>
      <c r="CX63" s="3"/>
    </row>
    <row r="64" spans="1:102" x14ac:dyDescent="0.25">
      <c r="A64" s="22"/>
      <c r="B64" s="31"/>
      <c r="C64" s="16"/>
      <c r="D64" s="16"/>
      <c r="E64" s="16"/>
      <c r="F64" s="16"/>
      <c r="G64" s="16"/>
      <c r="H64" s="31"/>
      <c r="I64" s="27">
        <v>2021</v>
      </c>
      <c r="J64" s="27">
        <v>51</v>
      </c>
      <c r="K64" s="27">
        <v>0.75</v>
      </c>
      <c r="L64" s="28">
        <v>0.82962962962962961</v>
      </c>
      <c r="M64" s="29">
        <f t="shared" si="69"/>
        <v>-1.3026819923371626E-2</v>
      </c>
      <c r="N64" s="29">
        <f t="shared" si="83"/>
        <v>9.5209507622351711E-3</v>
      </c>
      <c r="O64" s="29">
        <v>3.1E-2</v>
      </c>
      <c r="P64" s="43">
        <v>116.00233546842151</v>
      </c>
      <c r="Q64" s="38">
        <f t="shared" si="70"/>
        <v>7.7812163786618149E-2</v>
      </c>
      <c r="R64" s="38">
        <f t="shared" si="86"/>
        <v>3.3183697184322146E-2</v>
      </c>
      <c r="S64" s="29"/>
      <c r="T64" s="29"/>
      <c r="U64" s="29"/>
      <c r="V64" s="36">
        <v>0.26500000000000001</v>
      </c>
      <c r="W64" s="36">
        <v>0.375</v>
      </c>
      <c r="X64" s="36">
        <f t="shared" si="93"/>
        <v>0.90062500000000001</v>
      </c>
      <c r="Y64" s="36">
        <f t="shared" si="102"/>
        <v>0.73499999999999999</v>
      </c>
      <c r="Z64" s="36">
        <f t="shared" si="103"/>
        <v>3.0124205208777264</v>
      </c>
      <c r="AA64" s="38">
        <f t="shared" si="110"/>
        <v>-0.19725084745419882</v>
      </c>
      <c r="AB64" s="30">
        <f>+AB41*L64+AG42*L63+AG43*L62+AG44*L61+AG45*L60+AG46*L59+AG47*L58+AG48*L57+AG49*L56+AG50*L55+AG51*L54+AG52*L53+AG53*L52+AG54*L51+AG55*L50+AG56*L49+AG57*L48+AG58*L47+AG59*L46+AG60*L45+AG61*L44+AG62*L43+AG63*L42+AG64</f>
        <v>216.13473593620273</v>
      </c>
      <c r="AC64" s="31">
        <f t="shared" si="71"/>
        <v>3.9189629703519954E-2</v>
      </c>
      <c r="AD64" s="22">
        <f>461.7+431.8+2.7+0.762*17</f>
        <v>909.154</v>
      </c>
      <c r="AE64" s="22">
        <f>1193.1-AD64</f>
        <v>283.94599999999991</v>
      </c>
      <c r="AF64" s="43">
        <v>116.00233546842151</v>
      </c>
      <c r="AG64" s="22">
        <f>+(AD64+AE64)/AF64</f>
        <v>10.285137753323847</v>
      </c>
      <c r="AH64" s="22">
        <f t="shared" si="94"/>
        <v>651.08871380870562</v>
      </c>
      <c r="AI64" s="22">
        <f t="shared" si="95"/>
        <v>1188.0887138087055</v>
      </c>
      <c r="AJ64" s="37">
        <f t="shared" ref="AJ64" si="140">LN(AI64/AI63)</f>
        <v>-0.10723830997502481</v>
      </c>
      <c r="AK64" s="37">
        <f t="shared" si="96"/>
        <v>0.18853810948335151</v>
      </c>
      <c r="AL64" s="37">
        <f t="shared" si="97"/>
        <v>0.26344834048343313</v>
      </c>
      <c r="AM64" s="37">
        <f t="shared" si="98"/>
        <v>0.54801355003321539</v>
      </c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27">
        <v>2021</v>
      </c>
      <c r="BV64" s="35">
        <f t="shared" si="85"/>
        <v>141.44781984657786</v>
      </c>
      <c r="BW64" s="34">
        <v>313</v>
      </c>
      <c r="BX64" s="43">
        <v>116.00233546842151</v>
      </c>
      <c r="BY64" s="32">
        <f t="shared" si="111"/>
        <v>7.7812163786618149E-2</v>
      </c>
      <c r="BZ64" s="30">
        <f t="shared" si="87"/>
        <v>26.982215378345185</v>
      </c>
      <c r="CA64" s="31">
        <f t="shared" si="89"/>
        <v>-0.17515339027782478</v>
      </c>
      <c r="CB64" s="30">
        <v>224</v>
      </c>
      <c r="CC64" s="16"/>
      <c r="CD64" s="16"/>
      <c r="CE64" s="30">
        <v>30.08</v>
      </c>
      <c r="CF64" s="32">
        <f t="shared" si="112"/>
        <v>1.5748356968139112E-2</v>
      </c>
      <c r="CG64" s="30">
        <f t="shared" si="88"/>
        <v>744.68085106382978</v>
      </c>
      <c r="CH64" s="31">
        <f>LN(CG64/CG63)</f>
        <v>2.5259666759237756E-2</v>
      </c>
      <c r="CI64" s="14">
        <v>3796453</v>
      </c>
      <c r="CJ64" s="31">
        <f t="shared" si="138"/>
        <v>1.038267536054565E-2</v>
      </c>
      <c r="CK64" s="30">
        <f t="shared" si="106"/>
        <v>130.29486703462399</v>
      </c>
      <c r="CL64" s="31">
        <f t="shared" ref="CL64" si="141">LN(CK64/CK63)</f>
        <v>-1.944602501925154E-2</v>
      </c>
      <c r="CM64" s="31">
        <f t="shared" ref="CM64" si="142">+CJ64-CL64</f>
        <v>2.982870037979719E-2</v>
      </c>
      <c r="CN64" s="30">
        <f t="shared" si="101"/>
        <v>312.94703603829828</v>
      </c>
      <c r="CO64" s="41">
        <f t="shared" si="107"/>
        <v>141.44781984657786</v>
      </c>
      <c r="CP64" s="30"/>
      <c r="CQ64" s="30">
        <f t="shared" si="108"/>
        <v>122.9293090116187</v>
      </c>
      <c r="CR64" s="30">
        <f t="shared" ref="CR64" si="143">+CX64-CJ64</f>
        <v>-1.038267536054565E-2</v>
      </c>
      <c r="CS64" s="31">
        <f t="shared" si="115"/>
        <v>-8.7750856170013561E-2</v>
      </c>
      <c r="CT64" s="13">
        <f t="shared" si="109"/>
        <v>0.39281186544477986</v>
      </c>
      <c r="CX64" s="3"/>
    </row>
    <row r="65" spans="1:102" x14ac:dyDescent="0.25">
      <c r="A65" s="22"/>
      <c r="B65" s="31"/>
      <c r="C65" s="16"/>
      <c r="D65" s="16"/>
      <c r="E65" s="16"/>
      <c r="F65" s="16"/>
      <c r="G65" s="16"/>
      <c r="H65" s="31"/>
      <c r="I65" s="16"/>
      <c r="J65" s="16"/>
      <c r="K65" s="16"/>
      <c r="L65" s="16"/>
      <c r="M65" s="16"/>
      <c r="N65" s="29"/>
      <c r="O65" s="29"/>
      <c r="P65" s="29"/>
      <c r="Q65" s="29"/>
      <c r="R65" s="29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31"/>
      <c r="AD65" s="16"/>
      <c r="AE65" s="16"/>
      <c r="AF65" s="16"/>
      <c r="AG65" s="16"/>
      <c r="AH65" s="22"/>
      <c r="AI65" s="22"/>
      <c r="AJ65" s="31"/>
      <c r="AK65" s="31"/>
      <c r="AL65" s="31"/>
      <c r="AM65" s="31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35"/>
      <c r="BW65" s="16"/>
      <c r="BX65" s="43"/>
      <c r="BY65" s="43"/>
      <c r="BZ65" s="16"/>
      <c r="CA65" s="31"/>
      <c r="CB65" s="16"/>
      <c r="CC65" s="16"/>
      <c r="CD65" s="16"/>
      <c r="CE65" s="16"/>
      <c r="CF65" s="43"/>
      <c r="CG65" s="16"/>
      <c r="CH65" s="16"/>
      <c r="CI65" s="31"/>
      <c r="CJ65" s="16"/>
      <c r="CK65" s="31"/>
      <c r="CL65" s="16"/>
      <c r="CM65" s="31"/>
      <c r="CN65" s="31"/>
      <c r="CO65" s="31"/>
      <c r="CP65" s="31"/>
      <c r="CQ65" s="35"/>
      <c r="CR65" s="35"/>
      <c r="CS65" s="32"/>
      <c r="CT65" s="13"/>
      <c r="CX65" s="3"/>
    </row>
    <row r="66" spans="1:102" x14ac:dyDescent="0.25">
      <c r="A66" s="22"/>
      <c r="B66" s="31"/>
      <c r="C66" s="16"/>
      <c r="D66" s="16"/>
      <c r="E66" s="16"/>
      <c r="F66" s="16"/>
      <c r="G66" s="16"/>
      <c r="H66" s="31"/>
      <c r="I66" s="16"/>
      <c r="J66" s="27" t="s">
        <v>56</v>
      </c>
      <c r="K66" s="16"/>
      <c r="L66" s="16"/>
      <c r="M66" s="16"/>
      <c r="N66" s="29"/>
      <c r="O66" s="29"/>
      <c r="P66" s="29"/>
      <c r="Q66" s="32">
        <f>AVERAGE(Q50:Q64)</f>
        <v>1.9737195317616536E-2</v>
      </c>
      <c r="R66" s="38"/>
      <c r="S66" s="16"/>
      <c r="T66" s="16"/>
      <c r="U66" s="16"/>
      <c r="V66" s="16"/>
      <c r="W66" s="16"/>
      <c r="X66" s="16"/>
      <c r="Y66" s="16"/>
      <c r="Z66" s="16"/>
      <c r="AA66" s="31">
        <f>AVERAGE(AA50:AA64)</f>
        <v>3.6021762443593139E-3</v>
      </c>
      <c r="AB66" s="16"/>
      <c r="AC66" s="31">
        <f>AVERAGE(AC50:AC64)</f>
        <v>3.4724839634600164E-2</v>
      </c>
      <c r="AD66" s="16"/>
      <c r="AE66" s="16"/>
      <c r="AF66" s="16"/>
      <c r="AG66" s="16"/>
      <c r="AH66" s="16"/>
      <c r="AI66" s="16"/>
      <c r="AJ66" s="31">
        <f>AVERAGE(AJ50:AJ64)</f>
        <v>3.1347038015414906E-2</v>
      </c>
      <c r="AK66" s="31">
        <f t="shared" ref="AK66:BT66" si="144">AVERAGE(AK50:AK64)</f>
        <v>0.24969692644415972</v>
      </c>
      <c r="AL66" s="31">
        <f t="shared" si="144"/>
        <v>0.25297921535368478</v>
      </c>
      <c r="AM66" s="31">
        <f t="shared" si="144"/>
        <v>0.49732385820215547</v>
      </c>
      <c r="AN66" s="31" t="e">
        <f t="shared" si="144"/>
        <v>#DIV/0!</v>
      </c>
      <c r="AO66" s="31">
        <f t="shared" si="144"/>
        <v>15.5</v>
      </c>
      <c r="AP66" s="31">
        <f t="shared" si="144"/>
        <v>2013.5</v>
      </c>
      <c r="AQ66" s="31">
        <f t="shared" si="144"/>
        <v>51</v>
      </c>
      <c r="AR66" s="31">
        <f t="shared" si="144"/>
        <v>1</v>
      </c>
      <c r="AS66" s="31">
        <f t="shared" si="144"/>
        <v>1</v>
      </c>
      <c r="AT66" s="31">
        <f t="shared" si="144"/>
        <v>0</v>
      </c>
      <c r="AU66" s="31">
        <f t="shared" si="144"/>
        <v>56.389390963992113</v>
      </c>
      <c r="AV66" s="31">
        <f t="shared" si="144"/>
        <v>2.2518694020360956</v>
      </c>
      <c r="AW66" s="31">
        <f t="shared" si="144"/>
        <v>2.0429965339818223E-2</v>
      </c>
      <c r="AX66" s="31">
        <f t="shared" si="144"/>
        <v>1.1048473788154287</v>
      </c>
      <c r="AY66" s="31" t="e">
        <f t="shared" si="144"/>
        <v>#DIV/0!</v>
      </c>
      <c r="AZ66" s="31">
        <f t="shared" si="144"/>
        <v>15.5</v>
      </c>
      <c r="BA66" s="31">
        <f t="shared" si="144"/>
        <v>2013.5</v>
      </c>
      <c r="BB66" s="31">
        <f t="shared" si="144"/>
        <v>51</v>
      </c>
      <c r="BC66" s="31">
        <f t="shared" si="144"/>
        <v>0</v>
      </c>
      <c r="BD66" s="31">
        <f t="shared" si="144"/>
        <v>0.69607843137254899</v>
      </c>
      <c r="BE66" s="31">
        <f t="shared" si="144"/>
        <v>-2.7738915929626396E-2</v>
      </c>
      <c r="BF66" s="31">
        <f t="shared" si="144"/>
        <v>46.548619283632135</v>
      </c>
      <c r="BG66" s="31">
        <f t="shared" si="144"/>
        <v>2.2518694020360956</v>
      </c>
      <c r="BH66" s="31">
        <f t="shared" si="144"/>
        <v>2.4360090675419128E-2</v>
      </c>
      <c r="BI66" s="31" t="e">
        <f t="shared" si="144"/>
        <v>#DIV/0!</v>
      </c>
      <c r="BJ66" s="31" t="e">
        <f t="shared" si="144"/>
        <v>#DIV/0!</v>
      </c>
      <c r="BK66" s="31">
        <f t="shared" si="144"/>
        <v>15.5</v>
      </c>
      <c r="BL66" s="31">
        <f t="shared" si="144"/>
        <v>2013.5</v>
      </c>
      <c r="BM66" s="31">
        <f t="shared" si="144"/>
        <v>3.5000000000000017E-2</v>
      </c>
      <c r="BN66" s="31">
        <f t="shared" si="144"/>
        <v>40.945962335240338</v>
      </c>
      <c r="BO66" s="31">
        <f t="shared" si="144"/>
        <v>2.2518694020360956</v>
      </c>
      <c r="BP66" s="31">
        <f t="shared" si="144"/>
        <v>2.078963859205336E-2</v>
      </c>
      <c r="BQ66" s="31">
        <f t="shared" si="144"/>
        <v>4.590000000000001E-2</v>
      </c>
      <c r="BR66" s="31">
        <f t="shared" si="144"/>
        <v>36.625526349277393</v>
      </c>
      <c r="BS66" s="31">
        <f t="shared" si="144"/>
        <v>2.2518694020360956</v>
      </c>
      <c r="BT66" s="31">
        <f t="shared" si="144"/>
        <v>1.6271680103933948E-2</v>
      </c>
      <c r="BU66" s="31"/>
      <c r="BV66" s="35"/>
      <c r="BW66" s="16"/>
      <c r="BX66" s="43"/>
      <c r="BY66" s="31">
        <f>AVERAGE(BY50:BY64)</f>
        <v>1.9737195317616536E-2</v>
      </c>
      <c r="BZ66" s="16"/>
      <c r="CA66" s="31">
        <f>AVERAGE(CA50:CA64)</f>
        <v>9.4585042249800098E-3</v>
      </c>
      <c r="CB66" s="16"/>
      <c r="CC66" s="16"/>
      <c r="CD66" s="16"/>
      <c r="CE66" s="16"/>
      <c r="CF66" s="31">
        <f>AVERAGE(CF50:CF64)</f>
        <v>2.818229186113402E-2</v>
      </c>
      <c r="CG66" s="16"/>
      <c r="CH66" s="31">
        <f>AVERAGE(CH50:CH64)</f>
        <v>-1.1342908351766616E-2</v>
      </c>
      <c r="CI66" s="31"/>
      <c r="CJ66" s="31">
        <f>AVERAGE(CJ50:CJ64)</f>
        <v>1.4825627205288981E-2</v>
      </c>
      <c r="CK66" s="16"/>
      <c r="CL66" s="31">
        <f>AVERAGE(CL50:CL64)</f>
        <v>1.7641993595044047E-2</v>
      </c>
      <c r="CM66" s="31">
        <f>AVERAGE(CM50:CM64)</f>
        <v>-2.8163663897550679E-3</v>
      </c>
      <c r="CN66" s="30">
        <f>+(CN62+CN63+CN64)/3</f>
        <v>305.01152963645126</v>
      </c>
      <c r="CO66" s="30">
        <f>+(CO62+CO63+CO64)/3</f>
        <v>145.35907695130371</v>
      </c>
      <c r="CP66" s="16" t="s">
        <v>52</v>
      </c>
      <c r="CQ66" s="16"/>
      <c r="CR66" s="30" t="e">
        <f>+(CR61+CR62+CR63)/3</f>
        <v>#REF!</v>
      </c>
      <c r="CS66" s="31">
        <f>AVERAGE(CS50:CS64)</f>
        <v>1.3762618712313627E-2</v>
      </c>
      <c r="CT66" s="13">
        <f>+(CT62+CT63+CT64)/3</f>
        <v>0.38611498212462719</v>
      </c>
      <c r="CX66" s="3"/>
    </row>
    <row r="67" spans="1:102" x14ac:dyDescent="0.25">
      <c r="A67" s="22"/>
      <c r="B67" s="31"/>
      <c r="C67" s="16"/>
      <c r="D67" s="16"/>
      <c r="E67" s="16"/>
      <c r="F67" s="16"/>
      <c r="G67" s="16"/>
      <c r="H67" s="31"/>
      <c r="I67" s="16"/>
      <c r="J67" s="27" t="s">
        <v>62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31"/>
      <c r="AK67" s="31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43"/>
      <c r="BY67" s="43"/>
      <c r="BZ67" s="16"/>
      <c r="CA67" s="31"/>
      <c r="CB67" s="16"/>
      <c r="CC67" s="16"/>
      <c r="CD67" s="16"/>
      <c r="CE67" s="16"/>
      <c r="CF67" s="16"/>
      <c r="CG67" s="16"/>
      <c r="CH67" s="16"/>
      <c r="CI67" s="31"/>
      <c r="CJ67" s="16"/>
      <c r="CK67" s="16"/>
      <c r="CL67" s="16"/>
      <c r="CM67" s="16"/>
      <c r="CN67" s="30">
        <f>+CN66*0.84</f>
        <v>256.20968489461904</v>
      </c>
      <c r="CO67" s="30"/>
      <c r="CP67" s="16" t="s">
        <v>53</v>
      </c>
      <c r="CQ67" s="16"/>
      <c r="CR67" s="30" t="e">
        <f>+((#REF!+#REF!+#REF!)/3)/CN67</f>
        <v>#REF!</v>
      </c>
      <c r="CS67" s="16"/>
      <c r="CX67" s="3"/>
    </row>
    <row r="68" spans="1:102" x14ac:dyDescent="0.25">
      <c r="A68" s="22"/>
      <c r="B68" s="31"/>
      <c r="C68" s="16"/>
      <c r="D68" s="16"/>
      <c r="E68" s="16"/>
      <c r="F68" s="16"/>
      <c r="G68" s="16"/>
      <c r="H68" s="31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43"/>
      <c r="BY68" s="43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47"/>
      <c r="CO68" s="47"/>
      <c r="CP68" s="16"/>
      <c r="CQ68" s="16"/>
      <c r="CR68" s="16"/>
      <c r="CS68" s="16"/>
      <c r="CX68" s="3"/>
    </row>
    <row r="69" spans="1:102" x14ac:dyDescent="0.25">
      <c r="A69" s="22"/>
      <c r="B69" s="31"/>
      <c r="C69" s="16"/>
      <c r="D69" s="16"/>
      <c r="E69" s="16"/>
      <c r="F69" s="16"/>
      <c r="G69" s="16"/>
      <c r="H69" s="3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43"/>
      <c r="BY69" s="43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30"/>
      <c r="CN69" s="30">
        <f>+CN62*0.84</f>
        <v>210.06651541602938</v>
      </c>
      <c r="CO69" s="16"/>
      <c r="CP69" s="16"/>
      <c r="CQ69" s="16"/>
      <c r="CR69" s="16"/>
      <c r="CS69" s="16"/>
      <c r="CX69" s="3"/>
    </row>
    <row r="70" spans="1:102" x14ac:dyDescent="0.25">
      <c r="A70" s="22"/>
      <c r="B70" s="31"/>
      <c r="C70" s="16"/>
      <c r="D70" s="16"/>
      <c r="E70" s="16"/>
      <c r="F70" s="16"/>
      <c r="G70" s="16"/>
      <c r="H70" s="31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43"/>
      <c r="BY70" s="43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30"/>
      <c r="CN70" s="30">
        <f>+CN63*0.84</f>
        <v>295.68702899565716</v>
      </c>
      <c r="CO70" s="16"/>
      <c r="CP70" s="16"/>
      <c r="CQ70" s="16"/>
      <c r="CR70" s="16"/>
      <c r="CS70" s="16"/>
      <c r="CX70" s="3"/>
    </row>
    <row r="71" spans="1:102" x14ac:dyDescent="0.25">
      <c r="A71" s="22"/>
      <c r="B71" s="31"/>
      <c r="C71" s="16"/>
      <c r="D71" s="16"/>
      <c r="E71" s="16"/>
      <c r="F71" s="16"/>
      <c r="G71" s="16"/>
      <c r="H71" s="31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43"/>
      <c r="BY71" s="43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30"/>
      <c r="CN71" s="30">
        <f>+CN64*0.84</f>
        <v>262.87551027217057</v>
      </c>
      <c r="CO71" s="16"/>
      <c r="CP71" s="16"/>
      <c r="CQ71" s="16"/>
      <c r="CR71" s="16"/>
      <c r="CS71" s="16"/>
      <c r="CX71" s="3"/>
    </row>
    <row r="72" spans="1:102" x14ac:dyDescent="0.25">
      <c r="A72" s="22"/>
      <c r="B72" s="31"/>
      <c r="C72" s="16"/>
      <c r="D72" s="16"/>
      <c r="E72" s="16"/>
      <c r="F72" s="16"/>
      <c r="G72" s="16"/>
      <c r="H72" s="31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43"/>
      <c r="BY72" s="43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X72" s="3"/>
    </row>
    <row r="73" spans="1:102" x14ac:dyDescent="0.25">
      <c r="A73" s="22"/>
      <c r="B73" s="31"/>
      <c r="C73" s="16"/>
      <c r="D73" s="16"/>
      <c r="E73" s="16"/>
      <c r="F73" s="16"/>
      <c r="G73" s="16"/>
      <c r="H73" s="31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43"/>
      <c r="BY73" s="43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X73" s="3"/>
    </row>
    <row r="74" spans="1:102" x14ac:dyDescent="0.25">
      <c r="A74" s="22"/>
      <c r="B74" s="31"/>
      <c r="C74" s="16"/>
      <c r="D74" s="16"/>
      <c r="E74" s="16"/>
      <c r="F74" s="16"/>
      <c r="G74" s="16"/>
      <c r="H74" s="31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43"/>
      <c r="BY74" s="43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</row>
    <row r="75" spans="1:102" x14ac:dyDescent="0.25">
      <c r="A75" s="22"/>
      <c r="B75" s="31"/>
      <c r="C75" s="16"/>
      <c r="D75" s="16"/>
      <c r="E75" s="16"/>
      <c r="F75" s="16"/>
      <c r="G75" s="16"/>
      <c r="H75" s="31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43"/>
      <c r="BY75" s="43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</row>
    <row r="76" spans="1:102" x14ac:dyDescent="0.25">
      <c r="A76" s="22"/>
      <c r="B76" s="31"/>
      <c r="C76" s="16"/>
      <c r="D76" s="16"/>
      <c r="E76" s="16"/>
      <c r="F76" s="16"/>
      <c r="G76" s="16"/>
      <c r="H76" s="31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43"/>
      <c r="BY76" s="43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</row>
    <row r="77" spans="1:102" x14ac:dyDescent="0.25">
      <c r="A77" s="22"/>
      <c r="B77" s="31"/>
      <c r="C77" s="16"/>
      <c r="D77" s="16"/>
      <c r="E77" s="16"/>
      <c r="F77" s="16"/>
      <c r="G77" s="16"/>
      <c r="H77" s="31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43"/>
      <c r="BY77" s="43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</row>
    <row r="78" spans="1:102" x14ac:dyDescent="0.25">
      <c r="A78" s="22"/>
      <c r="B78" s="31"/>
      <c r="C78" s="16"/>
      <c r="D78" s="16"/>
      <c r="E78" s="16"/>
      <c r="F78" s="16"/>
      <c r="G78" s="16"/>
      <c r="H78" s="3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43"/>
      <c r="BY78" s="43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</row>
    <row r="79" spans="1:102" x14ac:dyDescent="0.25">
      <c r="A79" s="22"/>
      <c r="B79" s="31"/>
      <c r="C79" s="16"/>
      <c r="D79" s="16"/>
      <c r="E79" s="16"/>
      <c r="F79" s="16"/>
      <c r="G79" s="16"/>
      <c r="H79" s="3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43"/>
      <c r="BY79" s="43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</row>
    <row r="80" spans="1:102" x14ac:dyDescent="0.25">
      <c r="A80" s="6"/>
      <c r="B80" s="4"/>
      <c r="H80" s="4"/>
      <c r="BX80" s="11"/>
      <c r="BY80" s="11"/>
    </row>
    <row r="81" spans="1:77" x14ac:dyDescent="0.25">
      <c r="A81" s="6"/>
      <c r="B81" s="4"/>
      <c r="H81" s="4"/>
      <c r="I81" s="4"/>
      <c r="BX81" s="11"/>
      <c r="BY81" s="11"/>
    </row>
    <row r="82" spans="1:77" x14ac:dyDescent="0.25">
      <c r="A82" s="6"/>
      <c r="B82" s="4"/>
      <c r="BX82" s="11"/>
      <c r="BY82" s="11"/>
    </row>
    <row r="83" spans="1:77" x14ac:dyDescent="0.25">
      <c r="A83" s="6"/>
      <c r="B83" s="4"/>
      <c r="BX83" s="11"/>
      <c r="BY83" s="11"/>
    </row>
    <row r="84" spans="1:77" x14ac:dyDescent="0.25">
      <c r="A84" s="6"/>
      <c r="B84" s="4"/>
      <c r="BX84" s="11"/>
      <c r="BY84" s="11"/>
    </row>
    <row r="85" spans="1:77" x14ac:dyDescent="0.25">
      <c r="B85" s="4"/>
      <c r="BX85" s="11"/>
      <c r="BY85" s="11"/>
    </row>
    <row r="86" spans="1:77" x14ac:dyDescent="0.25">
      <c r="B86" s="4"/>
      <c r="BX86" s="11"/>
      <c r="BY86" s="11"/>
    </row>
    <row r="87" spans="1:77" x14ac:dyDescent="0.25">
      <c r="BX87" s="11"/>
      <c r="BY87" s="11"/>
    </row>
    <row r="88" spans="1:77" x14ac:dyDescent="0.25">
      <c r="BX88" s="11"/>
      <c r="BY88" s="11"/>
    </row>
    <row r="89" spans="1:77" x14ac:dyDescent="0.25">
      <c r="BX89" s="11"/>
      <c r="BY89" s="11"/>
    </row>
    <row r="90" spans="1:77" x14ac:dyDescent="0.25">
      <c r="BX90" s="11"/>
      <c r="BY90" s="11"/>
    </row>
    <row r="91" spans="1:77" x14ac:dyDescent="0.25">
      <c r="BX91" s="11"/>
      <c r="BY91" s="11"/>
    </row>
    <row r="92" spans="1:77" x14ac:dyDescent="0.25">
      <c r="BX92" s="11"/>
      <c r="BY92" s="11"/>
    </row>
    <row r="93" spans="1:77" x14ac:dyDescent="0.25">
      <c r="BX93" s="11"/>
      <c r="BY93" s="11"/>
    </row>
  </sheetData>
  <mergeCells count="6">
    <mergeCell ref="A3:G3"/>
    <mergeCell ref="DA8:DE8"/>
    <mergeCell ref="I6:AG6"/>
    <mergeCell ref="AP6:AV6"/>
    <mergeCell ref="AZ6:BH6"/>
    <mergeCell ref="BK6:BO6"/>
  </mergeCell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51BA8FCB-16C5-4A7A-B6E4-A21B4103EF5B}"/>
</file>

<file path=customXml/itemProps2.xml><?xml version="1.0" encoding="utf-8"?>
<ds:datastoreItem xmlns:ds="http://schemas.openxmlformats.org/officeDocument/2006/customXml" ds:itemID="{AE4D6CB8-B22E-4AFE-A24A-6D03D0F7BAD9}"/>
</file>

<file path=customXml/itemProps3.xml><?xml version="1.0" encoding="utf-8"?>
<ds:datastoreItem xmlns:ds="http://schemas.openxmlformats.org/officeDocument/2006/customXml" ds:itemID="{17386D90-D959-4DF7-ADE9-AD643C92D189}"/>
</file>

<file path=customXml/itemProps4.xml><?xml version="1.0" encoding="utf-8"?>
<ds:datastoreItem xmlns:ds="http://schemas.openxmlformats.org/officeDocument/2006/customXml" ds:itemID="{E402162B-4EF2-46EE-A0FF-3FB51EF6D43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 Calcs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2021-08-18T20:42:56Z</dcterms:created>
  <dcterms:modified xsi:type="dcterms:W3CDTF">2022-10-25T21:20:03Z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</Properties>
</file>