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ates &amp; OEB matters\RATE SUBMISSION\2023 Rate Application\3. Interrogatories\LRAM\"/>
    </mc:Choice>
  </mc:AlternateContent>
  <xr:revisionPtr revIDLastSave="0" documentId="8_{1A14F596-B06A-4123-B7A6-12B9485E2D95}" xr6:coauthVersionLast="47" xr6:coauthVersionMax="47" xr10:uidLastSave="{00000000-0000-0000-0000-000000000000}"/>
  <bookViews>
    <workbookView xWindow="-27300" yWindow="1080" windowWidth="21600" windowHeight="11385" xr2:uid="{EA601E73-7008-4C6B-ADA4-C8D0B1C50BEE}"/>
  </bookViews>
  <sheets>
    <sheet name="Summary" sheetId="3" r:id="rId1"/>
    <sheet name="Tables" sheetId="4" r:id="rId2"/>
    <sheet name="Projects" sheetId="1" r:id="rId3"/>
    <sheet name="Net to Gross Ratio" sheetId="2" r:id="rId4"/>
  </sheets>
  <externalReferences>
    <externalReference r:id="rId5"/>
    <externalReference r:id="rId6"/>
  </externalReferences>
  <definedNames>
    <definedName name="_xlnm._FilterDatabase" localSheetId="2" hidden="1">Projects!$A$1:$I$81</definedName>
  </definedNames>
  <calcPr calcId="191029" iterate="1" iterateDelta="1E-4"/>
  <pivotCaches>
    <pivotCache cacheId="37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4" l="1"/>
  <c r="E16" i="4"/>
  <c r="E15" i="4"/>
  <c r="E14" i="4"/>
  <c r="C14" i="4" l="1"/>
  <c r="C15" i="4"/>
  <c r="C16" i="4"/>
  <c r="C18" i="4" s="1"/>
  <c r="C17" i="4"/>
  <c r="B15" i="4"/>
  <c r="B16" i="4"/>
  <c r="B17" i="4"/>
  <c r="B14" i="4"/>
  <c r="B18" i="4" s="1"/>
  <c r="D12" i="3"/>
  <c r="D15" i="3" s="1"/>
  <c r="D13" i="3"/>
  <c r="D14" i="3"/>
  <c r="D17" i="4" l="1"/>
  <c r="F4" i="4"/>
  <c r="F5" i="4" s="1"/>
  <c r="F6" i="4" s="1"/>
  <c r="C4" i="4"/>
  <c r="C6" i="4" s="1"/>
  <c r="D16" i="4"/>
  <c r="B4" i="4"/>
  <c r="E4" i="4"/>
  <c r="E6" i="4"/>
  <c r="B5" i="4"/>
  <c r="B6" i="4"/>
  <c r="E5" i="4"/>
  <c r="C5" i="4" l="1"/>
  <c r="B7" i="4"/>
  <c r="D4" i="4"/>
  <c r="D5" i="4"/>
  <c r="D6" i="4"/>
  <c r="G4" i="4"/>
  <c r="G7" i="4" s="1"/>
  <c r="E7" i="4"/>
  <c r="G5" i="4"/>
  <c r="G6" i="4"/>
  <c r="D15" i="4"/>
  <c r="D14" i="4"/>
  <c r="D18" i="4" s="1"/>
  <c r="D7" i="4" l="1"/>
  <c r="C17" i="3" l="1"/>
  <c r="B17" i="3"/>
  <c r="B14" i="2" l="1"/>
  <c r="G13" i="2"/>
  <c r="D13" i="2"/>
  <c r="G12" i="2"/>
  <c r="D12" i="2"/>
  <c r="D11" i="2"/>
  <c r="H11" i="2" s="1"/>
  <c r="G10" i="2"/>
  <c r="D10" i="2"/>
  <c r="G9" i="2"/>
  <c r="D9" i="2"/>
  <c r="G8" i="2"/>
  <c r="D8" i="2"/>
  <c r="G7" i="2"/>
  <c r="D7" i="2"/>
  <c r="G6" i="2"/>
  <c r="D6" i="2"/>
  <c r="G5" i="2"/>
  <c r="D5" i="2"/>
  <c r="C14" i="3"/>
  <c r="C13" i="3"/>
  <c r="C12" i="3"/>
  <c r="B14" i="3"/>
  <c r="B13" i="3"/>
  <c r="B12" i="3"/>
  <c r="B15" i="3" l="1"/>
  <c r="C15" i="3"/>
</calcChain>
</file>

<file path=xl/sharedStrings.xml><?xml version="1.0" encoding="utf-8"?>
<sst xmlns="http://schemas.openxmlformats.org/spreadsheetml/2006/main" count="274" uniqueCount="203">
  <si>
    <t>Account</t>
  </si>
  <si>
    <t>Bill Code</t>
  </si>
  <si>
    <t>kW</t>
  </si>
  <si>
    <t>kWh</t>
  </si>
  <si>
    <t>Incentive</t>
  </si>
  <si>
    <t>Pay date</t>
  </si>
  <si>
    <t>Cheque #</t>
  </si>
  <si>
    <t>Customer</t>
  </si>
  <si>
    <t>Application #</t>
  </si>
  <si>
    <t>1507952 Ontario Inc (2937 Sherwood Heights Dr, Oakville)</t>
  </si>
  <si>
    <t>Macs</t>
  </si>
  <si>
    <t>H&amp;R REIT</t>
  </si>
  <si>
    <t>HSCC 61</t>
  </si>
  <si>
    <t>Loblaws</t>
  </si>
  <si>
    <t>Ctm</t>
  </si>
  <si>
    <t>CTM - 2381 Bristol</t>
  </si>
  <si>
    <t>Starlight Investments (297 Queens,Oakville,L6H2B4)</t>
  </si>
  <si>
    <t>Techniweld</t>
  </si>
  <si>
    <t>Homestead Land Holdings</t>
  </si>
  <si>
    <t>Chartwell 180 Oak Park</t>
  </si>
  <si>
    <t>Halton Catholic District School Board</t>
  </si>
  <si>
    <t>Great West Life Realty Advisors (2725 Bristol,Oakville,L6H6X5)</t>
  </si>
  <si>
    <t>Central West Specialized Dev</t>
  </si>
  <si>
    <t>Goodrich Aerospace Canada Ltd.</t>
  </si>
  <si>
    <t>Appleby College</t>
  </si>
  <si>
    <t>Town of Oakville-Town Hall</t>
  </si>
  <si>
    <t>Poss Design Limited</t>
  </si>
  <si>
    <t>Staples (Head Office)</t>
  </si>
  <si>
    <t>Central Erin Management (BISHOPS GATE HOUSE,OAKVILLE,L6J1P5)</t>
  </si>
  <si>
    <t>2035224 Ontario Inc. (2770 Brighton,Oakville,L6H5T4)</t>
  </si>
  <si>
    <t>Roedean</t>
  </si>
  <si>
    <t>alternawork inc. (2115 South Service Road W Unit #6,Oakville,L6L5W2)</t>
  </si>
  <si>
    <t>Central Erin Management (1440-1450 bishop gate,Oakville,L6M4M9)</t>
  </si>
  <si>
    <t>HERITAGE MONTESSORI INC (1289 MARLBOROUGH COURT ,OAKVILLE ,L6H2R9)</t>
  </si>
  <si>
    <t>KHAIR BROTHERS HOLDINGS INC (1071 SPEERS ROAD ,OAKVILLE ,L6L2X5)</t>
  </si>
  <si>
    <t>Steeplejack Services</t>
  </si>
  <si>
    <t>Metro Ontario Inc</t>
  </si>
  <si>
    <t>Caravan Group Of Companies</t>
  </si>
  <si>
    <t>$7,665.75 (incl HST)</t>
  </si>
  <si>
    <t>20536</t>
  </si>
  <si>
    <t>20380</t>
  </si>
  <si>
    <t>20538</t>
  </si>
  <si>
    <t>20357</t>
  </si>
  <si>
    <t>20348</t>
  </si>
  <si>
    <t>20420</t>
  </si>
  <si>
    <t>20374</t>
  </si>
  <si>
    <t>20537</t>
  </si>
  <si>
    <t>20350</t>
  </si>
  <si>
    <t>20544</t>
  </si>
  <si>
    <t>20416</t>
  </si>
  <si>
    <t>20533</t>
  </si>
  <si>
    <t>20542</t>
  </si>
  <si>
    <t>20358</t>
  </si>
  <si>
    <t>Lisgar Development Limited</t>
  </si>
  <si>
    <t>Levitt Safety Inc. (2872 Bristol,Oakville,L6H5T5)</t>
  </si>
  <si>
    <t>Riocan Properties</t>
  </si>
  <si>
    <t>Soneil South Services Inc.</t>
  </si>
  <si>
    <t>Canadian Tire Oakville (Dundas #429 controls,oakville,L6H6Z9)</t>
  </si>
  <si>
    <t>Creative Visual Solutions Inc.</t>
  </si>
  <si>
    <t>Capreit Limited Partnership</t>
  </si>
  <si>
    <t>Louise Spiegel</t>
  </si>
  <si>
    <t>Chemvest Holdings Inc</t>
  </si>
  <si>
    <t>TD</t>
  </si>
  <si>
    <t>Iron Mountain</t>
  </si>
  <si>
    <t>Halton District School Board</t>
  </si>
  <si>
    <t>20638</t>
  </si>
  <si>
    <t>20636</t>
  </si>
  <si>
    <t>20637</t>
  </si>
  <si>
    <t>ETF 2000004748</t>
  </si>
  <si>
    <t>Drive-Line Inc</t>
  </si>
  <si>
    <t>630338 Ontario Inc</t>
  </si>
  <si>
    <t>Dec 2-20</t>
  </si>
  <si>
    <t>Dec 9-20</t>
  </si>
  <si>
    <t>151871-00</t>
  </si>
  <si>
    <t>134966-01</t>
  </si>
  <si>
    <t>176159-01</t>
  </si>
  <si>
    <t>There are 2 - both are 3MI</t>
  </si>
  <si>
    <t>104997-02</t>
  </si>
  <si>
    <t>135901-01</t>
  </si>
  <si>
    <t>172071-00</t>
  </si>
  <si>
    <t>There are several - some 2 and some 3</t>
  </si>
  <si>
    <t>171330-01</t>
  </si>
  <si>
    <t>There are two and both are 3MI</t>
  </si>
  <si>
    <t>105050-01</t>
  </si>
  <si>
    <t>102678-00</t>
  </si>
  <si>
    <t>144919-00</t>
  </si>
  <si>
    <t>135151-01</t>
  </si>
  <si>
    <t>162595-01</t>
  </si>
  <si>
    <t>105234-01</t>
  </si>
  <si>
    <t>121376-00</t>
  </si>
  <si>
    <t>141956-05</t>
  </si>
  <si>
    <t>127360-01</t>
  </si>
  <si>
    <t>142555-02</t>
  </si>
  <si>
    <t>142757-00</t>
  </si>
  <si>
    <t>121521-00</t>
  </si>
  <si>
    <t>149207-01</t>
  </si>
  <si>
    <t>Can't find account</t>
  </si>
  <si>
    <t>105064-00</t>
  </si>
  <si>
    <t>119976-04</t>
  </si>
  <si>
    <t>141884-00</t>
  </si>
  <si>
    <t>141980-00</t>
  </si>
  <si>
    <t>142558-00</t>
  </si>
  <si>
    <t>There are two and both are 2MI</t>
  </si>
  <si>
    <t>141934-06</t>
  </si>
  <si>
    <t>140923-00</t>
  </si>
  <si>
    <t>141904-03</t>
  </si>
  <si>
    <t>119947-01</t>
  </si>
  <si>
    <t>HSCC 461 - 1460 Bishops</t>
  </si>
  <si>
    <t>Korea Food Trading - 2501 Hampshire</t>
  </si>
  <si>
    <t>Sunray Group Inc - 754 Bronte</t>
  </si>
  <si>
    <t>Crh Canada Group Inc. - 731 Third Line</t>
  </si>
  <si>
    <t>Cgc Inc - 735 4th Line</t>
  </si>
  <si>
    <t>Sobey's Capital Inc. - 1500 Upper Middle</t>
  </si>
  <si>
    <t>Cando Apts Ltd - 30 Speers</t>
  </si>
  <si>
    <t>Cando Apts Ltd - 1030 Pearson</t>
  </si>
  <si>
    <t>HCC60 - 1300 -1380 Hampton</t>
  </si>
  <si>
    <t>1357008 Ontario Inc - 333 Wyecroft Unit 5</t>
  </si>
  <si>
    <t>Duka Property Management - 216 Oak Park - HSCC</t>
  </si>
  <si>
    <r>
      <t>Fairview Fittings And Manufacturing -</t>
    </r>
    <r>
      <rPr>
        <sz val="11"/>
        <color theme="4"/>
        <rFont val="Calibri"/>
        <family val="2"/>
        <scheme val="minor"/>
      </rPr>
      <t xml:space="preserve"> 1170 Invicta  - Unit 3</t>
    </r>
  </si>
  <si>
    <r>
      <t>1140538 Ontario Inc -</t>
    </r>
    <r>
      <rPr>
        <sz val="11"/>
        <color theme="4"/>
        <rFont val="Calibri"/>
        <family val="2"/>
        <scheme val="minor"/>
      </rPr>
      <t>2212 Wyecroft</t>
    </r>
  </si>
  <si>
    <t>180553-00</t>
  </si>
  <si>
    <t>Final 2017 Report</t>
  </si>
  <si>
    <t>IESO Net to Gross Ration</t>
  </si>
  <si>
    <t>2017 Verified 2017 Results</t>
  </si>
  <si>
    <t>Gross kWh Savings</t>
  </si>
  <si>
    <t>Net kWh Savings</t>
  </si>
  <si>
    <t>Net to Gross Ratio</t>
  </si>
  <si>
    <t>Gross kW</t>
  </si>
  <si>
    <t>Net kW</t>
  </si>
  <si>
    <t>RTU Saver Prgram</t>
  </si>
  <si>
    <t>Save on Energy Audit Funding Program</t>
  </si>
  <si>
    <t>Page 184</t>
  </si>
  <si>
    <t>Business programs</t>
  </si>
  <si>
    <t>Save on Energy Retrofit Program</t>
  </si>
  <si>
    <t>Page 27</t>
  </si>
  <si>
    <t>Save on Energy Small Business Lighting Program</t>
  </si>
  <si>
    <t>Page 104</t>
  </si>
  <si>
    <t>Save on Energy High Performance New Construction Program</t>
  </si>
  <si>
    <t>Page 204</t>
  </si>
  <si>
    <t>Save on Energy Business Refrigeration Incentive Program</t>
  </si>
  <si>
    <t>Page 147</t>
  </si>
  <si>
    <t>Save on Energy Process &amp; Systems Upgrades Program</t>
  </si>
  <si>
    <t>Page 29</t>
  </si>
  <si>
    <t>Industrial Programs</t>
  </si>
  <si>
    <t>Save on Energy New Construction Program</t>
  </si>
  <si>
    <t>Save on Energy Energy Manager Program</t>
  </si>
  <si>
    <t>Pool Saver Local Program</t>
  </si>
  <si>
    <t>180939-01</t>
  </si>
  <si>
    <t>163277-01</t>
  </si>
  <si>
    <t>119792-01</t>
  </si>
  <si>
    <t>103351-01</t>
  </si>
  <si>
    <t>Two accounts both 3</t>
  </si>
  <si>
    <t>112728-00</t>
  </si>
  <si>
    <t>146234-00</t>
  </si>
  <si>
    <t>142201-00</t>
  </si>
  <si>
    <t>133009-00</t>
  </si>
  <si>
    <t>118340-00</t>
  </si>
  <si>
    <t>149097-03</t>
  </si>
  <si>
    <t>Classed as 3 in 2019</t>
  </si>
  <si>
    <t>Classed as 3 in 2020</t>
  </si>
  <si>
    <t>Classed as 3 in 2021</t>
  </si>
  <si>
    <t>Classed as 3 in 2022</t>
  </si>
  <si>
    <t>Classed as 3 in 2023</t>
  </si>
  <si>
    <t>Classed as 3 in 2024</t>
  </si>
  <si>
    <t>Classed as 3 in 2025</t>
  </si>
  <si>
    <t>Classed as 3 in 2026</t>
  </si>
  <si>
    <t>Classed as 2 in 2019</t>
  </si>
  <si>
    <t>141943-00</t>
  </si>
  <si>
    <t xml:space="preserve">Class as </t>
  </si>
  <si>
    <t>Some 2 and some 3</t>
  </si>
  <si>
    <t>Multiple accounts - 2</t>
  </si>
  <si>
    <t>Row Labels</t>
  </si>
  <si>
    <t>Grand Total</t>
  </si>
  <si>
    <t>Sum of kW</t>
  </si>
  <si>
    <t>Sum of kWh</t>
  </si>
  <si>
    <t>Gross Savings</t>
  </si>
  <si>
    <t>Net Savings</t>
  </si>
  <si>
    <t>Check</t>
  </si>
  <si>
    <t>2020 Retrofit Projects</t>
  </si>
  <si>
    <t>Rate Class</t>
  </si>
  <si>
    <t>Principal</t>
  </si>
  <si>
    <t>Interest</t>
  </si>
  <si>
    <t>Total</t>
  </si>
  <si>
    <t>Variable Rate</t>
  </si>
  <si>
    <t>General Service &lt; 50 kW</t>
  </si>
  <si>
    <t>General Service &gt; 50 kW</t>
  </si>
  <si>
    <t>General Service &gt; 1,000 kW</t>
  </si>
  <si>
    <t>Column1</t>
  </si>
  <si>
    <t>Column2</t>
  </si>
  <si>
    <t>Column3</t>
  </si>
  <si>
    <t>Column4</t>
  </si>
  <si>
    <t>Column5</t>
  </si>
  <si>
    <t>Column6</t>
  </si>
  <si>
    <t xml:space="preserve">Total </t>
  </si>
  <si>
    <t>Gross to Net Ratio</t>
  </si>
  <si>
    <t>Gross kW Savings</t>
  </si>
  <si>
    <t>Net kW Savings</t>
  </si>
  <si>
    <t>Column7</t>
  </si>
  <si>
    <t>Lost Revenue</t>
  </si>
  <si>
    <t>Street Lighting</t>
  </si>
  <si>
    <t>GS&lt; 50 kW</t>
  </si>
  <si>
    <t>GS&gt;50</t>
  </si>
  <si>
    <t>GS&gt;1,000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</si>
</sst>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[$-1009]d\-mmm\-yy;@"/>
    <numFmt numFmtId="169" formatCode="#,##0;\-#,##0;&quot;-&quot;_____;"/>
    <numFmt numFmtId="170" formatCode="0.0%"/>
    <numFmt numFmtId="171" formatCode="_(* #,##0_);_(* \(#,##0\);_(* &quot;-&quot;??_);_(@_)"/>
    <numFmt numFmtId="172" formatCode="&quot;$&quot;#,##0_);[Red]\(&quot;$&quot;#,##0\)"/>
    <numFmt numFmtId="173" formatCode="&quot;$&quot;#,##0.0000_);[Red]\(&quot;$&quot;#,##0.0000\)"/>
    <numFmt numFmtId="174" formatCode="_(* #,##0.0000_);_(* \(#,##0.00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4D7094"/>
        <bgColor indexed="64"/>
      </patternFill>
    </fill>
    <fill>
      <patternFill patternType="solid">
        <fgColor rgb="FFEBEBFF"/>
        <bgColor indexed="64"/>
      </patternFill>
    </fill>
    <fill>
      <patternFill patternType="solid">
        <fgColor rgb="FFF5F5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167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3" fillId="2" borderId="1" xfId="1" applyFont="1" applyFill="1" applyBorder="1" applyAlignment="1">
      <alignment horizontal="center" vertical="center" wrapText="1"/>
    </xf>
    <xf numFmtId="165" fontId="3" fillId="2" borderId="1" xfId="2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/>
    </xf>
    <xf numFmtId="167" fontId="1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0" fontId="1" fillId="0" borderId="0" xfId="1" applyNumberFormat="1" applyFont="1" applyFill="1" applyBorder="1" applyAlignment="1">
      <alignment horizontal="center" vertical="center"/>
    </xf>
    <xf numFmtId="167" fontId="1" fillId="0" borderId="0" xfId="1" applyNumberFormat="1" applyFont="1" applyFill="1" applyBorder="1" applyAlignment="1">
      <alignment horizontal="center" vertical="center"/>
    </xf>
    <xf numFmtId="0" fontId="1" fillId="0" borderId="2" xfId="1" applyNumberFormat="1" applyFont="1" applyFill="1" applyBorder="1" applyAlignment="1">
      <alignment horizontal="center" vertical="center"/>
    </xf>
    <xf numFmtId="0" fontId="0" fillId="0" borderId="2" xfId="0" applyBorder="1"/>
    <xf numFmtId="167" fontId="1" fillId="0" borderId="2" xfId="1" applyNumberFormat="1" applyFont="1" applyFill="1" applyBorder="1" applyAlignment="1">
      <alignment horizontal="center" vertical="center"/>
    </xf>
    <xf numFmtId="167" fontId="1" fillId="0" borderId="3" xfId="1" applyNumberFormat="1" applyFont="1" applyFill="1" applyBorder="1" applyAlignment="1">
      <alignment horizontal="center" vertical="center"/>
    </xf>
    <xf numFmtId="0" fontId="0" fillId="0" borderId="2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6" fontId="4" fillId="0" borderId="1" xfId="1" applyFont="1" applyFill="1" applyBorder="1" applyAlignment="1" applyProtection="1">
      <alignment horizontal="left"/>
      <protection locked="0" hidden="1"/>
    </xf>
    <xf numFmtId="166" fontId="4" fillId="0" borderId="4" xfId="1" applyFont="1" applyFill="1" applyBorder="1" applyAlignment="1" applyProtection="1">
      <alignment horizontal="left"/>
      <protection locked="0" hidden="1"/>
    </xf>
    <xf numFmtId="166" fontId="4" fillId="0" borderId="2" xfId="1" applyFont="1" applyFill="1" applyBorder="1" applyAlignment="1" applyProtection="1">
      <alignment horizontal="left"/>
      <protection locked="0" hidden="1"/>
    </xf>
    <xf numFmtId="165" fontId="4" fillId="0" borderId="2" xfId="2" applyFont="1" applyFill="1" applyBorder="1" applyProtection="1">
      <protection locked="0" hidden="1"/>
    </xf>
    <xf numFmtId="165" fontId="4" fillId="0" borderId="1" xfId="2" applyFont="1" applyFill="1" applyBorder="1" applyProtection="1">
      <protection locked="0" hidden="1"/>
    </xf>
    <xf numFmtId="164" fontId="0" fillId="0" borderId="1" xfId="0" applyNumberFormat="1" applyBorder="1"/>
    <xf numFmtId="165" fontId="4" fillId="0" borderId="0" xfId="2" applyFont="1" applyFill="1" applyBorder="1" applyProtection="1">
      <protection locked="0" hidden="1"/>
    </xf>
    <xf numFmtId="164" fontId="0" fillId="0" borderId="2" xfId="0" applyNumberFormat="1" applyBorder="1"/>
    <xf numFmtId="168" fontId="0" fillId="0" borderId="1" xfId="0" applyNumberFormat="1" applyBorder="1" applyAlignment="1">
      <alignment horizontal="right"/>
    </xf>
    <xf numFmtId="15" fontId="0" fillId="0" borderId="1" xfId="0" applyNumberFormat="1" applyBorder="1"/>
    <xf numFmtId="168" fontId="0" fillId="0" borderId="0" xfId="0" applyNumberFormat="1" applyAlignment="1">
      <alignment horizontal="right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168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4" fillId="0" borderId="2" xfId="2" applyNumberFormat="1" applyFont="1" applyFill="1" applyBorder="1" applyProtection="1">
      <protection locked="0" hidden="1"/>
    </xf>
    <xf numFmtId="0" fontId="0" fillId="0" borderId="0" xfId="0" applyFill="1" applyBorder="1"/>
    <xf numFmtId="0" fontId="0" fillId="0" borderId="0" xfId="0" applyFill="1"/>
    <xf numFmtId="0" fontId="9" fillId="3" borderId="6" xfId="0" quotePrefix="1" applyFont="1" applyFill="1" applyBorder="1" applyAlignment="1">
      <alignment vertical="top"/>
    </xf>
    <xf numFmtId="0" fontId="8" fillId="3" borderId="7" xfId="0" applyFont="1" applyFill="1" applyBorder="1" applyAlignment="1">
      <alignment horizontal="center" vertical="top"/>
    </xf>
    <xf numFmtId="0" fontId="8" fillId="3" borderId="7" xfId="0" applyFont="1" applyFill="1" applyBorder="1" applyAlignment="1">
      <alignment vertical="top"/>
    </xf>
    <xf numFmtId="0" fontId="8" fillId="3" borderId="0" xfId="0" applyFont="1" applyFill="1" applyAlignment="1">
      <alignment horizontal="center" vertical="top"/>
    </xf>
    <xf numFmtId="0" fontId="5" fillId="4" borderId="8" xfId="0" applyFont="1" applyFill="1" applyBorder="1" applyAlignment="1">
      <alignment vertical="top"/>
    </xf>
    <xf numFmtId="169" fontId="10" fillId="5" borderId="9" xfId="0" applyNumberFormat="1" applyFont="1" applyFill="1" applyBorder="1" applyAlignment="1">
      <alignment vertical="top"/>
    </xf>
    <xf numFmtId="9" fontId="10" fillId="5" borderId="9" xfId="3" applyFont="1" applyFill="1" applyBorder="1" applyAlignment="1">
      <alignment vertical="top"/>
    </xf>
    <xf numFmtId="0" fontId="5" fillId="4" borderId="10" xfId="0" applyFont="1" applyFill="1" applyBorder="1" applyAlignment="1">
      <alignment vertical="top"/>
    </xf>
    <xf numFmtId="169" fontId="10" fillId="5" borderId="11" xfId="0" applyNumberFormat="1" applyFont="1" applyFill="1" applyBorder="1" applyAlignment="1">
      <alignment vertical="top"/>
    </xf>
    <xf numFmtId="9" fontId="10" fillId="5" borderId="11" xfId="3" applyFont="1" applyFill="1" applyBorder="1" applyAlignment="1">
      <alignment vertical="top"/>
    </xf>
    <xf numFmtId="170" fontId="10" fillId="5" borderId="11" xfId="3" applyNumberFormat="1" applyFont="1" applyFill="1" applyBorder="1" applyAlignment="1">
      <alignment vertical="top"/>
    </xf>
    <xf numFmtId="0" fontId="5" fillId="6" borderId="12" xfId="0" applyFont="1" applyFill="1" applyBorder="1" applyAlignment="1">
      <alignment vertical="top"/>
    </xf>
    <xf numFmtId="169" fontId="10" fillId="7" borderId="13" xfId="0" applyNumberFormat="1" applyFont="1" applyFill="1" applyBorder="1" applyAlignment="1">
      <alignment vertical="top"/>
    </xf>
    <xf numFmtId="9" fontId="10" fillId="7" borderId="13" xfId="3" applyFont="1" applyFill="1" applyBorder="1" applyAlignment="1">
      <alignment vertical="top"/>
    </xf>
    <xf numFmtId="170" fontId="10" fillId="2" borderId="13" xfId="3" applyNumberFormat="1" applyFont="1" applyFill="1" applyBorder="1" applyAlignment="1">
      <alignment vertical="top"/>
    </xf>
    <xf numFmtId="0" fontId="5" fillId="4" borderId="12" xfId="0" applyFont="1" applyFill="1" applyBorder="1" applyAlignment="1">
      <alignment vertical="top"/>
    </xf>
    <xf numFmtId="169" fontId="10" fillId="5" borderId="13" xfId="0" applyNumberFormat="1" applyFont="1" applyFill="1" applyBorder="1" applyAlignment="1">
      <alignment vertical="top"/>
    </xf>
    <xf numFmtId="9" fontId="10" fillId="5" borderId="13" xfId="3" applyFont="1" applyFill="1" applyBorder="1" applyAlignment="1">
      <alignment vertical="top"/>
    </xf>
    <xf numFmtId="170" fontId="10" fillId="0" borderId="13" xfId="3" applyNumberFormat="1" applyFont="1" applyFill="1" applyBorder="1" applyAlignment="1">
      <alignment vertical="top"/>
    </xf>
    <xf numFmtId="170" fontId="10" fillId="7" borderId="13" xfId="3" applyNumberFormat="1" applyFont="1" applyFill="1" applyBorder="1" applyAlignment="1">
      <alignment vertical="top"/>
    </xf>
    <xf numFmtId="170" fontId="10" fillId="5" borderId="13" xfId="3" applyNumberFormat="1" applyFont="1" applyFill="1" applyBorder="1" applyAlignment="1">
      <alignment vertical="top"/>
    </xf>
    <xf numFmtId="0" fontId="10" fillId="4" borderId="12" xfId="0" applyFont="1" applyFill="1" applyBorder="1" applyAlignment="1">
      <alignment vertical="top"/>
    </xf>
    <xf numFmtId="169" fontId="9" fillId="3" borderId="14" xfId="0" applyNumberFormat="1" applyFont="1" applyFill="1" applyBorder="1" applyAlignment="1">
      <alignment vertical="top"/>
    </xf>
    <xf numFmtId="10" fontId="0" fillId="0" borderId="0" xfId="0" applyNumberFormat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166" fontId="0" fillId="0" borderId="0" xfId="1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2" fontId="0" fillId="0" borderId="0" xfId="0" applyNumberFormat="1" applyAlignment="1">
      <alignment vertical="center"/>
    </xf>
    <xf numFmtId="173" fontId="0" fillId="0" borderId="0" xfId="0" applyNumberFormat="1" applyAlignment="1">
      <alignment vertical="center"/>
    </xf>
    <xf numFmtId="172" fontId="0" fillId="0" borderId="0" xfId="1" applyNumberFormat="1" applyFont="1" applyAlignment="1">
      <alignment vertical="center"/>
    </xf>
    <xf numFmtId="0" fontId="0" fillId="0" borderId="0" xfId="0" applyAlignment="1">
      <alignment vertical="top"/>
    </xf>
    <xf numFmtId="171" fontId="0" fillId="0" borderId="0" xfId="1" applyNumberFormat="1" applyFont="1" applyFill="1"/>
    <xf numFmtId="171" fontId="0" fillId="0" borderId="0" xfId="1" applyNumberFormat="1" applyFont="1"/>
    <xf numFmtId="170" fontId="0" fillId="0" borderId="0" xfId="3" applyNumberFormat="1" applyFont="1"/>
    <xf numFmtId="0" fontId="0" fillId="0" borderId="9" xfId="0" applyBorder="1" applyAlignment="1">
      <alignment vertical="top"/>
    </xf>
    <xf numFmtId="171" fontId="0" fillId="0" borderId="9" xfId="1" applyNumberFormat="1" applyFont="1" applyBorder="1"/>
    <xf numFmtId="0" fontId="7" fillId="8" borderId="0" xfId="0" applyFont="1" applyFill="1" applyAlignment="1">
      <alignment horizontal="center" wrapText="1"/>
    </xf>
    <xf numFmtId="0" fontId="7" fillId="8" borderId="0" xfId="0" applyFont="1" applyFill="1" applyAlignment="1">
      <alignment horizontal="left" vertical="center"/>
    </xf>
    <xf numFmtId="170" fontId="0" fillId="0" borderId="0" xfId="0" applyNumberFormat="1"/>
    <xf numFmtId="170" fontId="0" fillId="0" borderId="0" xfId="3" applyNumberFormat="1" applyFont="1" applyFill="1" applyAlignment="1">
      <alignment horizontal="center"/>
    </xf>
    <xf numFmtId="170" fontId="0" fillId="0" borderId="0" xfId="3" applyNumberFormat="1" applyFont="1" applyAlignment="1">
      <alignment horizontal="center"/>
    </xf>
    <xf numFmtId="166" fontId="0" fillId="0" borderId="0" xfId="0" applyNumberFormat="1" applyAlignment="1">
      <alignment vertical="center"/>
    </xf>
    <xf numFmtId="166" fontId="0" fillId="0" borderId="0" xfId="1" applyNumberFormat="1" applyFont="1" applyAlignment="1">
      <alignment vertical="center"/>
    </xf>
    <xf numFmtId="174" fontId="0" fillId="0" borderId="0" xfId="0" applyNumberFormat="1" applyAlignment="1">
      <alignment vertical="center"/>
    </xf>
    <xf numFmtId="171" fontId="0" fillId="0" borderId="5" xfId="1" applyNumberFormat="1" applyFont="1" applyBorder="1"/>
    <xf numFmtId="0" fontId="8" fillId="3" borderId="5" xfId="0" applyFont="1" applyFill="1" applyBorder="1" applyAlignment="1">
      <alignment horizontal="center" vertical="top"/>
    </xf>
    <xf numFmtId="0" fontId="8" fillId="3" borderId="0" xfId="0" applyFont="1" applyFill="1" applyAlignment="1">
      <alignment horizontal="center" vertical="top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1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1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0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1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1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1" formatCode="_(* #,##0_);_(* \(#,##0\);_(* &quot;-&quot;??_);_(@_)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73" formatCode="&quot;$&quot;#,##0.0000_);[Red]\(&quot;$&quot;#,##0.0000\)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2" formatCode="&quot;$&quot;#,##0_);[Red]\(&quot;$&quot;#,##0\)"/>
      <alignment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2" formatCode="&quot;$&quot;#,##0_);[Red]\(&quot;$&quot;#,##0\)"/>
      <alignment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2" formatCode="&quot;$&quot;#,##0_);[Red]\(&quot;$&quot;#,##0\)"/>
      <alignment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17</xdr:row>
      <xdr:rowOff>161925</xdr:rowOff>
    </xdr:from>
    <xdr:to>
      <xdr:col>13</xdr:col>
      <xdr:colOff>169853</xdr:colOff>
      <xdr:row>37</xdr:row>
      <xdr:rowOff>171477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E879A3-2E7B-4D77-9D4A-F769A0FB7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600450"/>
          <a:ext cx="8580428" cy="36290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115511</xdr:rowOff>
    </xdr:from>
    <xdr:to>
      <xdr:col>13</xdr:col>
      <xdr:colOff>114300</xdr:colOff>
      <xdr:row>57</xdr:row>
      <xdr:rowOff>28599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B076CF-0325-4F7C-ACCF-41F1B05FF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535486"/>
          <a:ext cx="8534400" cy="31706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&amp;%20OEB%20matters/RATE%20SUBMISSION/2022%20Rate%20Application/1.%20Final%20Submission/Models/Oakville%20Hydro_2022_Generic_LRAMVA_Workform_1.0_202108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&amp;%20OEB%20matters/RATE%20SUBMISSION/2022%20Rate%20Application/1.%20Final%20Submission/Models/Oakville%20Hydro_2022-IRM-Rate-Generator-Model_20210818-v1.0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structions"/>
      <sheetName val="LRAMVA Checklist Schematic"/>
      <sheetName val="DropDownList"/>
      <sheetName val="1.  LRAMVA Summary"/>
      <sheetName val="1-a.  Summary of Changes"/>
      <sheetName val="2. LRAMVA Threshold"/>
      <sheetName val="3.  Distribution Rates"/>
      <sheetName val="4.  2011-2014 LRAM"/>
      <sheetName val="5.  2015-2020 LRAM"/>
      <sheetName val="6.  Carrying Charges"/>
      <sheetName val="7.  Persistence Report"/>
      <sheetName val="8.  Streetlighting"/>
    </sheetNames>
    <sheetDataSet>
      <sheetData sheetId="0"/>
      <sheetData sheetId="1"/>
      <sheetData sheetId="2"/>
      <sheetData sheetId="3"/>
      <sheetData sheetId="4">
        <row r="30">
          <cell r="E30">
            <v>249358.14379947635</v>
          </cell>
          <cell r="F30">
            <v>1721.0906883493028</v>
          </cell>
        </row>
        <row r="31">
          <cell r="E31">
            <v>171355.75909117295</v>
          </cell>
          <cell r="F31">
            <v>1182.7117288938664</v>
          </cell>
        </row>
        <row r="32">
          <cell r="E32">
            <v>26966.514854660658</v>
          </cell>
          <cell r="F32">
            <v>186.12513273643901</v>
          </cell>
        </row>
        <row r="33">
          <cell r="E33">
            <v>-386.35650120789904</v>
          </cell>
          <cell r="F33">
            <v>-2.6666647677120197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8">
          <cell r="K18">
            <v>1.5E-3</v>
          </cell>
        </row>
        <row r="19">
          <cell r="K19">
            <v>0.1258</v>
          </cell>
        </row>
        <row r="20">
          <cell r="K20">
            <v>6.1499999999999999E-2</v>
          </cell>
        </row>
        <row r="23">
          <cell r="K23">
            <v>-2.3900000000000001E-2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yanne Wilson" refreshedDate="44370.628571180554" createdVersion="7" refreshedVersion="7" minRefreshableVersion="3" recordCount="80" xr:uid="{2EE40716-DB78-4E3F-ABF5-47CB0CF06B7E}">
  <cacheSource type="worksheet">
    <worksheetSource ref="A1:I81" sheet="Projects"/>
  </cacheSource>
  <cacheFields count="9">
    <cacheField name="Application #" numFmtId="0">
      <sharedItems containsSemiMixedTypes="0" containsString="0" containsNumber="1" containsInteger="1" minValue="165231" maxValue="207555"/>
    </cacheField>
    <cacheField name="Account" numFmtId="0">
      <sharedItems/>
    </cacheField>
    <cacheField name="Bill Code" numFmtId="0">
      <sharedItems containsSemiMixedTypes="0" containsString="0" containsNumber="1" containsInteger="1" minValue="2" maxValue="4" count="3">
        <n v="3"/>
        <n v="2"/>
        <n v="4"/>
      </sharedItems>
    </cacheField>
    <cacheField name="Customer" numFmtId="0">
      <sharedItems/>
    </cacheField>
    <cacheField name="kW" numFmtId="0">
      <sharedItems containsSemiMixedTypes="0" containsString="0" containsNumber="1" minValue="0" maxValue="83.6"/>
    </cacheField>
    <cacheField name="kWh" numFmtId="0">
      <sharedItems containsSemiMixedTypes="0" containsString="0" containsNumber="1" containsInteger="1" minValue="962" maxValue="732502"/>
    </cacheField>
    <cacheField name="Incentive" numFmtId="0">
      <sharedItems containsMixedTypes="1" containsNumber="1" minValue="275" maxValue="55094.9"/>
    </cacheField>
    <cacheField name="Pay date" numFmtId="0">
      <sharedItems containsDate="1" containsMixedTypes="1" minDate="2020-04-01T00:00:00" maxDate="2020-11-26T00:00:00"/>
    </cacheField>
    <cacheField name="Cheque #" numFmtId="0">
      <sharedItems containsMixedTypes="1" containsNumber="1" containsInteger="1" minValue="5607" maxValue="207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">
  <r>
    <n v="170632"/>
    <s v="151871-00"/>
    <x v="0"/>
    <s v="1507952 Ontario Inc (2937 Sherwood Heights Dr, Oakville)"/>
    <n v="2.4"/>
    <n v="10808"/>
    <n v="2314"/>
    <d v="2020-09-02T00:00:00"/>
    <n v="20522"/>
  </r>
  <r>
    <n v="172440"/>
    <s v="151871-00"/>
    <x v="0"/>
    <s v="1507952 Ontario Inc (2937 Sherwood Heights Dr, Oakville)"/>
    <n v="0"/>
    <n v="29121"/>
    <n v="1456.05"/>
    <d v="2020-09-02T00:00:00"/>
    <n v="20522"/>
  </r>
  <r>
    <n v="173737"/>
    <s v="119947-01"/>
    <x v="1"/>
    <s v="Macs"/>
    <n v="6.5"/>
    <n v="52753"/>
    <n v="3282.8"/>
    <d v="2020-08-26T00:00:00"/>
    <n v="20496"/>
  </r>
  <r>
    <n v="174344"/>
    <s v="134966-01"/>
    <x v="0"/>
    <s v="H&amp;R REIT"/>
    <n v="0"/>
    <n v="10080"/>
    <n v="900"/>
    <d v="2020-09-16T00:00:00"/>
    <n v="20547"/>
  </r>
  <r>
    <n v="179353"/>
    <s v="176159-01"/>
    <x v="0"/>
    <s v="HSCC 61"/>
    <n v="0"/>
    <n v="76420"/>
    <n v="7642"/>
    <d v="2020-09-09T00:00:00"/>
    <s v="20536"/>
  </r>
  <r>
    <n v="180272"/>
    <s v="There are 2 - both are 3MI"/>
    <x v="0"/>
    <s v="Loblaws"/>
    <n v="8.9"/>
    <n v="41162"/>
    <n v="6272"/>
    <d v="2020-05-13T00:00:00"/>
    <n v="20296"/>
  </r>
  <r>
    <n v="181107"/>
    <s v="104997-02"/>
    <x v="0"/>
    <s v="Ctm"/>
    <n v="13.7"/>
    <n v="50841"/>
    <n v="5480"/>
    <d v="2020-08-26T00:00:00"/>
    <n v="20505"/>
  </r>
  <r>
    <n v="181108"/>
    <s v="104997-02"/>
    <x v="0"/>
    <s v="Ctm"/>
    <n v="18.5"/>
    <n v="55844"/>
    <n v="7400"/>
    <d v="2020-08-26T00:00:00"/>
    <n v="20504"/>
  </r>
  <r>
    <n v="181110"/>
    <s v="104997-02"/>
    <x v="0"/>
    <s v="CTM - 2381 Bristol"/>
    <n v="9.1"/>
    <n v="27290"/>
    <n v="3640"/>
    <d v="2020-06-17T00:00:00"/>
    <s v="20380"/>
  </r>
  <r>
    <n v="182185"/>
    <s v="104997-02"/>
    <x v="0"/>
    <s v="Ctm"/>
    <n v="0"/>
    <n v="12055"/>
    <n v="602.75"/>
    <d v="2020-09-09T00:00:00"/>
    <s v="20538"/>
  </r>
  <r>
    <n v="186937"/>
    <s v="135901-01"/>
    <x v="0"/>
    <s v="Starlight Investments (297 Queens,Oakville,L6H2B4)"/>
    <n v="7"/>
    <n v="62228"/>
    <n v="3153.05"/>
    <d v="2020-06-03T00:00:00"/>
    <s v="20357"/>
  </r>
  <r>
    <n v="188361"/>
    <s v="180553-00"/>
    <x v="0"/>
    <s v="Fairview Fittings And Manufacturing - 1170 Invicta  - Unit 3"/>
    <n v="28.7"/>
    <n v="108090"/>
    <n v="12070"/>
    <d v="2020-06-03T00:00:00"/>
    <s v="20348"/>
  </r>
  <r>
    <n v="188690"/>
    <s v="172071-00"/>
    <x v="1"/>
    <s v="Techniweld"/>
    <n v="15.2"/>
    <n v="64575"/>
    <s v="$7,665.75 (incl HST)"/>
    <d v="2020-07-16T00:00:00"/>
    <s v="20420"/>
  </r>
  <r>
    <n v="188815"/>
    <s v="Some 2 and some 3"/>
    <x v="0"/>
    <s v="Homestead Land Holdings"/>
    <n v="0"/>
    <n v="31879"/>
    <n v="3187.9"/>
    <d v="2020-09-23T00:00:00"/>
    <n v="20560"/>
  </r>
  <r>
    <n v="188817"/>
    <s v="Some 2 and some 3"/>
    <x v="0"/>
    <s v="Homestead Land Holdings"/>
    <n v="0"/>
    <n v="27540"/>
    <n v="2754"/>
    <d v="2020-09-23T00:00:00"/>
    <n v="20560"/>
  </r>
  <r>
    <n v="190161"/>
    <s v="171330-01"/>
    <x v="0"/>
    <s v="Chartwell 180 Oak Park"/>
    <n v="26"/>
    <n v="196215"/>
    <n v="13038.8"/>
    <d v="2020-06-17T00:00:00"/>
    <s v="20374"/>
  </r>
  <r>
    <n v="191697"/>
    <s v="There are two and both are 3MI"/>
    <x v="0"/>
    <s v="Halton Catholic District School Board"/>
    <n v="0"/>
    <n v="9150"/>
    <n v="915"/>
    <d v="2020-09-16T00:00:00"/>
    <n v="20555"/>
  </r>
  <r>
    <n v="191700"/>
    <s v="There are two and both are 3MI"/>
    <x v="0"/>
    <s v="Halton Catholic District School Board"/>
    <n v="0"/>
    <n v="9150"/>
    <n v="915"/>
    <d v="2020-09-16T00:00:00"/>
    <n v="20555"/>
  </r>
  <r>
    <n v="191705"/>
    <s v="There are two and both are 3MI"/>
    <x v="0"/>
    <s v="Halton Catholic District School Board"/>
    <n v="0"/>
    <n v="9150"/>
    <n v="915"/>
    <d v="2020-09-16T00:00:00"/>
    <n v="20555"/>
  </r>
  <r>
    <n v="192923"/>
    <s v="105050-01"/>
    <x v="1"/>
    <s v="Great West Life Realty Advisors (2725 Bristol,Oakville,L6H6X5)"/>
    <n v="1.665"/>
    <n v="1000"/>
    <n v="2845.35"/>
    <d v="2020-09-16T00:00:00"/>
    <n v="20553"/>
  </r>
  <r>
    <n v="192936"/>
    <s v="102678-00"/>
    <x v="0"/>
    <s v="Central West Specialized Dev"/>
    <n v="0"/>
    <n v="167365"/>
    <n v="12800"/>
    <d v="2020-09-23T00:00:00"/>
    <n v="20567"/>
  </r>
  <r>
    <n v="192984"/>
    <s v="Can't find account"/>
    <x v="1"/>
    <s v="1140538 Ontario Inc -2212 Wyecroft"/>
    <n v="9.08"/>
    <n v="35399"/>
    <n v="4482"/>
    <d v="2020-09-09T00:00:00"/>
    <s v="20537"/>
  </r>
  <r>
    <n v="193433"/>
    <s v="141943-00"/>
    <x v="2"/>
    <s v="Goodrich Aerospace Canada Ltd."/>
    <n v="83.6"/>
    <n v="732502"/>
    <n v="36625.1"/>
    <d v="2020-09-02T00:00:00"/>
    <n v="20524"/>
  </r>
  <r>
    <n v="193435"/>
    <s v="141943-00"/>
    <x v="2"/>
    <s v="Goodrich Aerospace Canada Ltd."/>
    <n v="53.1"/>
    <n v="465417"/>
    <n v="23270.85"/>
    <d v="2020-09-16T00:00:00"/>
    <n v="20557"/>
  </r>
  <r>
    <n v="194444"/>
    <s v="Class as "/>
    <x v="1"/>
    <s v="Homestead Land Holdings"/>
    <n v="0.88"/>
    <n v="23480"/>
    <n v="1951.44"/>
    <d v="2020-09-23T00:00:00"/>
    <n v="20560"/>
  </r>
  <r>
    <n v="194445"/>
    <s v="There are several - some 2 and some 3"/>
    <x v="1"/>
    <s v="Homestead Land Holdings"/>
    <n v="1.7853000000000001"/>
    <n v="26853"/>
    <n v="1752.3"/>
    <d v="2020-09-23T00:00:00"/>
    <n v="20560"/>
  </r>
  <r>
    <n v="194692"/>
    <s v="Classed as 3 in 2019"/>
    <x v="0"/>
    <s v="Appleby College"/>
    <n v="1.02"/>
    <n v="4701"/>
    <n v="1635"/>
    <d v="2020-08-26T00:00:00"/>
    <n v="20500"/>
  </r>
  <r>
    <n v="196134"/>
    <s v="144919-00"/>
    <x v="0"/>
    <s v="Town of Oakville-Town Hall"/>
    <n v="12.6"/>
    <n v="59104"/>
    <n v="5040"/>
    <d v="2020-04-29T00:00:00"/>
    <n v="20247"/>
  </r>
  <r>
    <n v="197091"/>
    <s v="135151-01"/>
    <x v="0"/>
    <s v="Poss Design Limited"/>
    <n v="52.3"/>
    <n v="348671"/>
    <n v="21770"/>
    <d v="2020-06-03T00:00:00"/>
    <s v="20350"/>
  </r>
  <r>
    <n v="197277"/>
    <s v="There are two and both are 3MI"/>
    <x v="0"/>
    <s v="Staples (Head Office)"/>
    <n v="81.5"/>
    <n v="374411"/>
    <n v="55094.9"/>
    <d v="2020-05-20T00:00:00"/>
    <n v="20330"/>
  </r>
  <r>
    <n v="198957"/>
    <s v="162595-01"/>
    <x v="1"/>
    <s v="Central Erin Management (BISHOPS GATE HOUSE,OAKVILLE,L6J1P5)"/>
    <n v="3.5"/>
    <n v="31126"/>
    <n v="1556.3"/>
    <d v="2020-08-26T00:00:00"/>
    <n v="20503"/>
  </r>
  <r>
    <n v="199064"/>
    <s v="105234-01"/>
    <x v="0"/>
    <s v="2035224 Ontario Inc. (2770 Brighton,Oakville,L6H5T4)"/>
    <n v="10.7"/>
    <n v="42237"/>
    <n v="4280"/>
    <d v="2020-09-09T00:00:00"/>
    <s v="20544"/>
  </r>
  <r>
    <n v="200802"/>
    <s v="121376-00"/>
    <x v="0"/>
    <s v="Roedean"/>
    <n v="17.899999999999999"/>
    <n v="160440"/>
    <n v="9086.7999999999993"/>
    <d v="2020-07-09T00:00:00"/>
    <s v="20416"/>
  </r>
  <r>
    <n v="200816"/>
    <s v="141956-05"/>
    <x v="1"/>
    <s v="alternawork inc. (2115 South Service Road W Unit #6,Oakville,L6L5W2)"/>
    <n v="0"/>
    <n v="14616"/>
    <n v="1320"/>
    <d v="2020-08-26T00:00:00"/>
    <n v="20512"/>
  </r>
  <r>
    <n v="200888"/>
    <s v="162595-01"/>
    <x v="1"/>
    <s v="Central Erin Management (1440-1450 bishop gate,Oakville,L6M4M9)"/>
    <n v="2.8"/>
    <n v="24724"/>
    <n v="1236.2"/>
    <d v="2020-08-26T00:00:00"/>
    <n v="20503"/>
  </r>
  <r>
    <n v="202129"/>
    <s v="127360-01"/>
    <x v="1"/>
    <s v="HERITAGE MONTESSORI INC (1289 MARLBOROUGH COURT ,OAKVILLE ,L6H2R9)"/>
    <n v="1.5389999999999999"/>
    <n v="7071"/>
    <n v="2465"/>
    <d v="2020-09-09T00:00:00"/>
    <s v="20533"/>
  </r>
  <r>
    <n v="202576"/>
    <s v="142555-02"/>
    <x v="1"/>
    <s v="KHAIR BROTHERS HOLDINGS INC (1071 SPEERS ROAD ,OAKVILLE ,L6L2X5)"/>
    <n v="3.2"/>
    <n v="10857"/>
    <n v="1280"/>
    <d v="2020-09-09T00:00:00"/>
    <s v="20542"/>
  </r>
  <r>
    <n v="204592"/>
    <s v="142757-00"/>
    <x v="1"/>
    <s v="Steeplejack Services"/>
    <n v="0.69"/>
    <n v="3165"/>
    <n v="1102.2"/>
    <d v="2020-04-08T00:00:00"/>
    <n v="20236"/>
  </r>
  <r>
    <n v="204798"/>
    <s v="There are two and both are 3MI"/>
    <x v="0"/>
    <s v="Appleby College"/>
    <n v="2.99"/>
    <n v="13748"/>
    <n v="4105"/>
    <d v="2020-04-01T00:00:00"/>
    <n v="20213"/>
  </r>
  <r>
    <n v="205258"/>
    <s v="180939-01"/>
    <x v="0"/>
    <s v="Duka Property Management - 216 Oak Park - HSCC"/>
    <n v="13.6"/>
    <n v="118010"/>
    <n v="5900.5"/>
    <d v="2020-06-03T00:00:00"/>
    <s v="20358"/>
  </r>
  <r>
    <n v="205541"/>
    <s v="There are two and both are 3MI"/>
    <x v="0"/>
    <s v="Appleby College"/>
    <n v="9.3000000000000007"/>
    <n v="52486"/>
    <n v="3720"/>
    <d v="2020-04-01T00:00:00"/>
    <n v="20213"/>
  </r>
  <r>
    <n v="206198"/>
    <s v="121521-00"/>
    <x v="0"/>
    <s v="Metro Ontario Inc"/>
    <n v="12.87"/>
    <n v="281242"/>
    <n v="28124.2"/>
    <d v="2020-09-02T00:00:00"/>
    <n v="20518"/>
  </r>
  <r>
    <n v="206486"/>
    <s v="149207-01"/>
    <x v="0"/>
    <s v="Caravan Group Of Companies"/>
    <n v="9.6999999999999993"/>
    <n v="82843"/>
    <n v="4142.1499999999996"/>
    <d v="2020-04-01T00:00:00"/>
    <n v="20214"/>
  </r>
  <r>
    <n v="165231"/>
    <s v="There are two and both are 3MI"/>
    <x v="0"/>
    <s v="Lisgar Development Limited"/>
    <n v="0"/>
    <n v="98478"/>
    <n v="9847.7999999999993"/>
    <d v="2020-09-16T00:00:00"/>
    <n v="20556"/>
  </r>
  <r>
    <n v="192686"/>
    <s v="163277-01"/>
    <x v="1"/>
    <s v="HSCC 461 - 1460 Bishops"/>
    <n v="1.73"/>
    <n v="16315"/>
    <n v="1186.7"/>
    <d v="2020-10-07T00:00:00"/>
    <n v="20575"/>
  </r>
  <r>
    <n v="198074"/>
    <s v="105064-00"/>
    <x v="0"/>
    <s v="Levitt Safety Inc. (2872 Bristol,Oakville,L6H5T5)"/>
    <n v="4.21"/>
    <n v="9852"/>
    <n v="1684"/>
    <d v="2020-10-28T00:00:00"/>
    <n v="20597"/>
  </r>
  <r>
    <n v="193732"/>
    <s v="Classed as 3 in 2019"/>
    <x v="0"/>
    <s v="Appleby College"/>
    <n v="2.1"/>
    <n v="7246"/>
    <n v="869"/>
    <d v="2020-10-28T00:00:00"/>
    <n v="20591"/>
  </r>
  <r>
    <n v="194691"/>
    <s v="Classed as 3 in 2020"/>
    <x v="0"/>
    <s v="Appleby College"/>
    <n v="0.78"/>
    <n v="3583"/>
    <n v="1050"/>
    <d v="2020-10-28T00:00:00"/>
    <n v="20591"/>
  </r>
  <r>
    <n v="194697"/>
    <s v="Classed as 3 in 2021"/>
    <x v="0"/>
    <s v="Appleby College"/>
    <n v="0.71"/>
    <n v="3253"/>
    <n v="1066"/>
    <d v="2020-10-28T00:00:00"/>
    <n v="20591"/>
  </r>
  <r>
    <n v="205303"/>
    <s v="Classed as 3 in 2022"/>
    <x v="0"/>
    <s v="Appleby College"/>
    <n v="2.2000000000000002"/>
    <n v="6508"/>
    <n v="741.51"/>
    <d v="2020-10-28T00:00:00"/>
    <n v="20591"/>
  </r>
  <r>
    <n v="205529"/>
    <s v="Classed as 3 in 2023"/>
    <x v="0"/>
    <s v="Appleby College"/>
    <n v="1.05"/>
    <n v="4847"/>
    <n v="736"/>
    <d v="2020-10-28T00:00:00"/>
    <n v="20591"/>
  </r>
  <r>
    <n v="206633"/>
    <s v="Classed as 3 in 2024"/>
    <x v="0"/>
    <s v="Appleby College"/>
    <n v="1.54"/>
    <n v="7083"/>
    <n v="1595"/>
    <d v="2020-10-28T00:00:00"/>
    <n v="20591"/>
  </r>
  <r>
    <n v="206634"/>
    <s v="Classed as 3 in 2025"/>
    <x v="0"/>
    <s v="Appleby College"/>
    <n v="4.6100000000000003"/>
    <n v="21382"/>
    <n v="3475.88"/>
    <d v="2020-10-28T00:00:00"/>
    <n v="20591"/>
  </r>
  <r>
    <n v="206982"/>
    <s v="Classed as 3 in 2026"/>
    <x v="0"/>
    <s v="Appleby College"/>
    <n v="1.61"/>
    <n v="7364"/>
    <n v="1853.5"/>
    <d v="2020-10-28T00:00:00"/>
    <n v="20591"/>
  </r>
  <r>
    <n v="196291"/>
    <s v="119792-01"/>
    <x v="1"/>
    <s v="Korea Food Trading - 2501 Hampshire"/>
    <n v="10.7"/>
    <n v="61016"/>
    <n v="3000.27"/>
    <d v="2020-11-04T00:00:00"/>
    <n v="5607"/>
  </r>
  <r>
    <n v="187838"/>
    <s v="Multiple accounts - 2"/>
    <x v="1"/>
    <s v="Riocan Properties"/>
    <n v="8.7200000000000006"/>
    <n v="473151"/>
    <n v="37282.65"/>
    <d v="2020-11-04T00:00:00"/>
    <n v="20617"/>
  </r>
  <r>
    <n v="187839"/>
    <s v="Multiple accounts - 2"/>
    <x v="1"/>
    <s v="Riocan Properties"/>
    <n v="5.89"/>
    <n v="42289"/>
    <n v="3851"/>
    <d v="2020-11-04T00:00:00"/>
    <n v="20617"/>
  </r>
  <r>
    <n v="194155"/>
    <s v="141884-00"/>
    <x v="1"/>
    <s v="Soneil South Services Inc."/>
    <n v="17"/>
    <n v="64847"/>
    <n v="6800"/>
    <d v="2020-11-04T00:00:00"/>
    <n v="20618"/>
  </r>
  <r>
    <n v="188781"/>
    <s v="119976-04"/>
    <x v="0"/>
    <s v="Canadian Tire Oakville (Dundas #429 controls,oakville,L6H6Z9)"/>
    <n v="0"/>
    <n v="68116"/>
    <n v="3405.82"/>
    <d v="2020-11-11T00:00:00"/>
    <s v="20638"/>
  </r>
  <r>
    <n v="207555"/>
    <s v="103351-01"/>
    <x v="1"/>
    <s v="Sunray Group Inc - 754 Bronte"/>
    <n v="5.12"/>
    <n v="44696"/>
    <n v="2080"/>
    <d v="2020-11-11T00:00:00"/>
    <s v="20636"/>
  </r>
  <r>
    <n v="189835"/>
    <s v="Two accounts both 3"/>
    <x v="0"/>
    <s v="Crh Canada Group Inc. - 731 Third Line"/>
    <n v="11.56"/>
    <n v="101243"/>
    <n v="10124.299999999999"/>
    <d v="2020-11-11T00:00:00"/>
    <n v="20628"/>
  </r>
  <r>
    <n v="204464"/>
    <s v="141980-00"/>
    <x v="0"/>
    <s v="Creative Visual Solutions Inc."/>
    <n v="10.33"/>
    <n v="51090"/>
    <n v="7332"/>
    <d v="2020-11-11T00:00:00"/>
    <n v="20633"/>
  </r>
  <r>
    <n v="192550"/>
    <s v="There are two and both are 3MI"/>
    <x v="0"/>
    <s v="Capreit Limited Partnership"/>
    <n v="0"/>
    <n v="26140"/>
    <n v="2614"/>
    <d v="2020-11-11T00:00:00"/>
    <n v="20621"/>
  </r>
  <r>
    <n v="207465"/>
    <s v="112728-00"/>
    <x v="0"/>
    <s v="Cgc Inc - 735 4th Line"/>
    <n v="64.650000000000006"/>
    <n v="233592"/>
    <n v="35710"/>
    <d v="2020-11-11T00:00:00"/>
    <n v="20627"/>
  </r>
  <r>
    <n v="178678"/>
    <s v="142558-00"/>
    <x v="1"/>
    <s v="Louise Spiegel"/>
    <n v="0"/>
    <n v="9840"/>
    <n v="492"/>
    <d v="2020-11-11T00:00:00"/>
    <s v="20637"/>
  </r>
  <r>
    <n v="205537"/>
    <s v="112728-00"/>
    <x v="0"/>
    <s v="Cgc Inc - 735 4th Line"/>
    <n v="1.01"/>
    <n v="962"/>
    <n v="1163.42"/>
    <d v="2020-11-11T00:00:00"/>
    <n v="20627"/>
  </r>
  <r>
    <n v="202502"/>
    <s v="There are two and both are 2MI"/>
    <x v="1"/>
    <s v="Chemvest Holdings Inc"/>
    <n v="3.88"/>
    <n v="17011"/>
    <n v="5332"/>
    <d v="2020-11-11T00:00:00"/>
    <n v="20634"/>
  </r>
  <r>
    <n v="175029"/>
    <s v="Classed as 2 in 2019"/>
    <x v="1"/>
    <s v="TD"/>
    <n v="4.47"/>
    <n v="20740"/>
    <n v="2914"/>
    <d v="2020-11-18T00:00:00"/>
    <n v="5609"/>
  </r>
  <r>
    <n v="204808"/>
    <s v="141934-06"/>
    <x v="0"/>
    <s v="Iron Mountain"/>
    <n v="3.1"/>
    <n v="10865"/>
    <n v="1240"/>
    <d v="2020-11-18T00:00:00"/>
    <s v="ETF 2000004748"/>
  </r>
  <r>
    <n v="166550"/>
    <s v="There are two and both are 3MI"/>
    <x v="0"/>
    <s v="Halton District School Board"/>
    <n v="0"/>
    <n v="79816"/>
    <n v="7981.6"/>
    <d v="2020-11-25T00:00:00"/>
    <n v="20674"/>
  </r>
  <r>
    <n v="166549"/>
    <s v="There are two and both are 3MI"/>
    <x v="0"/>
    <s v="Halton District School Board"/>
    <n v="0"/>
    <n v="83608"/>
    <n v="8360.7999999999993"/>
    <d v="2020-11-25T00:00:00"/>
    <n v="20674"/>
  </r>
  <r>
    <n v="166552"/>
    <s v="There are two and both are 3MI"/>
    <x v="0"/>
    <s v="Halton District School Board"/>
    <n v="0"/>
    <n v="76187"/>
    <n v="7618.7"/>
    <d v="2020-11-25T00:00:00"/>
    <n v="20674"/>
  </r>
  <r>
    <n v="166551"/>
    <s v="There are two and both are 3MI"/>
    <x v="0"/>
    <s v="Halton District School Board"/>
    <n v="0"/>
    <n v="88485"/>
    <n v="8848.5"/>
    <d v="2020-11-25T00:00:00"/>
    <n v="20674"/>
  </r>
  <r>
    <n v="203422"/>
    <s v="146234-00"/>
    <x v="0"/>
    <s v="Sobey's Capital Inc. - 1500 Upper Middle"/>
    <n v="39.337000000000003"/>
    <n v="148182"/>
    <n v="8438.1"/>
    <s v="Dec 2-20"/>
    <n v="5611"/>
  </r>
  <r>
    <n v="196004"/>
    <s v="142201-00"/>
    <x v="0"/>
    <s v="Cando Apts Ltd - 30 Speers"/>
    <n v="2.6920000000000002"/>
    <n v="15366"/>
    <n v="2326"/>
    <s v="Dec 2-20"/>
    <n v="20680"/>
  </r>
  <r>
    <n v="197851"/>
    <s v="133009-00"/>
    <x v="0"/>
    <s v="Cando Apts Ltd - 1030 Pearson"/>
    <n v="1.06"/>
    <n v="4273"/>
    <n v="1196.4000000000001"/>
    <s v="Dec 2-20"/>
    <n v="20680"/>
  </r>
  <r>
    <n v="196903"/>
    <s v="118340-00"/>
    <x v="1"/>
    <s v="HCC60 - 1300 -1380 Hampton"/>
    <n v="0"/>
    <n v="3045"/>
    <n v="275"/>
    <s v="Dec 9-20"/>
    <n v="20707"/>
  </r>
  <r>
    <n v="191757"/>
    <s v="140923-00"/>
    <x v="1"/>
    <s v="Drive-Line Inc"/>
    <n v="0.8"/>
    <n v="2892"/>
    <n v="320"/>
    <s v="Dec 9-20"/>
    <n v="20706"/>
  </r>
  <r>
    <n v="200623"/>
    <s v="141904-03"/>
    <x v="0"/>
    <s v="630338 Ontario Inc"/>
    <n v="2.02"/>
    <n v="12805"/>
    <n v="2370"/>
    <s v="Dec 9-20"/>
    <n v="20714"/>
  </r>
  <r>
    <n v="204025"/>
    <s v="149097-03"/>
    <x v="1"/>
    <s v="1357008 Ontario Inc - 333 Wyecroft Unit 5"/>
    <n v="2.2999999999999998"/>
    <n v="8458"/>
    <n v="920"/>
    <s v="Dec 9-20"/>
    <n v="2070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40BF75-9915-415E-B7E4-CC542D231A98}" name="PivotTable2" cacheId="37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4:C8" firstHeaderRow="0" firstDataRow="1" firstDataCol="1"/>
  <pivotFields count="9"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dataField="1" showAll="0"/>
    <pivotField dataField="1" showAll="0"/>
    <pivotField showAll="0"/>
    <pivotField showAll="0"/>
    <pivotField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kWh" fld="5" baseField="0" baseItem="0"/>
    <dataField name="Sum of kW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EEC7B1-4C58-48A5-AE33-1C9DC6949B4B}" name="Table1" displayName="Table1" ref="A13:E18" totalsRowShown="0" headerRowDxfId="15" dataDxfId="14" dataCellStyle="Comma">
  <tableColumns count="5">
    <tableColumn id="1" xr3:uid="{7EB8B8BB-B6B8-4BC1-96AA-5F921E9BA216}" name="Rate Class" dataDxfId="13"/>
    <tableColumn id="4" xr3:uid="{9E699025-2663-45E9-98F8-9ABE603C1A9C}" name="Principal" dataDxfId="12" dataCellStyle="Comma"/>
    <tableColumn id="5" xr3:uid="{2076744E-0F74-4751-9701-D87A9CB6EA65}" name="Interest" dataDxfId="11" dataCellStyle="Comma"/>
    <tableColumn id="6" xr3:uid="{D2165CDE-489F-4D8D-B31A-FB4B7E92222D}" name="Total" dataDxfId="10" dataCellStyle="Comma"/>
    <tableColumn id="7" xr3:uid="{636E65D8-5645-4E75-BB72-04006AA282A7}" name="Variable Rate" dataDxfId="9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C43EB0B-8F02-409A-BF6F-75D629542737}" name="Table4" displayName="Table4" ref="A3:G7" totalsRowShown="0" dataDxfId="8" tableBorderDxfId="7" dataCellStyle="Comma">
  <autoFilter ref="A3:G7" xr:uid="{2C43EB0B-8F02-409A-BF6F-75D629542737}"/>
  <tableColumns count="7">
    <tableColumn id="1" xr3:uid="{10B4CB06-16B0-48AF-9393-5D61EB73B60E}" name="Column1" dataDxfId="6"/>
    <tableColumn id="2" xr3:uid="{38405FEA-BEDE-43CB-BDF1-A0DF55212B64}" name="Column2" dataDxfId="5" dataCellStyle="Comma"/>
    <tableColumn id="3" xr3:uid="{FAFE5F22-2B1C-4421-A82F-5BBD4F29631E}" name="Column3" dataDxfId="4" dataCellStyle="Comma"/>
    <tableColumn id="4" xr3:uid="{53B1575D-2967-4790-AD7A-6CCB744F7EE2}" name="Column4" dataDxfId="3" dataCellStyle="Comma"/>
    <tableColumn id="5" xr3:uid="{F1635263-447B-4EA5-8E74-DE74B8ED0855}" name="Column5" dataDxfId="2" dataCellStyle="Percent"/>
    <tableColumn id="6" xr3:uid="{17C6AE7D-7F00-4BE1-BC92-39855E6B5C60}" name="Column6" dataDxfId="1" dataCellStyle="Comma"/>
    <tableColumn id="7" xr3:uid="{7DF37F84-57C7-4AA8-BF49-680361FC2D86}" name="Column7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C187-7AB8-40D6-AF04-81FC0AE36C4C}">
  <dimension ref="A1:D17"/>
  <sheetViews>
    <sheetView tabSelected="1" workbookViewId="0">
      <selection activeCell="G20" sqref="G20"/>
    </sheetView>
  </sheetViews>
  <sheetFormatPr defaultRowHeight="15" x14ac:dyDescent="0.25"/>
  <cols>
    <col min="1" max="1" width="12" bestFit="1" customWidth="1"/>
    <col min="2" max="2" width="14.5703125" customWidth="1"/>
    <col min="3" max="3" width="9.7109375" bestFit="1" customWidth="1"/>
  </cols>
  <sheetData>
    <row r="1" spans="1:4" x14ac:dyDescent="0.25">
      <c r="A1" t="s">
        <v>178</v>
      </c>
    </row>
    <row r="3" spans="1:4" x14ac:dyDescent="0.25">
      <c r="A3" t="s">
        <v>175</v>
      </c>
    </row>
    <row r="4" spans="1:4" x14ac:dyDescent="0.25">
      <c r="A4" s="68" t="s">
        <v>171</v>
      </c>
      <c r="B4" s="70" t="s">
        <v>174</v>
      </c>
      <c r="C4" s="70" t="s">
        <v>173</v>
      </c>
    </row>
    <row r="5" spans="1:4" x14ac:dyDescent="0.25">
      <c r="A5" s="69">
        <v>2</v>
      </c>
      <c r="B5" s="70">
        <v>1059919</v>
      </c>
      <c r="C5" s="70">
        <v>107.44929999999999</v>
      </c>
    </row>
    <row r="6" spans="1:4" x14ac:dyDescent="0.25">
      <c r="A6" s="69">
        <v>3</v>
      </c>
      <c r="B6" s="70">
        <v>3642607</v>
      </c>
      <c r="C6" s="70">
        <v>493.34899999999999</v>
      </c>
    </row>
    <row r="7" spans="1:4" x14ac:dyDescent="0.25">
      <c r="A7" s="69">
        <v>4</v>
      </c>
      <c r="B7" s="70">
        <v>1197919</v>
      </c>
      <c r="C7" s="70">
        <v>136.69999999999999</v>
      </c>
    </row>
    <row r="8" spans="1:4" x14ac:dyDescent="0.25">
      <c r="A8" s="69" t="s">
        <v>172</v>
      </c>
      <c r="B8" s="70">
        <v>5900445</v>
      </c>
      <c r="C8" s="70">
        <v>737.49829999999997</v>
      </c>
    </row>
    <row r="9" spans="1:4" x14ac:dyDescent="0.25">
      <c r="B9" s="70"/>
      <c r="C9" s="70"/>
    </row>
    <row r="10" spans="1:4" x14ac:dyDescent="0.25">
      <c r="A10" t="s">
        <v>176</v>
      </c>
    </row>
    <row r="11" spans="1:4" x14ac:dyDescent="0.25">
      <c r="A11" t="s">
        <v>171</v>
      </c>
      <c r="B11" t="s">
        <v>174</v>
      </c>
      <c r="C11" t="s">
        <v>173</v>
      </c>
    </row>
    <row r="12" spans="1:4" x14ac:dyDescent="0.25">
      <c r="A12" t="s">
        <v>200</v>
      </c>
      <c r="B12" s="70">
        <f>GETPIVOTDATA("Sum of kWh",$A$4,"Bill Code",2)*'Net to Gross Ratio'!H6</f>
        <v>935908.47699999996</v>
      </c>
      <c r="C12" s="70">
        <f>GETPIVOTDATA("Sum of kW",$A$4,"Bill Code",2)*'Net to Gross Ratio'!I6</f>
        <v>101.86193639999999</v>
      </c>
      <c r="D12" s="79">
        <f>B12/B$15</f>
        <v>0.17963373948914019</v>
      </c>
    </row>
    <row r="13" spans="1:4" x14ac:dyDescent="0.25">
      <c r="A13" t="s">
        <v>201</v>
      </c>
      <c r="B13" s="70">
        <f>GETPIVOTDATA("Sum of kWh",$A$4,"Bill Code",3)*'Net to Gross Ratio'!H6</f>
        <v>3216421.9810000001</v>
      </c>
      <c r="C13" s="70">
        <f>GETPIVOTDATA("Sum of kW",$A$4,"Bill Code",3)*'Net to Gross Ratio'!I6</f>
        <v>467.69485199999997</v>
      </c>
      <c r="D13" s="79">
        <f t="shared" ref="D13:D14" si="0">B13/B$15</f>
        <v>0.61734445452842956</v>
      </c>
    </row>
    <row r="14" spans="1:4" x14ac:dyDescent="0.25">
      <c r="A14" t="s">
        <v>202</v>
      </c>
      <c r="B14" s="70">
        <f>GETPIVOTDATA("Sum of kWh",$A$4,"Bill Code",4)*'Net to Gross Ratio'!H6</f>
        <v>1057762.477</v>
      </c>
      <c r="C14" s="70">
        <f>GETPIVOTDATA("Sum of kW",$A$4,"Bill Code",4)*'Net to Gross Ratio'!I6</f>
        <v>129.59159999999997</v>
      </c>
      <c r="D14" s="79">
        <f t="shared" si="0"/>
        <v>0.20302180598243011</v>
      </c>
    </row>
    <row r="15" spans="1:4" x14ac:dyDescent="0.25">
      <c r="A15" t="s">
        <v>172</v>
      </c>
      <c r="B15" s="70">
        <f>SUM(B12:B14)</f>
        <v>5210092.9350000005</v>
      </c>
      <c r="C15" s="70">
        <f>SUM(C12:C14)</f>
        <v>699.14838839999993</v>
      </c>
      <c r="D15" s="84">
        <f>SUM(D12:D14)</f>
        <v>0.99999999999999989</v>
      </c>
    </row>
    <row r="17" spans="1:3" x14ac:dyDescent="0.25">
      <c r="A17" t="s">
        <v>177</v>
      </c>
      <c r="B17" s="70">
        <f>GETPIVOTDATA("Sum of kWh",$A$4)*'Net to Gross Ratio'!H6</f>
        <v>5210092.9349999996</v>
      </c>
      <c r="C17" s="70">
        <f>GETPIVOTDATA("Sum of kW",$A$4)*'Net to Gross Ratio'!I6</f>
        <v>699.14838839999993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DD05B-A03E-4C98-AAB0-F175464F6228}">
  <dimension ref="A1:G18"/>
  <sheetViews>
    <sheetView workbookViewId="0">
      <selection activeCell="B24" sqref="B24"/>
    </sheetView>
  </sheetViews>
  <sheetFormatPr defaultRowHeight="15" x14ac:dyDescent="0.25"/>
  <cols>
    <col min="1" max="1" width="27.42578125" bestFit="1" customWidth="1"/>
    <col min="2" max="7" width="11.85546875" customWidth="1"/>
  </cols>
  <sheetData>
    <row r="1" spans="1:7" x14ac:dyDescent="0.25">
      <c r="A1" t="s">
        <v>178</v>
      </c>
    </row>
    <row r="2" spans="1:7" ht="30" x14ac:dyDescent="0.25">
      <c r="A2" s="83" t="s">
        <v>133</v>
      </c>
      <c r="B2" s="82" t="s">
        <v>124</v>
      </c>
      <c r="C2" s="82" t="s">
        <v>194</v>
      </c>
      <c r="D2" s="82" t="s">
        <v>125</v>
      </c>
      <c r="E2" s="82" t="s">
        <v>195</v>
      </c>
      <c r="F2" s="82" t="s">
        <v>194</v>
      </c>
      <c r="G2" s="82" t="s">
        <v>196</v>
      </c>
    </row>
    <row r="3" spans="1:7" hidden="1" x14ac:dyDescent="0.25">
      <c r="A3" s="76" t="s">
        <v>187</v>
      </c>
      <c r="B3" s="77" t="s">
        <v>188</v>
      </c>
      <c r="C3" s="77" t="s">
        <v>189</v>
      </c>
      <c r="D3" s="78" t="s">
        <v>190</v>
      </c>
      <c r="E3" s="79" t="s">
        <v>191</v>
      </c>
      <c r="F3" s="78" t="s">
        <v>192</v>
      </c>
      <c r="G3" t="s">
        <v>197</v>
      </c>
    </row>
    <row r="4" spans="1:7" ht="18" customHeight="1" x14ac:dyDescent="0.25">
      <c r="A4" s="72" t="s">
        <v>184</v>
      </c>
      <c r="B4" s="77">
        <f>GETPIVOTDATA("Sum of kWh",Summary!$A$4,"Bill Code",2)</f>
        <v>1059919</v>
      </c>
      <c r="C4" s="85">
        <f>'Net to Gross Ratio'!H6</f>
        <v>0.88300000000000001</v>
      </c>
      <c r="D4" s="78">
        <f>Table4[[#This Row],[Column2]]*Table4[[#This Row],[Column3]]</f>
        <v>935908.47699999996</v>
      </c>
      <c r="E4" s="78">
        <f>GETPIVOTDATA("Sum of kW",Summary!$A$4,"Bill Code",2)</f>
        <v>107.44929999999999</v>
      </c>
      <c r="F4" s="86">
        <f>'Net to Gross Ratio'!I6</f>
        <v>0.94799999999999995</v>
      </c>
      <c r="G4" s="78">
        <f>Table4[[#This Row],[Column5]]*Table4[[#This Row],[Column6]]</f>
        <v>101.86193639999999</v>
      </c>
    </row>
    <row r="5" spans="1:7" ht="18" customHeight="1" x14ac:dyDescent="0.25">
      <c r="A5" s="72" t="s">
        <v>185</v>
      </c>
      <c r="B5" s="77">
        <f>GETPIVOTDATA("Sum of kWh",Summary!$A$4,"Bill Code",3)</f>
        <v>3642607</v>
      </c>
      <c r="C5" s="85">
        <f>C4</f>
        <v>0.88300000000000001</v>
      </c>
      <c r="D5" s="78">
        <f>Table4[[#This Row],[Column2]]*Table4[[#This Row],[Column3]]</f>
        <v>3216421.9810000001</v>
      </c>
      <c r="E5" s="78">
        <f>GETPIVOTDATA("Sum of kW",Summary!$A$4,"Bill Code",3)</f>
        <v>493.34899999999999</v>
      </c>
      <c r="F5" s="86">
        <f>F4</f>
        <v>0.94799999999999995</v>
      </c>
      <c r="G5" s="78">
        <f>Table4[[#This Row],[Column5]]*Table4[[#This Row],[Column6]]</f>
        <v>467.69485199999997</v>
      </c>
    </row>
    <row r="6" spans="1:7" ht="18" customHeight="1" x14ac:dyDescent="0.25">
      <c r="A6" s="72" t="s">
        <v>186</v>
      </c>
      <c r="B6" s="77">
        <f>GETPIVOTDATA("Sum of kWh",Summary!$A$4,"Bill Code",4)</f>
        <v>1197919</v>
      </c>
      <c r="C6" s="85">
        <f>C4</f>
        <v>0.88300000000000001</v>
      </c>
      <c r="D6" s="78">
        <f>Table4[[#This Row],[Column2]]*Table4[[#This Row],[Column3]]</f>
        <v>1057762.477</v>
      </c>
      <c r="E6" s="78">
        <f>GETPIVOTDATA("Sum of kW",Summary!$A$4,"Bill Code",4)</f>
        <v>136.69999999999999</v>
      </c>
      <c r="F6" s="86">
        <f>F5</f>
        <v>0.94799999999999995</v>
      </c>
      <c r="G6" s="90">
        <f>Table4[[#This Row],[Column5]]*Table4[[#This Row],[Column6]]</f>
        <v>129.59159999999997</v>
      </c>
    </row>
    <row r="7" spans="1:7" ht="18" customHeight="1" x14ac:dyDescent="0.25">
      <c r="A7" s="80" t="s">
        <v>193</v>
      </c>
      <c r="B7" s="81">
        <f>SUBTOTAL(109,B4:B6)</f>
        <v>5900445</v>
      </c>
      <c r="C7" s="81"/>
      <c r="D7" s="81">
        <f>SUBTOTAL(109,D4:D6)</f>
        <v>5210092.9350000005</v>
      </c>
      <c r="E7" s="81">
        <f>SUBTOTAL(109,E4:E6)</f>
        <v>737.49829999999997</v>
      </c>
      <c r="F7" s="81"/>
      <c r="G7" s="78">
        <f>SUBTOTAL(109,G4:G6)</f>
        <v>699.14838839999993</v>
      </c>
    </row>
    <row r="11" spans="1:7" x14ac:dyDescent="0.25">
      <c r="A11" t="s">
        <v>198</v>
      </c>
    </row>
    <row r="13" spans="1:7" ht="28.5" customHeight="1" x14ac:dyDescent="0.25">
      <c r="A13" s="71" t="s">
        <v>179</v>
      </c>
      <c r="B13" s="71" t="s">
        <v>180</v>
      </c>
      <c r="C13" s="71" t="s">
        <v>181</v>
      </c>
      <c r="D13" s="71" t="s">
        <v>182</v>
      </c>
      <c r="E13" s="71" t="s">
        <v>183</v>
      </c>
    </row>
    <row r="14" spans="1:7" ht="18" customHeight="1" x14ac:dyDescent="0.25">
      <c r="A14" s="72" t="s">
        <v>184</v>
      </c>
      <c r="B14" s="73">
        <f>'[1]1.  LRAMVA Summary'!E30</f>
        <v>249358.14379947635</v>
      </c>
      <c r="C14" s="73">
        <f>'[1]1.  LRAMVA Summary'!F30</f>
        <v>1721.0906883493028</v>
      </c>
      <c r="D14" s="73">
        <f>B14+C14</f>
        <v>251079.23448782566</v>
      </c>
      <c r="E14" s="74">
        <f>'[2]7. Calculation of Def-Var RR'!$K$18</f>
        <v>1.5E-3</v>
      </c>
    </row>
    <row r="15" spans="1:7" ht="18" customHeight="1" x14ac:dyDescent="0.25">
      <c r="A15" s="72" t="s">
        <v>185</v>
      </c>
      <c r="B15" s="73">
        <f>'[1]1.  LRAMVA Summary'!E31</f>
        <v>171355.75909117295</v>
      </c>
      <c r="C15" s="73">
        <f>'[1]1.  LRAMVA Summary'!F31</f>
        <v>1182.7117288938664</v>
      </c>
      <c r="D15" s="75">
        <f t="shared" ref="D15:D17" si="0">B15+C15</f>
        <v>172538.47082006681</v>
      </c>
      <c r="E15" s="74">
        <f>'[2]7. Calculation of Def-Var RR'!$K$19</f>
        <v>0.1258</v>
      </c>
    </row>
    <row r="16" spans="1:7" ht="18" customHeight="1" x14ac:dyDescent="0.25">
      <c r="A16" s="72" t="s">
        <v>186</v>
      </c>
      <c r="B16" s="73">
        <f>'[1]1.  LRAMVA Summary'!E32</f>
        <v>26966.514854660658</v>
      </c>
      <c r="C16" s="73">
        <f>'[1]1.  LRAMVA Summary'!F32</f>
        <v>186.12513273643901</v>
      </c>
      <c r="D16" s="75">
        <f t="shared" si="0"/>
        <v>27152.639987397099</v>
      </c>
      <c r="E16" s="74">
        <f>'[2]7. Calculation of Def-Var RR'!$K$20</f>
        <v>6.1499999999999999E-2</v>
      </c>
    </row>
    <row r="17" spans="1:5" ht="18" customHeight="1" x14ac:dyDescent="0.25">
      <c r="A17" s="72" t="s">
        <v>199</v>
      </c>
      <c r="B17" s="87">
        <f>'[1]1.  LRAMVA Summary'!E33</f>
        <v>-386.35650120789904</v>
      </c>
      <c r="C17" s="87">
        <f>'[1]1.  LRAMVA Summary'!F33</f>
        <v>-2.6666647677120197</v>
      </c>
      <c r="D17" s="88">
        <f t="shared" si="0"/>
        <v>-389.02316597561105</v>
      </c>
      <c r="E17" s="89">
        <f>'[2]7. Calculation of Def-Var RR'!$K$23</f>
        <v>-2.3900000000000001E-2</v>
      </c>
    </row>
    <row r="18" spans="1:5" ht="18" customHeight="1" x14ac:dyDescent="0.25">
      <c r="A18" s="72"/>
      <c r="B18" s="73">
        <f>SUBTOTAL(109,B14:B17)</f>
        <v>447294.06124410202</v>
      </c>
      <c r="C18" s="73">
        <f t="shared" ref="C18:D18" si="1">SUBTOTAL(109,C14:C17)</f>
        <v>3087.260885211896</v>
      </c>
      <c r="D18" s="73">
        <f t="shared" si="1"/>
        <v>450381.32212931395</v>
      </c>
      <c r="E18" s="72"/>
    </row>
  </sheetData>
  <phoneticPr fontId="5" type="noConversion"/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850D6-B888-4787-B034-0B6C1A4BBFFF}">
  <dimension ref="A1:I83"/>
  <sheetViews>
    <sheetView workbookViewId="0">
      <selection activeCell="B29" sqref="B29"/>
    </sheetView>
  </sheetViews>
  <sheetFormatPr defaultRowHeight="15" x14ac:dyDescent="0.25"/>
  <cols>
    <col min="1" max="1" width="15" customWidth="1"/>
    <col min="2" max="2" width="31.28515625" bestFit="1" customWidth="1"/>
    <col min="3" max="3" width="11.5703125" customWidth="1"/>
    <col min="4" max="4" width="69.42578125" customWidth="1"/>
    <col min="7" max="7" width="13.140625" customWidth="1"/>
    <col min="8" max="8" width="13.85546875" customWidth="1"/>
    <col min="9" max="9" width="13.28515625" customWidth="1"/>
  </cols>
  <sheetData>
    <row r="1" spans="1:9" x14ac:dyDescent="0.25">
      <c r="A1" s="1" t="s">
        <v>8</v>
      </c>
      <c r="B1" s="1" t="s">
        <v>0</v>
      </c>
      <c r="C1" s="1" t="s">
        <v>1</v>
      </c>
      <c r="D1" s="2" t="s">
        <v>7</v>
      </c>
      <c r="E1" s="3" t="s">
        <v>2</v>
      </c>
      <c r="F1" s="3" t="s">
        <v>3</v>
      </c>
      <c r="G1" s="4" t="s">
        <v>4</v>
      </c>
      <c r="H1" s="5" t="s">
        <v>5</v>
      </c>
      <c r="I1" s="6" t="s">
        <v>6</v>
      </c>
    </row>
    <row r="2" spans="1:9" x14ac:dyDescent="0.25">
      <c r="A2" s="7">
        <v>170632</v>
      </c>
      <c r="B2" t="s">
        <v>73</v>
      </c>
      <c r="C2" s="65">
        <v>3</v>
      </c>
      <c r="D2" s="18" t="s">
        <v>9</v>
      </c>
      <c r="E2">
        <v>2.4</v>
      </c>
      <c r="F2">
        <v>10808</v>
      </c>
      <c r="G2" s="22">
        <v>2314</v>
      </c>
      <c r="H2" s="26">
        <v>44076</v>
      </c>
      <c r="I2" s="29">
        <v>20522</v>
      </c>
    </row>
    <row r="3" spans="1:9" x14ac:dyDescent="0.25">
      <c r="A3" s="7">
        <v>172440</v>
      </c>
      <c r="B3" t="s">
        <v>73</v>
      </c>
      <c r="C3" s="65">
        <v>3</v>
      </c>
      <c r="D3" s="18" t="s">
        <v>9</v>
      </c>
      <c r="E3">
        <v>0</v>
      </c>
      <c r="F3">
        <v>29121</v>
      </c>
      <c r="G3" s="22">
        <v>1456.05</v>
      </c>
      <c r="H3" s="26">
        <v>44076</v>
      </c>
      <c r="I3" s="29">
        <v>20522</v>
      </c>
    </row>
    <row r="4" spans="1:9" x14ac:dyDescent="0.25">
      <c r="A4" s="7">
        <v>173737</v>
      </c>
      <c r="B4" s="40" t="s">
        <v>106</v>
      </c>
      <c r="C4" s="65">
        <v>2</v>
      </c>
      <c r="D4" s="18" t="s">
        <v>10</v>
      </c>
      <c r="E4">
        <v>6.5</v>
      </c>
      <c r="F4">
        <v>52753</v>
      </c>
      <c r="G4" s="22">
        <v>3282.8</v>
      </c>
      <c r="H4" s="26">
        <v>44069</v>
      </c>
      <c r="I4" s="29">
        <v>20496</v>
      </c>
    </row>
    <row r="5" spans="1:9" x14ac:dyDescent="0.25">
      <c r="A5" s="8">
        <v>174344</v>
      </c>
      <c r="B5" t="s">
        <v>74</v>
      </c>
      <c r="C5" s="65">
        <v>3</v>
      </c>
      <c r="D5" s="18" t="s">
        <v>11</v>
      </c>
      <c r="E5">
        <v>0</v>
      </c>
      <c r="F5">
        <v>10080</v>
      </c>
      <c r="G5" s="22">
        <v>900</v>
      </c>
      <c r="H5" s="26">
        <v>44090</v>
      </c>
      <c r="I5" s="29">
        <v>20547</v>
      </c>
    </row>
    <row r="6" spans="1:9" x14ac:dyDescent="0.25">
      <c r="A6" s="8">
        <v>179353</v>
      </c>
      <c r="B6" t="s">
        <v>75</v>
      </c>
      <c r="C6" s="65">
        <v>3</v>
      </c>
      <c r="D6" s="18" t="s">
        <v>12</v>
      </c>
      <c r="E6">
        <v>0</v>
      </c>
      <c r="F6">
        <v>76420</v>
      </c>
      <c r="G6" s="22">
        <v>7642</v>
      </c>
      <c r="H6" s="26">
        <v>44083</v>
      </c>
      <c r="I6" s="30" t="s">
        <v>39</v>
      </c>
    </row>
    <row r="7" spans="1:9" x14ac:dyDescent="0.25">
      <c r="A7" s="9">
        <v>180272</v>
      </c>
      <c r="B7" t="s">
        <v>76</v>
      </c>
      <c r="C7" s="65">
        <v>3</v>
      </c>
      <c r="D7" s="66" t="s">
        <v>13</v>
      </c>
      <c r="E7">
        <v>8.9</v>
      </c>
      <c r="F7">
        <v>41162</v>
      </c>
      <c r="G7" s="23">
        <v>6272</v>
      </c>
      <c r="H7" s="27">
        <v>43964</v>
      </c>
      <c r="I7" s="9">
        <v>20296</v>
      </c>
    </row>
    <row r="8" spans="1:9" x14ac:dyDescent="0.25">
      <c r="A8" s="7">
        <v>181107</v>
      </c>
      <c r="B8" t="s">
        <v>77</v>
      </c>
      <c r="C8" s="65">
        <v>3</v>
      </c>
      <c r="D8" s="18" t="s">
        <v>14</v>
      </c>
      <c r="E8">
        <v>13.7</v>
      </c>
      <c r="F8">
        <v>50841</v>
      </c>
      <c r="G8" s="22">
        <v>5480</v>
      </c>
      <c r="H8" s="26">
        <v>44069</v>
      </c>
      <c r="I8" s="29">
        <v>20505</v>
      </c>
    </row>
    <row r="9" spans="1:9" x14ac:dyDescent="0.25">
      <c r="A9" s="10">
        <v>181108</v>
      </c>
      <c r="B9" t="s">
        <v>77</v>
      </c>
      <c r="C9" s="65">
        <v>3</v>
      </c>
      <c r="D9" s="19" t="s">
        <v>14</v>
      </c>
      <c r="E9">
        <v>18.5</v>
      </c>
      <c r="F9">
        <v>55844</v>
      </c>
      <c r="G9" s="24">
        <v>7400</v>
      </c>
      <c r="H9" s="28">
        <v>44069</v>
      </c>
      <c r="I9" s="31">
        <v>20504</v>
      </c>
    </row>
    <row r="10" spans="1:9" x14ac:dyDescent="0.25">
      <c r="A10" s="10">
        <v>181110</v>
      </c>
      <c r="B10" t="s">
        <v>77</v>
      </c>
      <c r="C10" s="65">
        <v>3</v>
      </c>
      <c r="D10" s="19" t="s">
        <v>15</v>
      </c>
      <c r="E10">
        <v>9.1</v>
      </c>
      <c r="F10">
        <v>27290</v>
      </c>
      <c r="G10" s="24">
        <v>3640</v>
      </c>
      <c r="H10" s="28">
        <v>43999</v>
      </c>
      <c r="I10" s="32" t="s">
        <v>40</v>
      </c>
    </row>
    <row r="11" spans="1:9" x14ac:dyDescent="0.25">
      <c r="A11" s="10">
        <v>182185</v>
      </c>
      <c r="B11" t="s">
        <v>77</v>
      </c>
      <c r="C11" s="65">
        <v>3</v>
      </c>
      <c r="D11" s="19" t="s">
        <v>14</v>
      </c>
      <c r="E11">
        <v>0</v>
      </c>
      <c r="F11">
        <v>12055</v>
      </c>
      <c r="G11" s="24">
        <v>602.75</v>
      </c>
      <c r="H11" s="28">
        <v>44083</v>
      </c>
      <c r="I11" s="32" t="s">
        <v>41</v>
      </c>
    </row>
    <row r="12" spans="1:9" x14ac:dyDescent="0.25">
      <c r="A12" s="11">
        <v>186937</v>
      </c>
      <c r="B12" t="s">
        <v>78</v>
      </c>
      <c r="C12" s="65">
        <v>3</v>
      </c>
      <c r="D12" s="19" t="s">
        <v>16</v>
      </c>
      <c r="E12">
        <v>7</v>
      </c>
      <c r="F12">
        <v>62228</v>
      </c>
      <c r="G12" s="24">
        <v>3153.05</v>
      </c>
      <c r="H12" s="28">
        <v>43985</v>
      </c>
      <c r="I12" s="32" t="s">
        <v>42</v>
      </c>
    </row>
    <row r="13" spans="1:9" x14ac:dyDescent="0.25">
      <c r="A13" s="12">
        <v>188361</v>
      </c>
      <c r="B13" s="40" t="s">
        <v>120</v>
      </c>
      <c r="C13" s="65">
        <v>3</v>
      </c>
      <c r="D13" s="20" t="s">
        <v>118</v>
      </c>
      <c r="E13">
        <v>28.7</v>
      </c>
      <c r="F13">
        <v>108090</v>
      </c>
      <c r="G13" s="21">
        <v>12070</v>
      </c>
      <c r="H13" s="26">
        <v>43985</v>
      </c>
      <c r="I13" s="30" t="s">
        <v>43</v>
      </c>
    </row>
    <row r="14" spans="1:9" x14ac:dyDescent="0.25">
      <c r="A14" s="13">
        <v>188690</v>
      </c>
      <c r="B14" t="s">
        <v>79</v>
      </c>
      <c r="C14" s="65">
        <v>2</v>
      </c>
      <c r="D14" s="20" t="s">
        <v>17</v>
      </c>
      <c r="E14">
        <v>15.2</v>
      </c>
      <c r="F14">
        <v>64575</v>
      </c>
      <c r="G14" s="21" t="s">
        <v>38</v>
      </c>
      <c r="H14" s="26">
        <v>44028</v>
      </c>
      <c r="I14" s="30" t="s">
        <v>44</v>
      </c>
    </row>
    <row r="15" spans="1:9" x14ac:dyDescent="0.25">
      <c r="A15" s="14">
        <v>188815</v>
      </c>
      <c r="B15" s="40" t="s">
        <v>169</v>
      </c>
      <c r="C15" s="65">
        <v>3</v>
      </c>
      <c r="D15" s="20" t="s">
        <v>18</v>
      </c>
      <c r="E15">
        <v>0</v>
      </c>
      <c r="F15">
        <v>31879</v>
      </c>
      <c r="G15" s="21">
        <v>3187.9</v>
      </c>
      <c r="H15" s="26">
        <v>44097</v>
      </c>
      <c r="I15" s="29">
        <v>20560</v>
      </c>
    </row>
    <row r="16" spans="1:9" x14ac:dyDescent="0.25">
      <c r="A16" s="8">
        <v>188817</v>
      </c>
      <c r="B16" s="40" t="s">
        <v>169</v>
      </c>
      <c r="C16" s="65">
        <v>3</v>
      </c>
      <c r="D16" s="18" t="s">
        <v>18</v>
      </c>
      <c r="E16">
        <v>0</v>
      </c>
      <c r="F16">
        <v>27540</v>
      </c>
      <c r="G16" s="22">
        <v>2754</v>
      </c>
      <c r="H16" s="26">
        <v>44097</v>
      </c>
      <c r="I16" s="29">
        <v>20560</v>
      </c>
    </row>
    <row r="17" spans="1:9" x14ac:dyDescent="0.25">
      <c r="A17" s="7">
        <v>190161</v>
      </c>
      <c r="B17" s="39" t="s">
        <v>81</v>
      </c>
      <c r="C17" s="65">
        <v>3</v>
      </c>
      <c r="D17" s="18" t="s">
        <v>19</v>
      </c>
      <c r="E17">
        <v>26</v>
      </c>
      <c r="F17">
        <v>196215</v>
      </c>
      <c r="G17" s="22">
        <v>13038.8</v>
      </c>
      <c r="H17" s="26">
        <v>43999</v>
      </c>
      <c r="I17" s="30" t="s">
        <v>45</v>
      </c>
    </row>
    <row r="18" spans="1:9" x14ac:dyDescent="0.25">
      <c r="A18" s="8">
        <v>191697</v>
      </c>
      <c r="B18" s="39" t="s">
        <v>82</v>
      </c>
      <c r="C18" s="65">
        <v>3</v>
      </c>
      <c r="D18" s="18" t="s">
        <v>20</v>
      </c>
      <c r="E18">
        <v>0</v>
      </c>
      <c r="F18">
        <v>9150</v>
      </c>
      <c r="G18" s="22">
        <v>915</v>
      </c>
      <c r="H18" s="26">
        <v>44090</v>
      </c>
      <c r="I18" s="29">
        <v>20555</v>
      </c>
    </row>
    <row r="19" spans="1:9" x14ac:dyDescent="0.25">
      <c r="A19" s="8">
        <v>191700</v>
      </c>
      <c r="B19" s="39" t="s">
        <v>82</v>
      </c>
      <c r="C19" s="65">
        <v>3</v>
      </c>
      <c r="D19" s="18" t="s">
        <v>20</v>
      </c>
      <c r="E19">
        <v>0</v>
      </c>
      <c r="F19">
        <v>9150</v>
      </c>
      <c r="G19" s="22">
        <v>915</v>
      </c>
      <c r="H19" s="26">
        <v>44090</v>
      </c>
      <c r="I19" s="29">
        <v>20555</v>
      </c>
    </row>
    <row r="20" spans="1:9" x14ac:dyDescent="0.25">
      <c r="A20" s="11">
        <v>191705</v>
      </c>
      <c r="B20" s="39" t="s">
        <v>82</v>
      </c>
      <c r="C20" s="65">
        <v>3</v>
      </c>
      <c r="D20" s="18" t="s">
        <v>20</v>
      </c>
      <c r="E20">
        <v>0</v>
      </c>
      <c r="F20">
        <v>9150</v>
      </c>
      <c r="G20" s="22">
        <v>915</v>
      </c>
      <c r="H20" s="26">
        <v>44090</v>
      </c>
      <c r="I20" s="29">
        <v>20555</v>
      </c>
    </row>
    <row r="21" spans="1:9" x14ac:dyDescent="0.25">
      <c r="A21" s="11">
        <v>192923</v>
      </c>
      <c r="B21" s="39" t="s">
        <v>83</v>
      </c>
      <c r="C21" s="65">
        <v>2</v>
      </c>
      <c r="D21" s="18" t="s">
        <v>21</v>
      </c>
      <c r="E21">
        <v>1.665</v>
      </c>
      <c r="F21">
        <v>1000</v>
      </c>
      <c r="G21" s="22">
        <v>2845.35</v>
      </c>
      <c r="H21" s="26">
        <v>44090</v>
      </c>
      <c r="I21" s="33">
        <v>20553</v>
      </c>
    </row>
    <row r="22" spans="1:9" x14ac:dyDescent="0.25">
      <c r="A22" s="15">
        <v>192936</v>
      </c>
      <c r="B22" s="39" t="s">
        <v>84</v>
      </c>
      <c r="C22" s="65">
        <v>3</v>
      </c>
      <c r="D22" s="18" t="s">
        <v>22</v>
      </c>
      <c r="E22">
        <v>0</v>
      </c>
      <c r="F22">
        <v>167365</v>
      </c>
      <c r="G22" s="22">
        <v>12800</v>
      </c>
      <c r="H22" s="26">
        <v>44097</v>
      </c>
      <c r="I22" s="33">
        <v>20567</v>
      </c>
    </row>
    <row r="23" spans="1:9" x14ac:dyDescent="0.25">
      <c r="A23" s="14">
        <v>192984</v>
      </c>
      <c r="B23" s="40" t="s">
        <v>96</v>
      </c>
      <c r="C23" s="65">
        <v>2</v>
      </c>
      <c r="D23" s="20" t="s">
        <v>119</v>
      </c>
      <c r="E23">
        <v>9.08</v>
      </c>
      <c r="F23">
        <v>35399</v>
      </c>
      <c r="G23" s="21">
        <v>4482</v>
      </c>
      <c r="H23" s="26">
        <v>44083</v>
      </c>
      <c r="I23" s="30" t="s">
        <v>46</v>
      </c>
    </row>
    <row r="24" spans="1:9" x14ac:dyDescent="0.25">
      <c r="A24" s="12">
        <v>193433</v>
      </c>
      <c r="B24" s="39" t="s">
        <v>167</v>
      </c>
      <c r="C24" s="65">
        <v>4</v>
      </c>
      <c r="D24" s="20" t="s">
        <v>23</v>
      </c>
      <c r="E24">
        <v>83.6</v>
      </c>
      <c r="F24">
        <v>732502</v>
      </c>
      <c r="G24" s="21">
        <v>36625.1</v>
      </c>
      <c r="H24" s="26">
        <v>44076</v>
      </c>
      <c r="I24" s="29">
        <v>20524</v>
      </c>
    </row>
    <row r="25" spans="1:9" x14ac:dyDescent="0.25">
      <c r="A25" s="12">
        <v>193435</v>
      </c>
      <c r="B25" s="39" t="s">
        <v>167</v>
      </c>
      <c r="C25" s="65">
        <v>4</v>
      </c>
      <c r="D25" s="20" t="s">
        <v>23</v>
      </c>
      <c r="E25">
        <v>53.1</v>
      </c>
      <c r="F25">
        <v>465417</v>
      </c>
      <c r="G25" s="21">
        <v>23270.85</v>
      </c>
      <c r="H25" s="26">
        <v>44090</v>
      </c>
      <c r="I25" s="29">
        <v>20557</v>
      </c>
    </row>
    <row r="26" spans="1:9" x14ac:dyDescent="0.25">
      <c r="A26" s="14">
        <v>194444</v>
      </c>
      <c r="B26" s="40" t="s">
        <v>168</v>
      </c>
      <c r="C26" s="65">
        <v>2</v>
      </c>
      <c r="D26" s="20" t="s">
        <v>18</v>
      </c>
      <c r="E26">
        <v>0.88</v>
      </c>
      <c r="F26">
        <v>23480</v>
      </c>
      <c r="G26" s="21">
        <v>1951.44</v>
      </c>
      <c r="H26" s="26">
        <v>44097</v>
      </c>
      <c r="I26" s="29">
        <v>20560</v>
      </c>
    </row>
    <row r="27" spans="1:9" x14ac:dyDescent="0.25">
      <c r="A27" s="14">
        <v>194445</v>
      </c>
      <c r="B27" s="40" t="s">
        <v>80</v>
      </c>
      <c r="C27" s="65">
        <v>2</v>
      </c>
      <c r="D27" s="20" t="s">
        <v>18</v>
      </c>
      <c r="E27">
        <v>1.7853000000000001</v>
      </c>
      <c r="F27">
        <v>26853</v>
      </c>
      <c r="G27" s="21">
        <v>1752.3</v>
      </c>
      <c r="H27" s="26">
        <v>44097</v>
      </c>
      <c r="I27" s="29">
        <v>20560</v>
      </c>
    </row>
    <row r="28" spans="1:9" x14ac:dyDescent="0.25">
      <c r="A28" s="12">
        <v>194692</v>
      </c>
      <c r="B28" s="40" t="s">
        <v>158</v>
      </c>
      <c r="C28" s="65">
        <v>3</v>
      </c>
      <c r="D28" s="20" t="s">
        <v>24</v>
      </c>
      <c r="E28">
        <v>1.02</v>
      </c>
      <c r="F28">
        <v>4701</v>
      </c>
      <c r="G28" s="21">
        <v>1635</v>
      </c>
      <c r="H28" s="26">
        <v>44069</v>
      </c>
      <c r="I28" s="29">
        <v>20500</v>
      </c>
    </row>
    <row r="29" spans="1:9" x14ac:dyDescent="0.25">
      <c r="A29" s="9">
        <v>196134</v>
      </c>
      <c r="B29" s="40" t="s">
        <v>85</v>
      </c>
      <c r="C29" s="65">
        <v>3</v>
      </c>
      <c r="D29" s="66" t="s">
        <v>25</v>
      </c>
      <c r="E29">
        <v>12.6</v>
      </c>
      <c r="F29">
        <v>59104</v>
      </c>
      <c r="G29" s="23">
        <v>5040</v>
      </c>
      <c r="H29" s="27">
        <v>43950</v>
      </c>
      <c r="I29" s="9">
        <v>20247</v>
      </c>
    </row>
    <row r="30" spans="1:9" x14ac:dyDescent="0.25">
      <c r="A30" s="12">
        <v>197091</v>
      </c>
      <c r="B30" s="40" t="s">
        <v>86</v>
      </c>
      <c r="C30" s="65">
        <v>3</v>
      </c>
      <c r="D30" s="20" t="s">
        <v>26</v>
      </c>
      <c r="E30">
        <v>52.3</v>
      </c>
      <c r="F30">
        <v>348671</v>
      </c>
      <c r="G30" s="21">
        <v>21770</v>
      </c>
      <c r="H30" s="26">
        <v>43985</v>
      </c>
      <c r="I30" s="30" t="s">
        <v>47</v>
      </c>
    </row>
    <row r="31" spans="1:9" x14ac:dyDescent="0.25">
      <c r="A31" s="13">
        <v>197277</v>
      </c>
      <c r="B31" s="39" t="s">
        <v>82</v>
      </c>
      <c r="C31" s="65">
        <v>3</v>
      </c>
      <c r="D31" s="67" t="s">
        <v>27</v>
      </c>
      <c r="E31">
        <v>81.5</v>
      </c>
      <c r="F31">
        <v>374411</v>
      </c>
      <c r="G31" s="25">
        <v>55094.9</v>
      </c>
      <c r="H31" s="27">
        <v>43971</v>
      </c>
      <c r="I31" s="9">
        <v>20330</v>
      </c>
    </row>
    <row r="32" spans="1:9" x14ac:dyDescent="0.25">
      <c r="A32" s="14">
        <v>198957</v>
      </c>
      <c r="B32" s="39" t="s">
        <v>87</v>
      </c>
      <c r="C32" s="65">
        <v>2</v>
      </c>
      <c r="D32" s="20" t="s">
        <v>28</v>
      </c>
      <c r="E32">
        <v>3.5</v>
      </c>
      <c r="F32">
        <v>31126</v>
      </c>
      <c r="G32" s="21">
        <v>1556.3</v>
      </c>
      <c r="H32" s="26">
        <v>44069</v>
      </c>
      <c r="I32" s="29">
        <v>20503</v>
      </c>
    </row>
    <row r="33" spans="1:9" x14ac:dyDescent="0.25">
      <c r="A33" s="14">
        <v>199064</v>
      </c>
      <c r="B33" s="39" t="s">
        <v>88</v>
      </c>
      <c r="C33" s="65">
        <v>3</v>
      </c>
      <c r="D33" s="20" t="s">
        <v>29</v>
      </c>
      <c r="E33">
        <v>10.7</v>
      </c>
      <c r="F33">
        <v>42237</v>
      </c>
      <c r="G33" s="21">
        <v>4280</v>
      </c>
      <c r="H33" s="26">
        <v>44083</v>
      </c>
      <c r="I33" s="30" t="s">
        <v>48</v>
      </c>
    </row>
    <row r="34" spans="1:9" x14ac:dyDescent="0.25">
      <c r="A34" s="16">
        <v>200802</v>
      </c>
      <c r="B34" s="39" t="s">
        <v>89</v>
      </c>
      <c r="C34" s="65">
        <v>3</v>
      </c>
      <c r="D34" s="20" t="s">
        <v>30</v>
      </c>
      <c r="E34">
        <v>17.899999999999999</v>
      </c>
      <c r="F34">
        <v>160440</v>
      </c>
      <c r="G34" s="21">
        <v>9086.7999999999993</v>
      </c>
      <c r="H34" s="26">
        <v>44021</v>
      </c>
      <c r="I34" s="30" t="s">
        <v>49</v>
      </c>
    </row>
    <row r="35" spans="1:9" x14ac:dyDescent="0.25">
      <c r="A35" s="14">
        <v>200816</v>
      </c>
      <c r="B35" s="39" t="s">
        <v>90</v>
      </c>
      <c r="C35" s="65">
        <v>2</v>
      </c>
      <c r="D35" s="20" t="s">
        <v>31</v>
      </c>
      <c r="E35">
        <v>0</v>
      </c>
      <c r="F35">
        <v>14616</v>
      </c>
      <c r="G35" s="21">
        <v>1320</v>
      </c>
      <c r="H35" s="26">
        <v>44069</v>
      </c>
      <c r="I35" s="29">
        <v>20512</v>
      </c>
    </row>
    <row r="36" spans="1:9" x14ac:dyDescent="0.25">
      <c r="A36" s="14">
        <v>200888</v>
      </c>
      <c r="B36" s="39" t="s">
        <v>87</v>
      </c>
      <c r="C36" s="65">
        <v>2</v>
      </c>
      <c r="D36" s="20" t="s">
        <v>32</v>
      </c>
      <c r="E36">
        <v>2.8</v>
      </c>
      <c r="F36">
        <v>24724</v>
      </c>
      <c r="G36" s="21">
        <v>1236.2</v>
      </c>
      <c r="H36" s="26">
        <v>44069</v>
      </c>
      <c r="I36" s="29">
        <v>20503</v>
      </c>
    </row>
    <row r="37" spans="1:9" x14ac:dyDescent="0.25">
      <c r="A37" s="14">
        <v>202129</v>
      </c>
      <c r="B37" s="39" t="s">
        <v>91</v>
      </c>
      <c r="C37" s="65">
        <v>2</v>
      </c>
      <c r="D37" s="20" t="s">
        <v>33</v>
      </c>
      <c r="E37">
        <v>1.5389999999999999</v>
      </c>
      <c r="F37">
        <v>7071</v>
      </c>
      <c r="G37" s="21">
        <v>2465</v>
      </c>
      <c r="H37" s="26">
        <v>44083</v>
      </c>
      <c r="I37" s="30" t="s">
        <v>50</v>
      </c>
    </row>
    <row r="38" spans="1:9" x14ac:dyDescent="0.25">
      <c r="A38" s="14">
        <v>202576</v>
      </c>
      <c r="B38" s="39" t="s">
        <v>92</v>
      </c>
      <c r="C38" s="65">
        <v>2</v>
      </c>
      <c r="D38" s="20" t="s">
        <v>34</v>
      </c>
      <c r="E38">
        <v>3.2</v>
      </c>
      <c r="F38">
        <v>10857</v>
      </c>
      <c r="G38" s="21">
        <v>1280</v>
      </c>
      <c r="H38" s="26">
        <v>44083</v>
      </c>
      <c r="I38" s="30" t="s">
        <v>51</v>
      </c>
    </row>
    <row r="39" spans="1:9" x14ac:dyDescent="0.25">
      <c r="A39" s="17">
        <v>204592</v>
      </c>
      <c r="B39" s="39" t="s">
        <v>93</v>
      </c>
      <c r="C39" s="65">
        <v>2</v>
      </c>
      <c r="D39" s="66" t="s">
        <v>35</v>
      </c>
      <c r="E39">
        <v>0.69</v>
      </c>
      <c r="F39">
        <v>3165</v>
      </c>
      <c r="G39" s="23">
        <v>1102.2</v>
      </c>
      <c r="H39" s="27">
        <v>43929</v>
      </c>
      <c r="I39" s="9">
        <v>20236</v>
      </c>
    </row>
    <row r="40" spans="1:9" x14ac:dyDescent="0.25">
      <c r="A40" s="12">
        <v>204798</v>
      </c>
      <c r="B40" s="39" t="s">
        <v>82</v>
      </c>
      <c r="C40" s="65">
        <v>3</v>
      </c>
      <c r="D40" s="20" t="s">
        <v>24</v>
      </c>
      <c r="E40">
        <v>2.99</v>
      </c>
      <c r="F40">
        <v>13748</v>
      </c>
      <c r="G40" s="21">
        <v>4105</v>
      </c>
      <c r="H40" s="26">
        <v>43922</v>
      </c>
      <c r="I40" s="34">
        <v>20213</v>
      </c>
    </row>
    <row r="41" spans="1:9" x14ac:dyDescent="0.25">
      <c r="A41" s="12">
        <v>205258</v>
      </c>
      <c r="B41" s="40" t="s">
        <v>147</v>
      </c>
      <c r="C41" s="65">
        <v>3</v>
      </c>
      <c r="D41" s="20" t="s">
        <v>117</v>
      </c>
      <c r="E41">
        <v>13.6</v>
      </c>
      <c r="F41">
        <v>118010</v>
      </c>
      <c r="G41" s="21">
        <v>5900.5</v>
      </c>
      <c r="H41" s="26">
        <v>43985</v>
      </c>
      <c r="I41" s="30" t="s">
        <v>52</v>
      </c>
    </row>
    <row r="42" spans="1:9" x14ac:dyDescent="0.25">
      <c r="A42" s="12">
        <v>205541</v>
      </c>
      <c r="B42" s="39" t="s">
        <v>82</v>
      </c>
      <c r="C42" s="65">
        <v>3</v>
      </c>
      <c r="D42" s="20" t="s">
        <v>24</v>
      </c>
      <c r="E42">
        <v>9.3000000000000007</v>
      </c>
      <c r="F42">
        <v>52486</v>
      </c>
      <c r="G42" s="21">
        <v>3720</v>
      </c>
      <c r="H42" s="26">
        <v>43922</v>
      </c>
      <c r="I42" s="34">
        <v>20213</v>
      </c>
    </row>
    <row r="43" spans="1:9" x14ac:dyDescent="0.25">
      <c r="A43" s="12">
        <v>206198</v>
      </c>
      <c r="B43" s="39" t="s">
        <v>94</v>
      </c>
      <c r="C43" s="65">
        <v>3</v>
      </c>
      <c r="D43" s="20" t="s">
        <v>36</v>
      </c>
      <c r="E43">
        <v>12.87</v>
      </c>
      <c r="F43">
        <v>281242</v>
      </c>
      <c r="G43" s="21">
        <v>28124.2</v>
      </c>
      <c r="H43" s="26">
        <v>44076</v>
      </c>
      <c r="I43" s="29">
        <v>20518</v>
      </c>
    </row>
    <row r="44" spans="1:9" x14ac:dyDescent="0.25">
      <c r="A44" s="12">
        <v>206486</v>
      </c>
      <c r="B44" s="39" t="s">
        <v>95</v>
      </c>
      <c r="C44" s="65">
        <v>3</v>
      </c>
      <c r="D44" s="20" t="s">
        <v>37</v>
      </c>
      <c r="E44">
        <v>9.6999999999999993</v>
      </c>
      <c r="F44">
        <v>82843</v>
      </c>
      <c r="G44" s="21">
        <v>4142.1499999999996</v>
      </c>
      <c r="H44" s="26">
        <v>43922</v>
      </c>
      <c r="I44" s="34">
        <v>20214</v>
      </c>
    </row>
    <row r="45" spans="1:9" x14ac:dyDescent="0.25">
      <c r="A45" s="14">
        <v>165231</v>
      </c>
      <c r="B45" s="39" t="s">
        <v>82</v>
      </c>
      <c r="C45" s="65">
        <v>3</v>
      </c>
      <c r="D45" s="20" t="s">
        <v>53</v>
      </c>
      <c r="E45">
        <v>0</v>
      </c>
      <c r="F45">
        <v>98478</v>
      </c>
      <c r="G45" s="21">
        <v>9847.7999999999993</v>
      </c>
      <c r="H45" s="35">
        <v>44090</v>
      </c>
      <c r="I45" s="36">
        <v>20556</v>
      </c>
    </row>
    <row r="46" spans="1:9" x14ac:dyDescent="0.25">
      <c r="A46" s="14">
        <v>192686</v>
      </c>
      <c r="B46" s="39" t="s">
        <v>148</v>
      </c>
      <c r="C46" s="65">
        <v>2</v>
      </c>
      <c r="D46" s="20" t="s">
        <v>107</v>
      </c>
      <c r="E46">
        <v>1.73</v>
      </c>
      <c r="F46">
        <v>16315</v>
      </c>
      <c r="G46" s="21">
        <v>1186.7</v>
      </c>
      <c r="H46" s="26">
        <v>44111</v>
      </c>
      <c r="I46" s="29">
        <v>20575</v>
      </c>
    </row>
    <row r="47" spans="1:9" x14ac:dyDescent="0.25">
      <c r="A47" s="14">
        <v>198074</v>
      </c>
      <c r="B47" t="s">
        <v>97</v>
      </c>
      <c r="C47" s="65">
        <v>3</v>
      </c>
      <c r="D47" s="20" t="s">
        <v>54</v>
      </c>
      <c r="E47">
        <v>4.21</v>
      </c>
      <c r="F47">
        <v>9852</v>
      </c>
      <c r="G47" s="21">
        <v>1684</v>
      </c>
      <c r="H47" s="26">
        <v>44132</v>
      </c>
      <c r="I47" s="29">
        <v>20597</v>
      </c>
    </row>
    <row r="48" spans="1:9" x14ac:dyDescent="0.25">
      <c r="A48" s="14">
        <v>193732</v>
      </c>
      <c r="B48" s="39" t="s">
        <v>158</v>
      </c>
      <c r="C48" s="65">
        <v>3</v>
      </c>
      <c r="D48" s="20" t="s">
        <v>24</v>
      </c>
      <c r="E48">
        <v>2.1</v>
      </c>
      <c r="F48">
        <v>7246</v>
      </c>
      <c r="G48" s="21">
        <v>869</v>
      </c>
      <c r="H48" s="26">
        <v>44132</v>
      </c>
      <c r="I48" s="29">
        <v>20591</v>
      </c>
    </row>
    <row r="49" spans="1:9" x14ac:dyDescent="0.25">
      <c r="A49" s="14">
        <v>194691</v>
      </c>
      <c r="B49" s="39" t="s">
        <v>159</v>
      </c>
      <c r="C49" s="65">
        <v>3</v>
      </c>
      <c r="D49" s="20" t="s">
        <v>24</v>
      </c>
      <c r="E49">
        <v>0.78</v>
      </c>
      <c r="F49">
        <v>3583</v>
      </c>
      <c r="G49" s="21">
        <v>1050</v>
      </c>
      <c r="H49" s="26">
        <v>44132</v>
      </c>
      <c r="I49" s="29">
        <v>20591</v>
      </c>
    </row>
    <row r="50" spans="1:9" x14ac:dyDescent="0.25">
      <c r="A50" s="14">
        <v>194697</v>
      </c>
      <c r="B50" s="39" t="s">
        <v>160</v>
      </c>
      <c r="C50" s="65">
        <v>3</v>
      </c>
      <c r="D50" s="20" t="s">
        <v>24</v>
      </c>
      <c r="E50">
        <v>0.71</v>
      </c>
      <c r="F50">
        <v>3253</v>
      </c>
      <c r="G50" s="21">
        <v>1066</v>
      </c>
      <c r="H50" s="26">
        <v>44132</v>
      </c>
      <c r="I50" s="29">
        <v>20591</v>
      </c>
    </row>
    <row r="51" spans="1:9" x14ac:dyDescent="0.25">
      <c r="A51" s="14">
        <v>205303</v>
      </c>
      <c r="B51" s="39" t="s">
        <v>161</v>
      </c>
      <c r="C51" s="65">
        <v>3</v>
      </c>
      <c r="D51" s="20" t="s">
        <v>24</v>
      </c>
      <c r="E51">
        <v>2.2000000000000002</v>
      </c>
      <c r="F51">
        <v>6508</v>
      </c>
      <c r="G51" s="21">
        <v>741.51</v>
      </c>
      <c r="H51" s="26">
        <v>44132</v>
      </c>
      <c r="I51" s="29">
        <v>20591</v>
      </c>
    </row>
    <row r="52" spans="1:9" x14ac:dyDescent="0.25">
      <c r="A52" s="14">
        <v>205529</v>
      </c>
      <c r="B52" s="39" t="s">
        <v>162</v>
      </c>
      <c r="C52" s="65">
        <v>3</v>
      </c>
      <c r="D52" s="20" t="s">
        <v>24</v>
      </c>
      <c r="E52">
        <v>1.05</v>
      </c>
      <c r="F52">
        <v>4847</v>
      </c>
      <c r="G52" s="21">
        <v>736</v>
      </c>
      <c r="H52" s="26">
        <v>44132</v>
      </c>
      <c r="I52" s="29">
        <v>20591</v>
      </c>
    </row>
    <row r="53" spans="1:9" x14ac:dyDescent="0.25">
      <c r="A53" s="14">
        <v>206633</v>
      </c>
      <c r="B53" s="39" t="s">
        <v>163</v>
      </c>
      <c r="C53" s="65">
        <v>3</v>
      </c>
      <c r="D53" s="20" t="s">
        <v>24</v>
      </c>
      <c r="E53">
        <v>1.54</v>
      </c>
      <c r="F53">
        <v>7083</v>
      </c>
      <c r="G53" s="21">
        <v>1595</v>
      </c>
      <c r="H53" s="26">
        <v>44132</v>
      </c>
      <c r="I53" s="29">
        <v>20591</v>
      </c>
    </row>
    <row r="54" spans="1:9" x14ac:dyDescent="0.25">
      <c r="A54" s="14">
        <v>206634</v>
      </c>
      <c r="B54" s="39" t="s">
        <v>164</v>
      </c>
      <c r="C54" s="65">
        <v>3</v>
      </c>
      <c r="D54" s="20" t="s">
        <v>24</v>
      </c>
      <c r="E54">
        <v>4.6100000000000003</v>
      </c>
      <c r="F54">
        <v>21382</v>
      </c>
      <c r="G54" s="21">
        <v>3475.88</v>
      </c>
      <c r="H54" s="26">
        <v>44132</v>
      </c>
      <c r="I54" s="29">
        <v>20591</v>
      </c>
    </row>
    <row r="55" spans="1:9" x14ac:dyDescent="0.25">
      <c r="A55" s="8">
        <v>206982</v>
      </c>
      <c r="B55" s="39" t="s">
        <v>165</v>
      </c>
      <c r="C55" s="65">
        <v>3</v>
      </c>
      <c r="D55" s="18" t="s">
        <v>24</v>
      </c>
      <c r="E55">
        <v>1.61</v>
      </c>
      <c r="F55">
        <v>7364</v>
      </c>
      <c r="G55" s="22">
        <v>1853.5</v>
      </c>
      <c r="H55" s="26">
        <v>44132</v>
      </c>
      <c r="I55" s="29">
        <v>20591</v>
      </c>
    </row>
    <row r="56" spans="1:9" x14ac:dyDescent="0.25">
      <c r="A56" s="14">
        <v>196291</v>
      </c>
      <c r="B56" s="39" t="s">
        <v>149</v>
      </c>
      <c r="C56" s="65">
        <v>2</v>
      </c>
      <c r="D56" s="20" t="s">
        <v>108</v>
      </c>
      <c r="E56">
        <v>10.7</v>
      </c>
      <c r="F56">
        <v>61016</v>
      </c>
      <c r="G56" s="21">
        <v>3000.27</v>
      </c>
      <c r="H56" s="26">
        <v>44139</v>
      </c>
      <c r="I56" s="37">
        <v>5607</v>
      </c>
    </row>
    <row r="57" spans="1:9" x14ac:dyDescent="0.25">
      <c r="A57" s="14">
        <v>187838</v>
      </c>
      <c r="B57" s="40" t="s">
        <v>170</v>
      </c>
      <c r="C57" s="65">
        <v>2</v>
      </c>
      <c r="D57" s="20" t="s">
        <v>55</v>
      </c>
      <c r="E57">
        <v>8.7200000000000006</v>
      </c>
      <c r="F57">
        <v>473151</v>
      </c>
      <c r="G57" s="21">
        <v>37282.65</v>
      </c>
      <c r="H57" s="26">
        <v>44139</v>
      </c>
      <c r="I57" s="37">
        <v>20617</v>
      </c>
    </row>
    <row r="58" spans="1:9" x14ac:dyDescent="0.25">
      <c r="A58" s="14">
        <v>187839</v>
      </c>
      <c r="B58" s="40" t="s">
        <v>170</v>
      </c>
      <c r="C58" s="65">
        <v>2</v>
      </c>
      <c r="D58" s="20" t="s">
        <v>55</v>
      </c>
      <c r="E58">
        <v>5.89</v>
      </c>
      <c r="F58">
        <v>42289</v>
      </c>
      <c r="G58" s="21">
        <v>3851</v>
      </c>
      <c r="H58" s="26">
        <v>44139</v>
      </c>
      <c r="I58" s="37">
        <v>20617</v>
      </c>
    </row>
    <row r="59" spans="1:9" x14ac:dyDescent="0.25">
      <c r="A59" s="14">
        <v>194155</v>
      </c>
      <c r="B59" s="40" t="s">
        <v>99</v>
      </c>
      <c r="C59" s="65">
        <v>2</v>
      </c>
      <c r="D59" s="20" t="s">
        <v>56</v>
      </c>
      <c r="E59">
        <v>17</v>
      </c>
      <c r="F59">
        <v>64847</v>
      </c>
      <c r="G59" s="21">
        <v>6800</v>
      </c>
      <c r="H59" s="26">
        <v>44139</v>
      </c>
      <c r="I59" s="37">
        <v>20618</v>
      </c>
    </row>
    <row r="60" spans="1:9" x14ac:dyDescent="0.25">
      <c r="A60" s="14">
        <v>188781</v>
      </c>
      <c r="B60" s="40" t="s">
        <v>98</v>
      </c>
      <c r="C60" s="65">
        <v>3</v>
      </c>
      <c r="D60" s="20" t="s">
        <v>57</v>
      </c>
      <c r="E60">
        <v>0</v>
      </c>
      <c r="F60">
        <v>68116</v>
      </c>
      <c r="G60" s="21">
        <v>3405.82</v>
      </c>
      <c r="H60" s="26">
        <v>44146</v>
      </c>
      <c r="I60" s="30" t="s">
        <v>65</v>
      </c>
    </row>
    <row r="61" spans="1:9" x14ac:dyDescent="0.25">
      <c r="A61" s="12">
        <v>207555</v>
      </c>
      <c r="B61" s="39" t="s">
        <v>150</v>
      </c>
      <c r="C61" s="65">
        <v>2</v>
      </c>
      <c r="D61" s="20" t="s">
        <v>109</v>
      </c>
      <c r="E61">
        <v>5.12</v>
      </c>
      <c r="F61">
        <v>44696</v>
      </c>
      <c r="G61" s="21">
        <v>2080</v>
      </c>
      <c r="H61" s="26">
        <v>44146</v>
      </c>
      <c r="I61" s="30" t="s">
        <v>66</v>
      </c>
    </row>
    <row r="62" spans="1:9" x14ac:dyDescent="0.25">
      <c r="A62" s="12">
        <v>189835</v>
      </c>
      <c r="B62" s="39" t="s">
        <v>151</v>
      </c>
      <c r="C62" s="65">
        <v>3</v>
      </c>
      <c r="D62" s="20" t="s">
        <v>110</v>
      </c>
      <c r="E62">
        <v>11.56</v>
      </c>
      <c r="F62">
        <v>101243</v>
      </c>
      <c r="G62" s="21">
        <v>10124.299999999999</v>
      </c>
      <c r="H62" s="26">
        <v>44146</v>
      </c>
      <c r="I62" s="37">
        <v>20628</v>
      </c>
    </row>
    <row r="63" spans="1:9" x14ac:dyDescent="0.25">
      <c r="A63" s="14">
        <v>204464</v>
      </c>
      <c r="B63" s="39" t="s">
        <v>100</v>
      </c>
      <c r="C63" s="65">
        <v>3</v>
      </c>
      <c r="D63" s="20" t="s">
        <v>58</v>
      </c>
      <c r="E63">
        <v>10.33</v>
      </c>
      <c r="F63">
        <v>51090</v>
      </c>
      <c r="G63" s="21">
        <v>7332</v>
      </c>
      <c r="H63" s="26">
        <v>44146</v>
      </c>
      <c r="I63" s="37">
        <v>20633</v>
      </c>
    </row>
    <row r="64" spans="1:9" x14ac:dyDescent="0.25">
      <c r="A64" s="14">
        <v>192550</v>
      </c>
      <c r="B64" s="39" t="s">
        <v>82</v>
      </c>
      <c r="C64" s="65">
        <v>3</v>
      </c>
      <c r="D64" s="20" t="s">
        <v>59</v>
      </c>
      <c r="E64">
        <v>0</v>
      </c>
      <c r="F64">
        <v>26140</v>
      </c>
      <c r="G64" s="21">
        <v>2614</v>
      </c>
      <c r="H64" s="26">
        <v>44146</v>
      </c>
      <c r="I64" s="37">
        <v>20621</v>
      </c>
    </row>
    <row r="65" spans="1:9" x14ac:dyDescent="0.25">
      <c r="A65" s="14">
        <v>207465</v>
      </c>
      <c r="B65" s="39" t="s">
        <v>152</v>
      </c>
      <c r="C65" s="65">
        <v>3</v>
      </c>
      <c r="D65" s="20" t="s">
        <v>111</v>
      </c>
      <c r="E65">
        <v>64.650000000000006</v>
      </c>
      <c r="F65">
        <v>233592</v>
      </c>
      <c r="G65" s="21">
        <v>35710</v>
      </c>
      <c r="H65" s="26">
        <v>44146</v>
      </c>
      <c r="I65" s="37">
        <v>20627</v>
      </c>
    </row>
    <row r="66" spans="1:9" x14ac:dyDescent="0.25">
      <c r="A66" s="14">
        <v>178678</v>
      </c>
      <c r="B66" s="39" t="s">
        <v>101</v>
      </c>
      <c r="C66" s="65">
        <v>2</v>
      </c>
      <c r="D66" s="20" t="s">
        <v>60</v>
      </c>
      <c r="E66">
        <v>0</v>
      </c>
      <c r="F66">
        <v>9840</v>
      </c>
      <c r="G66" s="21">
        <v>492</v>
      </c>
      <c r="H66" s="26">
        <v>44146</v>
      </c>
      <c r="I66" s="30" t="s">
        <v>67</v>
      </c>
    </row>
    <row r="67" spans="1:9" x14ac:dyDescent="0.25">
      <c r="A67" s="14">
        <v>205537</v>
      </c>
      <c r="B67" s="39" t="s">
        <v>152</v>
      </c>
      <c r="C67" s="65">
        <v>3</v>
      </c>
      <c r="D67" s="20" t="s">
        <v>111</v>
      </c>
      <c r="E67">
        <v>1.01</v>
      </c>
      <c r="F67">
        <v>962</v>
      </c>
      <c r="G67" s="21">
        <v>1163.42</v>
      </c>
      <c r="H67" s="26">
        <v>44146</v>
      </c>
      <c r="I67" s="37">
        <v>20627</v>
      </c>
    </row>
    <row r="68" spans="1:9" x14ac:dyDescent="0.25">
      <c r="A68" s="8">
        <v>202502</v>
      </c>
      <c r="B68" s="39" t="s">
        <v>102</v>
      </c>
      <c r="C68" s="65">
        <v>2</v>
      </c>
      <c r="D68" s="18" t="s">
        <v>61</v>
      </c>
      <c r="E68">
        <v>3.88</v>
      </c>
      <c r="F68">
        <v>17011</v>
      </c>
      <c r="G68" s="22">
        <v>5332</v>
      </c>
      <c r="H68" s="26">
        <v>44146</v>
      </c>
      <c r="I68" s="37">
        <v>20634</v>
      </c>
    </row>
    <row r="69" spans="1:9" x14ac:dyDescent="0.25">
      <c r="A69" s="14">
        <v>175029</v>
      </c>
      <c r="B69" s="40" t="s">
        <v>166</v>
      </c>
      <c r="C69" s="65">
        <v>2</v>
      </c>
      <c r="D69" s="20" t="s">
        <v>62</v>
      </c>
      <c r="E69">
        <v>4.47</v>
      </c>
      <c r="F69">
        <v>20740</v>
      </c>
      <c r="G69" s="38">
        <v>2914</v>
      </c>
      <c r="H69" s="26">
        <v>44153</v>
      </c>
      <c r="I69" s="37">
        <v>5609</v>
      </c>
    </row>
    <row r="70" spans="1:9" x14ac:dyDescent="0.25">
      <c r="A70" s="14">
        <v>204808</v>
      </c>
      <c r="B70" s="39" t="s">
        <v>103</v>
      </c>
      <c r="C70" s="65">
        <v>3</v>
      </c>
      <c r="D70" s="20" t="s">
        <v>63</v>
      </c>
      <c r="E70">
        <v>3.1</v>
      </c>
      <c r="F70">
        <v>10865</v>
      </c>
      <c r="G70" s="38">
        <v>1240</v>
      </c>
      <c r="H70" s="26">
        <v>44153</v>
      </c>
      <c r="I70" s="37" t="s">
        <v>68</v>
      </c>
    </row>
    <row r="71" spans="1:9" x14ac:dyDescent="0.25">
      <c r="A71" s="14">
        <v>166550</v>
      </c>
      <c r="B71" s="39" t="s">
        <v>82</v>
      </c>
      <c r="C71" s="65">
        <v>3</v>
      </c>
      <c r="D71" s="20" t="s">
        <v>64</v>
      </c>
      <c r="E71">
        <v>0</v>
      </c>
      <c r="F71">
        <v>79816</v>
      </c>
      <c r="G71" s="21">
        <v>7981.6</v>
      </c>
      <c r="H71" s="26">
        <v>44160</v>
      </c>
      <c r="I71" s="37">
        <v>20674</v>
      </c>
    </row>
    <row r="72" spans="1:9" x14ac:dyDescent="0.25">
      <c r="A72" s="14">
        <v>166549</v>
      </c>
      <c r="B72" s="39" t="s">
        <v>82</v>
      </c>
      <c r="C72" s="65">
        <v>3</v>
      </c>
      <c r="D72" s="20" t="s">
        <v>64</v>
      </c>
      <c r="E72">
        <v>0</v>
      </c>
      <c r="F72">
        <v>83608</v>
      </c>
      <c r="G72" s="21">
        <v>8360.7999999999993</v>
      </c>
      <c r="H72" s="26">
        <v>44160</v>
      </c>
      <c r="I72" s="37">
        <v>20674</v>
      </c>
    </row>
    <row r="73" spans="1:9" x14ac:dyDescent="0.25">
      <c r="A73" s="14">
        <v>166552</v>
      </c>
      <c r="B73" s="39" t="s">
        <v>82</v>
      </c>
      <c r="C73" s="65">
        <v>3</v>
      </c>
      <c r="D73" s="20" t="s">
        <v>64</v>
      </c>
      <c r="E73">
        <v>0</v>
      </c>
      <c r="F73">
        <v>76187</v>
      </c>
      <c r="G73" s="21">
        <v>7618.7</v>
      </c>
      <c r="H73" s="26">
        <v>44160</v>
      </c>
      <c r="I73" s="37">
        <v>20674</v>
      </c>
    </row>
    <row r="74" spans="1:9" x14ac:dyDescent="0.25">
      <c r="A74" s="14">
        <v>166551</v>
      </c>
      <c r="B74" s="39" t="s">
        <v>82</v>
      </c>
      <c r="C74" s="65">
        <v>3</v>
      </c>
      <c r="D74" s="20" t="s">
        <v>64</v>
      </c>
      <c r="E74">
        <v>0</v>
      </c>
      <c r="F74">
        <v>88485</v>
      </c>
      <c r="G74" s="21">
        <v>8848.5</v>
      </c>
      <c r="H74" s="26">
        <v>44160</v>
      </c>
      <c r="I74" s="37">
        <v>20674</v>
      </c>
    </row>
    <row r="75" spans="1:9" x14ac:dyDescent="0.25">
      <c r="A75" s="14">
        <v>203422</v>
      </c>
      <c r="B75" s="39" t="s">
        <v>153</v>
      </c>
      <c r="C75" s="65">
        <v>3</v>
      </c>
      <c r="D75" s="20" t="s">
        <v>112</v>
      </c>
      <c r="E75">
        <v>39.337000000000003</v>
      </c>
      <c r="F75">
        <v>148182</v>
      </c>
      <c r="G75" s="21">
        <v>8438.1</v>
      </c>
      <c r="H75" s="26" t="s">
        <v>71</v>
      </c>
      <c r="I75" s="37">
        <v>5611</v>
      </c>
    </row>
    <row r="76" spans="1:9" x14ac:dyDescent="0.25">
      <c r="A76" s="14">
        <v>196004</v>
      </c>
      <c r="B76" s="39" t="s">
        <v>154</v>
      </c>
      <c r="C76" s="65">
        <v>3</v>
      </c>
      <c r="D76" s="20" t="s">
        <v>113</v>
      </c>
      <c r="E76">
        <v>2.6920000000000002</v>
      </c>
      <c r="F76">
        <v>15366</v>
      </c>
      <c r="G76" s="21">
        <v>2326</v>
      </c>
      <c r="H76" s="26" t="s">
        <v>71</v>
      </c>
      <c r="I76" s="37">
        <v>20680</v>
      </c>
    </row>
    <row r="77" spans="1:9" x14ac:dyDescent="0.25">
      <c r="A77" s="14">
        <v>197851</v>
      </c>
      <c r="B77" s="39" t="s">
        <v>155</v>
      </c>
      <c r="C77" s="65">
        <v>3</v>
      </c>
      <c r="D77" s="20" t="s">
        <v>114</v>
      </c>
      <c r="E77">
        <v>1.06</v>
      </c>
      <c r="F77">
        <v>4273</v>
      </c>
      <c r="G77" s="21">
        <v>1196.4000000000001</v>
      </c>
      <c r="H77" s="26" t="s">
        <v>71</v>
      </c>
      <c r="I77" s="37">
        <v>20680</v>
      </c>
    </row>
    <row r="78" spans="1:9" x14ac:dyDescent="0.25">
      <c r="A78" s="15">
        <v>196903</v>
      </c>
      <c r="B78" s="39" t="s">
        <v>156</v>
      </c>
      <c r="C78" s="65">
        <v>2</v>
      </c>
      <c r="D78" s="20" t="s">
        <v>115</v>
      </c>
      <c r="E78">
        <v>0</v>
      </c>
      <c r="F78">
        <v>3045</v>
      </c>
      <c r="G78" s="21">
        <v>275</v>
      </c>
      <c r="H78" s="26" t="s">
        <v>72</v>
      </c>
      <c r="I78" s="37">
        <v>20707</v>
      </c>
    </row>
    <row r="79" spans="1:9" x14ac:dyDescent="0.25">
      <c r="A79" s="14">
        <v>191757</v>
      </c>
      <c r="B79" s="39" t="s">
        <v>104</v>
      </c>
      <c r="C79" s="65">
        <v>2</v>
      </c>
      <c r="D79" s="20" t="s">
        <v>69</v>
      </c>
      <c r="E79">
        <v>0.8</v>
      </c>
      <c r="F79">
        <v>2892</v>
      </c>
      <c r="G79" s="21">
        <v>320</v>
      </c>
      <c r="H79" s="26" t="s">
        <v>72</v>
      </c>
      <c r="I79" s="37">
        <v>20706</v>
      </c>
    </row>
    <row r="80" spans="1:9" x14ac:dyDescent="0.25">
      <c r="A80" s="14">
        <v>200623</v>
      </c>
      <c r="B80" s="39" t="s">
        <v>105</v>
      </c>
      <c r="C80" s="65">
        <v>3</v>
      </c>
      <c r="D80" s="20" t="s">
        <v>70</v>
      </c>
      <c r="E80">
        <v>2.02</v>
      </c>
      <c r="F80">
        <v>12805</v>
      </c>
      <c r="G80" s="21">
        <v>2370</v>
      </c>
      <c r="H80" s="26" t="s">
        <v>72</v>
      </c>
      <c r="I80" s="37">
        <v>20714</v>
      </c>
    </row>
    <row r="81" spans="1:9" x14ac:dyDescent="0.25">
      <c r="A81" s="14">
        <v>204025</v>
      </c>
      <c r="B81" s="39" t="s">
        <v>157</v>
      </c>
      <c r="C81" s="65">
        <v>2</v>
      </c>
      <c r="D81" s="20" t="s">
        <v>116</v>
      </c>
      <c r="E81">
        <v>2.2999999999999998</v>
      </c>
      <c r="F81">
        <v>8458</v>
      </c>
      <c r="G81" s="21">
        <v>920</v>
      </c>
      <c r="H81" s="26" t="s">
        <v>72</v>
      </c>
      <c r="I81" s="37">
        <v>20709</v>
      </c>
    </row>
    <row r="82" spans="1:9" x14ac:dyDescent="0.25">
      <c r="D82" s="40"/>
    </row>
    <row r="83" spans="1:9" x14ac:dyDescent="0.25">
      <c r="D83" s="40"/>
    </row>
  </sheetData>
  <autoFilter ref="A1:I81" xr:uid="{D98850D6-B888-4787-B034-0B6C1A4BBFFF}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E187C-38E7-4CDB-A87A-4A4C60CCB01B}">
  <dimension ref="A2:K23"/>
  <sheetViews>
    <sheetView workbookViewId="0">
      <selection sqref="A1:L59"/>
    </sheetView>
  </sheetViews>
  <sheetFormatPr defaultRowHeight="15" x14ac:dyDescent="0.25"/>
  <sheetData>
    <row r="2" spans="1:11" x14ac:dyDescent="0.25">
      <c r="B2" s="91" t="s">
        <v>121</v>
      </c>
      <c r="C2" s="91"/>
      <c r="D2" s="91"/>
      <c r="E2" s="91"/>
      <c r="F2" s="91"/>
      <c r="G2" s="91"/>
      <c r="H2" s="92" t="s">
        <v>122</v>
      </c>
      <c r="I2" s="92"/>
    </row>
    <row r="3" spans="1:11" x14ac:dyDescent="0.25">
      <c r="A3" s="41" t="s">
        <v>123</v>
      </c>
      <c r="B3" s="42" t="s">
        <v>124</v>
      </c>
      <c r="C3" s="43" t="s">
        <v>125</v>
      </c>
      <c r="D3" s="43" t="s">
        <v>126</v>
      </c>
      <c r="E3" s="42" t="s">
        <v>127</v>
      </c>
      <c r="F3" s="42" t="s">
        <v>128</v>
      </c>
      <c r="G3" s="43" t="s">
        <v>126</v>
      </c>
      <c r="H3" s="44" t="s">
        <v>3</v>
      </c>
      <c r="I3" s="44" t="s">
        <v>2</v>
      </c>
    </row>
    <row r="4" spans="1:11" x14ac:dyDescent="0.25">
      <c r="A4" s="45" t="s">
        <v>129</v>
      </c>
      <c r="B4" s="46"/>
      <c r="C4" s="46"/>
      <c r="D4" s="47"/>
      <c r="E4" s="46"/>
      <c r="F4" s="46"/>
      <c r="G4" s="47"/>
      <c r="H4" s="46"/>
      <c r="I4" s="47"/>
    </row>
    <row r="5" spans="1:11" x14ac:dyDescent="0.25">
      <c r="A5" s="48" t="s">
        <v>130</v>
      </c>
      <c r="B5" s="49">
        <v>24223674</v>
      </c>
      <c r="C5" s="49">
        <v>22801451</v>
      </c>
      <c r="D5" s="50">
        <f t="shared" ref="D5:D13" si="0">C5/B5</f>
        <v>0.94128789051569961</v>
      </c>
      <c r="E5" s="49">
        <v>1076</v>
      </c>
      <c r="F5" s="49">
        <v>1013</v>
      </c>
      <c r="G5" s="50">
        <f t="shared" ref="G5:G13" si="1">F5/E5</f>
        <v>0.94144981412639406</v>
      </c>
      <c r="H5" s="51">
        <v>0.94099999999999995</v>
      </c>
      <c r="I5" s="51">
        <v>0.94099999999999995</v>
      </c>
      <c r="J5" t="s">
        <v>131</v>
      </c>
      <c r="K5" t="s">
        <v>132</v>
      </c>
    </row>
    <row r="6" spans="1:11" x14ac:dyDescent="0.25">
      <c r="A6" s="52" t="s">
        <v>133</v>
      </c>
      <c r="B6" s="53">
        <v>720261137</v>
      </c>
      <c r="C6" s="53">
        <v>636766848</v>
      </c>
      <c r="D6" s="54">
        <f t="shared" si="0"/>
        <v>0.88407775359397189</v>
      </c>
      <c r="E6" s="53">
        <v>108779</v>
      </c>
      <c r="F6" s="53">
        <v>103145</v>
      </c>
      <c r="G6" s="54">
        <f t="shared" si="1"/>
        <v>0.94820691493762588</v>
      </c>
      <c r="H6" s="55">
        <v>0.88300000000000001</v>
      </c>
      <c r="I6" s="55">
        <v>0.94799999999999995</v>
      </c>
      <c r="J6" t="s">
        <v>134</v>
      </c>
      <c r="K6" t="s">
        <v>132</v>
      </c>
    </row>
    <row r="7" spans="1:11" x14ac:dyDescent="0.25">
      <c r="A7" s="56" t="s">
        <v>135</v>
      </c>
      <c r="B7" s="57">
        <v>54572858</v>
      </c>
      <c r="C7" s="57">
        <v>51441352</v>
      </c>
      <c r="D7" s="58">
        <f t="shared" si="0"/>
        <v>0.94261788524984347</v>
      </c>
      <c r="E7" s="57">
        <v>11469</v>
      </c>
      <c r="F7" s="57">
        <v>10734</v>
      </c>
      <c r="G7" s="58">
        <f t="shared" si="1"/>
        <v>0.93591420350510068</v>
      </c>
      <c r="H7" s="59">
        <v>0.94</v>
      </c>
      <c r="I7" s="59">
        <v>0.94</v>
      </c>
      <c r="J7" t="s">
        <v>136</v>
      </c>
      <c r="K7" t="s">
        <v>132</v>
      </c>
    </row>
    <row r="8" spans="1:11" x14ac:dyDescent="0.25">
      <c r="A8" s="52" t="s">
        <v>137</v>
      </c>
      <c r="B8" s="53">
        <v>82778399</v>
      </c>
      <c r="C8" s="53">
        <v>46889522</v>
      </c>
      <c r="D8" s="54">
        <f t="shared" si="0"/>
        <v>0.566446350333497</v>
      </c>
      <c r="E8" s="53">
        <v>13944</v>
      </c>
      <c r="F8" s="53">
        <v>7895</v>
      </c>
      <c r="G8" s="54">
        <f t="shared" si="1"/>
        <v>0.56619334480780259</v>
      </c>
      <c r="H8" s="59">
        <v>0.56999999999999995</v>
      </c>
      <c r="I8" s="59">
        <v>0.56999999999999995</v>
      </c>
      <c r="J8" t="s">
        <v>138</v>
      </c>
      <c r="K8" t="s">
        <v>132</v>
      </c>
    </row>
    <row r="9" spans="1:11" x14ac:dyDescent="0.25">
      <c r="A9" s="52" t="s">
        <v>139</v>
      </c>
      <c r="B9" s="53">
        <v>5193707</v>
      </c>
      <c r="C9" s="53">
        <v>5219675</v>
      </c>
      <c r="D9" s="54">
        <f t="shared" si="0"/>
        <v>1.0049998969907237</v>
      </c>
      <c r="E9" s="53">
        <v>616</v>
      </c>
      <c r="F9" s="53">
        <v>734</v>
      </c>
      <c r="G9" s="54">
        <f t="shared" si="1"/>
        <v>1.1915584415584415</v>
      </c>
      <c r="H9" s="60">
        <v>1.0049999999999999</v>
      </c>
      <c r="I9" s="60">
        <v>1.1919999999999999</v>
      </c>
      <c r="J9" t="s">
        <v>140</v>
      </c>
      <c r="K9" t="s">
        <v>132</v>
      </c>
    </row>
    <row r="10" spans="1:11" x14ac:dyDescent="0.25">
      <c r="A10" s="56" t="s">
        <v>141</v>
      </c>
      <c r="B10" s="57">
        <v>16014669</v>
      </c>
      <c r="C10" s="57">
        <v>15201978</v>
      </c>
      <c r="D10" s="58">
        <f t="shared" si="0"/>
        <v>0.94925333767435338</v>
      </c>
      <c r="E10" s="57">
        <v>2814</v>
      </c>
      <c r="F10" s="57">
        <v>2644</v>
      </c>
      <c r="G10" s="58">
        <f t="shared" si="1"/>
        <v>0.93958777540867089</v>
      </c>
      <c r="H10" s="61">
        <v>0.91700000000000004</v>
      </c>
      <c r="I10" s="61">
        <v>0.91700000000000004</v>
      </c>
      <c r="J10" t="s">
        <v>142</v>
      </c>
      <c r="K10" t="s">
        <v>143</v>
      </c>
    </row>
    <row r="11" spans="1:11" x14ac:dyDescent="0.25">
      <c r="A11" s="62" t="s">
        <v>144</v>
      </c>
      <c r="B11" s="57">
        <v>431704</v>
      </c>
      <c r="C11" s="57">
        <v>358315</v>
      </c>
      <c r="D11" s="58">
        <f t="shared" si="0"/>
        <v>0.83000157515334583</v>
      </c>
      <c r="E11" s="57"/>
      <c r="F11" s="57"/>
      <c r="G11" s="58"/>
      <c r="H11" s="61">
        <f>D11</f>
        <v>0.83000157515334583</v>
      </c>
      <c r="I11" s="61">
        <v>0.83</v>
      </c>
    </row>
    <row r="12" spans="1:11" x14ac:dyDescent="0.25">
      <c r="A12" s="52" t="s">
        <v>145</v>
      </c>
      <c r="B12" s="53">
        <v>29476261</v>
      </c>
      <c r="C12" s="53">
        <v>21098827</v>
      </c>
      <c r="D12" s="54">
        <f t="shared" si="0"/>
        <v>0.71579047966768916</v>
      </c>
      <c r="E12" s="53">
        <v>3979</v>
      </c>
      <c r="F12" s="53">
        <v>2848</v>
      </c>
      <c r="G12" s="54">
        <f t="shared" si="1"/>
        <v>0.71575772807238003</v>
      </c>
      <c r="H12" s="60">
        <v>0.75800000000000001</v>
      </c>
      <c r="I12" s="60">
        <v>0.75800000000000001</v>
      </c>
      <c r="J12" t="s">
        <v>142</v>
      </c>
      <c r="K12" t="s">
        <v>143</v>
      </c>
    </row>
    <row r="13" spans="1:11" x14ac:dyDescent="0.25">
      <c r="A13" s="52" t="s">
        <v>146</v>
      </c>
      <c r="B13" s="53">
        <v>5957126</v>
      </c>
      <c r="C13" s="53">
        <v>5969040</v>
      </c>
      <c r="D13" s="54">
        <f t="shared" si="0"/>
        <v>1.0019999576977221</v>
      </c>
      <c r="E13" s="53">
        <v>1140</v>
      </c>
      <c r="F13" s="53">
        <v>1142</v>
      </c>
      <c r="G13" s="54">
        <f t="shared" si="1"/>
        <v>1.0017543859649123</v>
      </c>
      <c r="H13" s="60"/>
      <c r="I13" s="60"/>
    </row>
    <row r="14" spans="1:11" x14ac:dyDescent="0.25">
      <c r="A14" s="63"/>
      <c r="B14" s="63">
        <f>SUM(B5:B13)</f>
        <v>938909535</v>
      </c>
      <c r="C14" s="63">
        <v>2026088669</v>
      </c>
      <c r="D14" s="63"/>
      <c r="E14" s="63">
        <v>253516</v>
      </c>
      <c r="F14" s="63">
        <v>249224</v>
      </c>
      <c r="G14" s="63"/>
      <c r="H14" s="63"/>
      <c r="I14" s="63"/>
    </row>
    <row r="20" spans="3:3" x14ac:dyDescent="0.25">
      <c r="C20" s="64"/>
    </row>
    <row r="21" spans="3:3" x14ac:dyDescent="0.25">
      <c r="C21" s="64"/>
    </row>
    <row r="23" spans="3:3" x14ac:dyDescent="0.25">
      <c r="C23" s="64"/>
    </row>
  </sheetData>
  <mergeCells count="2">
    <mergeCell ref="B2:G2"/>
    <mergeCell ref="H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Tables</vt:lpstr>
      <vt:lpstr>Projects</vt:lpstr>
      <vt:lpstr>Net to Gross Ratio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Kamstra</dc:creator>
  <cp:lastModifiedBy>David Savage</cp:lastModifiedBy>
  <dcterms:created xsi:type="dcterms:W3CDTF">2021-06-21T12:14:16Z</dcterms:created>
  <dcterms:modified xsi:type="dcterms:W3CDTF">2022-09-28T17:53:17Z</dcterms:modified>
</cp:coreProperties>
</file>