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dmin\Ontario Energy Board\Rate Design\2023 - SN\0.  File with OEB\Nov 9 2022\"/>
    </mc:Choice>
  </mc:AlternateContent>
  <xr:revisionPtr revIDLastSave="0" documentId="8_{7DFEAB1A-7D5E-41F9-AC42-69501DB45D1E}" xr6:coauthVersionLast="47" xr6:coauthVersionMax="47" xr10:uidLastSave="{00000000-0000-0000-0000-000000000000}"/>
  <bookViews>
    <workbookView xWindow="-108" yWindow="-108" windowWidth="23256" windowHeight="12576" xr2:uid="{671A8764-D2D8-475B-B04A-E1375D6F4FD5}"/>
  </bookViews>
  <sheets>
    <sheet name="TBay Gross to Net and Persist" sheetId="4" r:id="rId1"/>
    <sheet name="KN Gross to Net and Persist" sheetId="3" r:id="rId2"/>
    <sheet name="Sheet1" sheetId="1" state="hidden" r:id="rId3"/>
    <sheet name="kWh by Year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1" i="4" l="1"/>
  <c r="F25" i="4"/>
  <c r="I25" i="4" s="1"/>
  <c r="L24" i="3"/>
  <c r="M24" i="3"/>
  <c r="N24" i="3"/>
  <c r="AI28" i="3"/>
  <c r="AH28" i="3"/>
  <c r="AH26" i="3"/>
  <c r="E33" i="4"/>
  <c r="H25" i="4"/>
  <c r="M25" i="4"/>
  <c r="N25" i="4"/>
  <c r="P25" i="4"/>
  <c r="E25" i="4"/>
  <c r="E26" i="4"/>
  <c r="F26" i="4" s="1"/>
  <c r="E32" i="3"/>
  <c r="E24" i="3"/>
  <c r="I24" i="3" s="1"/>
  <c r="E25" i="3"/>
  <c r="Y28" i="4"/>
  <c r="Y26" i="4"/>
  <c r="P24" i="3" l="1"/>
  <c r="H24" i="3"/>
  <c r="O25" i="4"/>
  <c r="O24" i="3"/>
  <c r="G24" i="3"/>
  <c r="L25" i="4"/>
  <c r="K24" i="3"/>
  <c r="R25" i="4"/>
  <c r="J25" i="4"/>
  <c r="R24" i="3"/>
  <c r="J24" i="3"/>
  <c r="K25" i="4"/>
  <c r="G25" i="4"/>
  <c r="Q25" i="4"/>
  <c r="Q24" i="3"/>
  <c r="F24" i="3"/>
  <c r="T24" i="3" s="1"/>
  <c r="F25" i="3"/>
  <c r="Y26" i="3"/>
  <c r="K25" i="3" l="1"/>
  <c r="G25" i="3"/>
  <c r="M25" i="3"/>
  <c r="N25" i="3"/>
  <c r="O25" i="3"/>
  <c r="H25" i="3"/>
  <c r="L25" i="3"/>
  <c r="P25" i="3"/>
  <c r="I25" i="3"/>
  <c r="Q25" i="3"/>
  <c r="J25" i="3"/>
  <c r="R25" i="3"/>
  <c r="AL32" i="4"/>
  <c r="AK32" i="4"/>
  <c r="AJ32" i="4"/>
  <c r="AI32" i="4"/>
  <c r="AH32" i="4"/>
  <c r="AG32" i="4"/>
  <c r="AF32" i="4"/>
  <c r="AE32" i="4"/>
  <c r="AD32" i="4"/>
  <c r="AL31" i="4"/>
  <c r="AK31" i="4"/>
  <c r="R26" i="4" s="1"/>
  <c r="AJ31" i="4"/>
  <c r="Q26" i="4" s="1"/>
  <c r="AI31" i="4"/>
  <c r="P26" i="4" s="1"/>
  <c r="AH31" i="4"/>
  <c r="O26" i="4" s="1"/>
  <c r="AG31" i="4"/>
  <c r="N26" i="4" s="1"/>
  <c r="AF31" i="4"/>
  <c r="M26" i="4" s="1"/>
  <c r="AE31" i="4"/>
  <c r="L26" i="4" s="1"/>
  <c r="K26" i="4"/>
  <c r="J26" i="4"/>
  <c r="I26" i="4"/>
  <c r="H26" i="4"/>
  <c r="G26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20" i="4"/>
  <c r="E19" i="4"/>
  <c r="F19" i="4" s="1"/>
  <c r="E12" i="4"/>
  <c r="Z32" i="3"/>
  <c r="Z31" i="3"/>
  <c r="E31" i="4" l="1"/>
  <c r="E11" i="4"/>
  <c r="L19" i="4"/>
  <c r="J19" i="4"/>
  <c r="I19" i="4"/>
  <c r="H19" i="4"/>
  <c r="O19" i="4"/>
  <c r="K19" i="4"/>
  <c r="R19" i="4"/>
  <c r="Q19" i="4"/>
  <c r="P19" i="4"/>
  <c r="G19" i="4"/>
  <c r="N19" i="4"/>
  <c r="M19" i="4"/>
  <c r="T26" i="4"/>
  <c r="F11" i="4"/>
  <c r="G11" i="4" s="1"/>
  <c r="E34" i="4"/>
  <c r="F20" i="4"/>
  <c r="N20" i="4" s="1"/>
  <c r="F12" i="4"/>
  <c r="T25" i="4" l="1"/>
  <c r="H11" i="4"/>
  <c r="P11" i="4"/>
  <c r="I11" i="4"/>
  <c r="Q11" i="4"/>
  <c r="J11" i="4"/>
  <c r="R11" i="4"/>
  <c r="K11" i="4"/>
  <c r="O11" i="4"/>
  <c r="L11" i="4"/>
  <c r="M11" i="4"/>
  <c r="N11" i="4"/>
  <c r="T19" i="4"/>
  <c r="I20" i="4"/>
  <c r="H20" i="4"/>
  <c r="L20" i="4"/>
  <c r="G20" i="4"/>
  <c r="P20" i="4"/>
  <c r="R20" i="4"/>
  <c r="Q20" i="4"/>
  <c r="K20" i="4"/>
  <c r="O20" i="4"/>
  <c r="J20" i="4"/>
  <c r="M20" i="4"/>
  <c r="R12" i="4"/>
  <c r="J12" i="4"/>
  <c r="L12" i="4"/>
  <c r="Q12" i="4"/>
  <c r="I12" i="4"/>
  <c r="M12" i="4"/>
  <c r="P12" i="4"/>
  <c r="H12" i="4"/>
  <c r="O12" i="4"/>
  <c r="G12" i="4"/>
  <c r="N12" i="4"/>
  <c r="K12" i="4"/>
  <c r="AI26" i="3"/>
  <c r="AJ26" i="3"/>
  <c r="AK26" i="3"/>
  <c r="AJ28" i="3"/>
  <c r="AK28" i="3"/>
  <c r="AH31" i="3"/>
  <c r="AI31" i="3"/>
  <c r="AJ31" i="3"/>
  <c r="AK31" i="3"/>
  <c r="AH32" i="3"/>
  <c r="AI32" i="3"/>
  <c r="AJ32" i="3"/>
  <c r="AK32" i="3"/>
  <c r="T20" i="4" l="1"/>
  <c r="T11" i="4"/>
  <c r="T12" i="4"/>
  <c r="AA32" i="3"/>
  <c r="AB32" i="3"/>
  <c r="AC32" i="3"/>
  <c r="AD32" i="3"/>
  <c r="AE32" i="3"/>
  <c r="AF32" i="3"/>
  <c r="AG32" i="3"/>
  <c r="AA31" i="3"/>
  <c r="AB31" i="3"/>
  <c r="AC31" i="3"/>
  <c r="AD31" i="3"/>
  <c r="AE31" i="3"/>
  <c r="AF31" i="3"/>
  <c r="AG31" i="3"/>
  <c r="Z28" i="3"/>
  <c r="AA28" i="3"/>
  <c r="AB28" i="3"/>
  <c r="AC28" i="3"/>
  <c r="AD28" i="3"/>
  <c r="AE28" i="3"/>
  <c r="AF28" i="3"/>
  <c r="AG28" i="3"/>
  <c r="Y28" i="3"/>
  <c r="AG26" i="3"/>
  <c r="AF26" i="3"/>
  <c r="AE26" i="3"/>
  <c r="AD26" i="3"/>
  <c r="AC26" i="3"/>
  <c r="AB26" i="3"/>
  <c r="AA26" i="3"/>
  <c r="Z26" i="3"/>
  <c r="E17" i="3" l="1"/>
  <c r="E9" i="3"/>
  <c r="E30" i="3" s="1"/>
  <c r="F17" i="3" l="1"/>
  <c r="E16" i="3"/>
  <c r="E8" i="3"/>
  <c r="F8" i="3" s="1"/>
  <c r="G8" i="3" s="1"/>
  <c r="E33" i="3"/>
  <c r="P17" i="3"/>
  <c r="F16" i="3"/>
  <c r="G16" i="3" s="1"/>
  <c r="Q17" i="3"/>
  <c r="R17" i="3"/>
  <c r="O17" i="3"/>
  <c r="F9" i="3"/>
  <c r="M9" i="3" l="1"/>
  <c r="H9" i="3"/>
  <c r="J8" i="3"/>
  <c r="K8" i="3"/>
  <c r="N8" i="3"/>
  <c r="O8" i="3"/>
  <c r="Q8" i="3"/>
  <c r="P8" i="3"/>
  <c r="R8" i="3"/>
  <c r="I8" i="3"/>
  <c r="L8" i="3"/>
  <c r="M8" i="3"/>
  <c r="T25" i="3"/>
  <c r="G9" i="3"/>
  <c r="J17" i="3"/>
  <c r="G17" i="3"/>
  <c r="H17" i="3"/>
  <c r="K17" i="3"/>
  <c r="H16" i="3"/>
  <c r="P16" i="3"/>
  <c r="I16" i="3"/>
  <c r="J16" i="3"/>
  <c r="L16" i="3"/>
  <c r="O16" i="3"/>
  <c r="Q16" i="3"/>
  <c r="M16" i="3"/>
  <c r="N16" i="3"/>
  <c r="R16" i="3"/>
  <c r="K16" i="3"/>
  <c r="N17" i="3"/>
  <c r="M17" i="3"/>
  <c r="L9" i="3"/>
  <c r="I17" i="3"/>
  <c r="L17" i="3"/>
  <c r="N9" i="3"/>
  <c r="H8" i="3"/>
  <c r="I9" i="3"/>
  <c r="K9" i="3"/>
  <c r="J9" i="3"/>
  <c r="Q9" i="3"/>
  <c r="P9" i="3"/>
  <c r="R9" i="3"/>
  <c r="O9" i="3"/>
  <c r="A28" i="2"/>
  <c r="A7" i="2"/>
  <c r="B19" i="2"/>
  <c r="D6" i="2"/>
  <c r="B30" i="2"/>
  <c r="C23" i="2"/>
  <c r="A26" i="1"/>
  <c r="T16" i="3" l="1"/>
  <c r="T8" i="3"/>
  <c r="T17" i="3"/>
  <c r="T9" i="3"/>
</calcChain>
</file>

<file path=xl/sharedStrings.xml><?xml version="1.0" encoding="utf-8"?>
<sst xmlns="http://schemas.openxmlformats.org/spreadsheetml/2006/main" count="132" uniqueCount="60">
  <si>
    <t>COTB</t>
  </si>
  <si>
    <t>DSSAB</t>
  </si>
  <si>
    <t>KDSB</t>
  </si>
  <si>
    <t xml:space="preserve">total CDM Incentives paid out </t>
  </si>
  <si>
    <t xml:space="preserve">25 projects </t>
  </si>
  <si>
    <t xml:space="preserve">kWh </t>
  </si>
  <si>
    <t>KW</t>
  </si>
  <si>
    <t xml:space="preserve">2021 Tbay </t>
  </si>
  <si>
    <t>2021 KEN</t>
  </si>
  <si>
    <t xml:space="preserve">2022 Tbay </t>
  </si>
  <si>
    <t>kWh</t>
  </si>
  <si>
    <t>2022 KEN</t>
  </si>
  <si>
    <t xml:space="preserve">2020 Tbay </t>
  </si>
  <si>
    <t>2020 KEN</t>
  </si>
  <si>
    <t>All participants are Over 50 Class.</t>
  </si>
  <si>
    <t>These are Gross savings numbers</t>
  </si>
  <si>
    <t>Kenora</t>
  </si>
  <si>
    <t>Gross</t>
  </si>
  <si>
    <t>Thunder Bay</t>
  </si>
  <si>
    <t>kW</t>
  </si>
  <si>
    <t>Net</t>
  </si>
  <si>
    <t>Save on Energy Retrofit Program</t>
  </si>
  <si>
    <t>Gross Verified Annual Energy Savings (kWh)</t>
  </si>
  <si>
    <t>Gross Verified Annual Peak Demand Savings (kW)</t>
  </si>
  <si>
    <t>Net Verified Annual Energy Savings (kWh)</t>
  </si>
  <si>
    <t>Net Verified Annual Peak Demand Savings (kW)</t>
  </si>
  <si>
    <t xml:space="preserve">kW </t>
  </si>
  <si>
    <t>kWh Persitance Rate</t>
  </si>
  <si>
    <t>kW Persistance Rate</t>
  </si>
  <si>
    <t>Gross to Net Ratio</t>
  </si>
  <si>
    <t>Using 2017 Data to Proxy: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</si>
  <si>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</si>
  <si>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</si>
  <si>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</si>
  <si>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</si>
  <si>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</si>
  <si>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</si>
  <si>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</si>
  <si>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</si>
  <si>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Persistance Year After Implementation</t>
  </si>
  <si>
    <t>RETROFIT PROGRAM SAVINGS</t>
  </si>
  <si>
    <t xml:space="preserve">Oct 25/22 </t>
  </si>
  <si>
    <t>JR</t>
  </si>
  <si>
    <t>Year 9</t>
  </si>
  <si>
    <t>Year 10</t>
  </si>
  <si>
    <t>Year 11</t>
  </si>
  <si>
    <t>Year 12</t>
  </si>
  <si>
    <t>TOTAL</t>
  </si>
  <si>
    <t>kW (calc)*</t>
  </si>
  <si>
    <t>Source: 2017 Final Verified Annual LDC CDM Programs (IESO)</t>
  </si>
  <si>
    <t xml:space="preserve">Calculated </t>
  </si>
  <si>
    <t>* kW was estimated based on 2017 actual kW to kWh ratio.  See cell referencing.</t>
  </si>
  <si>
    <t>Over 50 Class Retrofit Program Data provided by CDM Department</t>
  </si>
  <si>
    <t>To calculate the Net savings and persistence, used the 2017 Final Verified IESO Program Report data to discover the ratio to net the gross savings.</t>
  </si>
  <si>
    <t>Total</t>
  </si>
  <si>
    <t xml:space="preserve">Modified to use 2018 base, IESO adjs to </t>
  </si>
  <si>
    <t>This did not make sense so used 1.0, consistant</t>
  </si>
  <si>
    <t>with Kenora results, reasonable.  JR</t>
  </si>
  <si>
    <t xml:space="preserve">2017 created increase in 2018 actuals.  These were </t>
  </si>
  <si>
    <t>initially resulting in 1.04 * the kWh and 1.08 * the kW persistance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</si>
</sst>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;[Red]\-&quot;$&quot;#,##0.00"/>
    <numFmt numFmtId="165" formatCode="_-* #,##0_-;\-* #,##0_-;_-* &quot;-&quot;_-;_-@_-"/>
    <numFmt numFmtId="166" formatCode="_-* #,##0.00_-;\-* #,##0.00_-;_-* &quot;-&quot;??_-;_-@_-"/>
    <numFmt numFmtId="167" formatCode="0.000"/>
    <numFmt numFmtId="168" formatCode="#,##0;\-#,##0;&quot;-&quot;_____;"/>
    <numFmt numFmtId="169" formatCode="_-* #,##0_-;\-* #,##0_-;_-* &quot;-&quot;??_-;_-@_-"/>
    <numFmt numFmtId="170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rgb="FF22222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B0F0"/>
      <name val="Calibri Light"/>
      <family val="2"/>
      <scheme val="major"/>
    </font>
    <font>
      <b/>
      <i/>
      <sz val="11"/>
      <color rgb="FF00B0F0"/>
      <name val="Calibri"/>
      <family val="2"/>
      <scheme val="minor"/>
    </font>
    <font>
      <b/>
      <i/>
      <sz val="12"/>
      <color rgb="FF00B0F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8BACB"/>
        <bgColor indexed="64"/>
      </patternFill>
    </fill>
    <fill>
      <patternFill patternType="solid">
        <fgColor rgb="FFA1B4C6"/>
        <bgColor indexed="64"/>
      </patternFill>
    </fill>
    <fill>
      <patternFill patternType="solid">
        <fgColor rgb="FF91A7BD"/>
        <bgColor indexed="64"/>
      </patternFill>
    </fill>
    <fill>
      <patternFill patternType="solid">
        <fgColor rgb="FF8AA1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EEEEEE"/>
      </left>
      <right/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0" fontId="9" fillId="3" borderId="3" applyNumberFormat="0" applyAlignment="0" applyProtection="0"/>
    <xf numFmtId="0" fontId="10" fillId="0" borderId="4" applyNumberFormat="0" applyFill="0" applyAlignment="0" applyProtection="0"/>
    <xf numFmtId="0" fontId="11" fillId="4" borderId="5" applyNumberFormat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4" fillId="0" borderId="0" xfId="0" applyFont="1" applyAlignment="1">
      <alignment horizontal="left"/>
    </xf>
    <xf numFmtId="168" fontId="15" fillId="6" borderId="7" xfId="0" applyNumberFormat="1" applyFont="1" applyFill="1" applyBorder="1" applyAlignment="1">
      <alignment vertical="top"/>
    </xf>
    <xf numFmtId="168" fontId="15" fillId="5" borderId="8" xfId="0" applyNumberFormat="1" applyFont="1" applyFill="1" applyBorder="1" applyAlignment="1">
      <alignment vertical="top"/>
    </xf>
    <xf numFmtId="168" fontId="15" fillId="6" borderId="8" xfId="0" applyNumberFormat="1" applyFont="1" applyFill="1" applyBorder="1" applyAlignment="1">
      <alignment vertical="top"/>
    </xf>
    <xf numFmtId="0" fontId="16" fillId="7" borderId="9" xfId="0" applyFont="1" applyFill="1" applyBorder="1" applyAlignment="1">
      <alignment horizontal="center" vertical="top" textRotation="90"/>
    </xf>
    <xf numFmtId="0" fontId="16" fillId="7" borderId="10" xfId="0" applyFont="1" applyFill="1" applyBorder="1" applyAlignment="1">
      <alignment vertical="top"/>
    </xf>
    <xf numFmtId="0" fontId="16" fillId="8" borderId="9" xfId="0" applyFont="1" applyFill="1" applyBorder="1" applyAlignment="1">
      <alignment horizontal="center" vertical="top" textRotation="90"/>
    </xf>
    <xf numFmtId="0" fontId="16" fillId="8" borderId="10" xfId="0" applyFont="1" applyFill="1" applyBorder="1" applyAlignment="1">
      <alignment vertical="top"/>
    </xf>
    <xf numFmtId="0" fontId="16" fillId="9" borderId="10" xfId="0" applyFont="1" applyFill="1" applyBorder="1" applyAlignment="1">
      <alignment vertical="top"/>
    </xf>
    <xf numFmtId="0" fontId="16" fillId="10" borderId="10" xfId="0" applyFont="1" applyFill="1" applyBorder="1" applyAlignment="1">
      <alignment vertical="top"/>
    </xf>
    <xf numFmtId="2" fontId="0" fillId="0" borderId="0" xfId="0" applyNumberFormat="1"/>
    <xf numFmtId="169" fontId="0" fillId="0" borderId="0" xfId="1" applyNumberFormat="1" applyFont="1"/>
    <xf numFmtId="0" fontId="12" fillId="0" borderId="11" xfId="0" applyFont="1" applyBorder="1" applyAlignment="1">
      <alignment horizontal="center"/>
    </xf>
    <xf numFmtId="0" fontId="0" fillId="0" borderId="11" xfId="0" applyBorder="1"/>
    <xf numFmtId="0" fontId="12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169" fontId="10" fillId="0" borderId="4" xfId="3" applyNumberFormat="1"/>
    <xf numFmtId="169" fontId="9" fillId="3" borderId="3" xfId="2" applyNumberFormat="1"/>
    <xf numFmtId="169" fontId="11" fillId="4" borderId="5" xfId="4" applyNumberFormat="1"/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9" fontId="12" fillId="11" borderId="0" xfId="0" applyNumberFormat="1" applyFont="1" applyFill="1"/>
    <xf numFmtId="3" fontId="7" fillId="11" borderId="0" xfId="0" applyNumberFormat="1" applyFont="1" applyFill="1" applyAlignment="1">
      <alignment horizontal="center"/>
    </xf>
    <xf numFmtId="167" fontId="7" fillId="11" borderId="0" xfId="0" applyNumberFormat="1" applyFont="1" applyFill="1" applyAlignment="1">
      <alignment horizontal="center"/>
    </xf>
    <xf numFmtId="165" fontId="7" fillId="11" borderId="0" xfId="1" applyNumberFormat="1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/>
    <xf numFmtId="0" fontId="0" fillId="13" borderId="0" xfId="0" applyFill="1" applyAlignment="1">
      <alignment horizontal="center"/>
    </xf>
    <xf numFmtId="0" fontId="9" fillId="3" borderId="3" xfId="2"/>
    <xf numFmtId="168" fontId="8" fillId="11" borderId="8" xfId="0" applyNumberFormat="1" applyFont="1" applyFill="1" applyBorder="1" applyAlignment="1">
      <alignment vertical="top"/>
    </xf>
    <xf numFmtId="168" fontId="15" fillId="11" borderId="8" xfId="0" applyNumberFormat="1" applyFont="1" applyFill="1" applyBorder="1" applyAlignment="1">
      <alignment vertical="top"/>
    </xf>
    <xf numFmtId="168" fontId="15" fillId="0" borderId="8" xfId="0" applyNumberFormat="1" applyFont="1" applyFill="1" applyBorder="1" applyAlignment="1">
      <alignment vertical="top"/>
    </xf>
    <xf numFmtId="0" fontId="17" fillId="0" borderId="0" xfId="0" applyFont="1"/>
    <xf numFmtId="168" fontId="15" fillId="6" borderId="0" xfId="0" applyNumberFormat="1" applyFont="1" applyFill="1" applyBorder="1" applyAlignment="1">
      <alignment vertical="top"/>
    </xf>
    <xf numFmtId="168" fontId="15" fillId="5" borderId="0" xfId="0" applyNumberFormat="1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0" fillId="0" borderId="0" xfId="0" applyFill="1"/>
    <xf numFmtId="2" fontId="9" fillId="3" borderId="3" xfId="2" applyNumberFormat="1"/>
    <xf numFmtId="170" fontId="9" fillId="3" borderId="3" xfId="2" applyNumberFormat="1"/>
    <xf numFmtId="2" fontId="7" fillId="0" borderId="12" xfId="0" applyNumberFormat="1" applyFont="1" applyBorder="1"/>
    <xf numFmtId="2" fontId="7" fillId="0" borderId="13" xfId="0" applyNumberFormat="1" applyFont="1" applyBorder="1"/>
    <xf numFmtId="2" fontId="7" fillId="0" borderId="14" xfId="0" applyNumberFormat="1" applyFont="1" applyBorder="1"/>
    <xf numFmtId="2" fontId="7" fillId="0" borderId="15" xfId="0" applyNumberFormat="1" applyFont="1" applyBorder="1"/>
    <xf numFmtId="2" fontId="7" fillId="0" borderId="11" xfId="0" applyNumberFormat="1" applyFont="1" applyBorder="1"/>
    <xf numFmtId="2" fontId="7" fillId="0" borderId="16" xfId="0" applyNumberFormat="1" applyFont="1" applyBorder="1"/>
    <xf numFmtId="0" fontId="0" fillId="12" borderId="0" xfId="0" applyFill="1" applyAlignment="1">
      <alignment horizontal="center"/>
    </xf>
  </cellXfs>
  <cellStyles count="5">
    <cellStyle name="Calculation" xfId="2" builtinId="22"/>
    <cellStyle name="Check Cell" xfId="4" builtinId="23"/>
    <cellStyle name="Comma" xfId="1" builtinId="3"/>
    <cellStyle name="Linked Cell" xfId="3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6EDF-BA54-4061-A2C7-77D48A70B965}">
  <sheetPr>
    <tabColor theme="9" tint="-0.249977111117893"/>
  </sheetPr>
  <dimension ref="B1:AL37"/>
  <sheetViews>
    <sheetView tabSelected="1" topLeftCell="S1" workbookViewId="0">
      <selection activeCell="U3" sqref="U3"/>
    </sheetView>
  </sheetViews>
  <sheetFormatPr defaultRowHeight="14.4" x14ac:dyDescent="0.3"/>
  <cols>
    <col min="3" max="3" width="16.6640625" customWidth="1"/>
    <col min="4" max="4" width="12.33203125" customWidth="1"/>
    <col min="5" max="6" width="12.6640625" bestFit="1" customWidth="1"/>
    <col min="7" max="7" width="12.109375" customWidth="1"/>
    <col min="20" max="20" width="12.109375" customWidth="1"/>
    <col min="25" max="25" width="27.6640625" customWidth="1"/>
  </cols>
  <sheetData>
    <row r="1" spans="2:38" x14ac:dyDescent="0.3">
      <c r="B1" t="s">
        <v>53</v>
      </c>
    </row>
    <row r="2" spans="2:38" x14ac:dyDescent="0.3">
      <c r="V2" t="s">
        <v>49</v>
      </c>
    </row>
    <row r="3" spans="2:38" x14ac:dyDescent="0.3">
      <c r="B3" s="16" t="s">
        <v>52</v>
      </c>
    </row>
    <row r="4" spans="2:38" x14ac:dyDescent="0.3">
      <c r="B4" s="16"/>
    </row>
    <row r="5" spans="2:38" x14ac:dyDescent="0.3">
      <c r="B5" s="16" t="s">
        <v>40</v>
      </c>
      <c r="Y5" s="22" t="s">
        <v>22</v>
      </c>
    </row>
    <row r="6" spans="2:38" ht="21" x14ac:dyDescent="0.3">
      <c r="E6" s="29" t="s">
        <v>17</v>
      </c>
      <c r="F6" s="29" t="s">
        <v>20</v>
      </c>
      <c r="G6" s="31" t="s">
        <v>39</v>
      </c>
      <c r="H6" s="30"/>
      <c r="I6" s="30"/>
      <c r="J6" s="30"/>
      <c r="K6" s="30"/>
      <c r="L6" s="30"/>
      <c r="M6" s="30"/>
      <c r="N6" s="30"/>
      <c r="O6" s="36"/>
      <c r="P6" s="36"/>
      <c r="Q6" s="36"/>
      <c r="R6" s="36"/>
      <c r="Y6" s="21">
        <v>2017</v>
      </c>
      <c r="Z6" s="21">
        <v>2018</v>
      </c>
      <c r="AA6" s="21">
        <v>2019</v>
      </c>
      <c r="AB6" s="21">
        <v>2020</v>
      </c>
      <c r="AC6" s="21">
        <v>2021</v>
      </c>
      <c r="AD6" s="21">
        <v>2022</v>
      </c>
      <c r="AE6" s="21">
        <v>2023</v>
      </c>
      <c r="AF6" s="23">
        <v>2024</v>
      </c>
      <c r="AG6" s="23">
        <v>2025</v>
      </c>
      <c r="AH6" s="23">
        <v>2026</v>
      </c>
      <c r="AI6" s="23">
        <v>2027</v>
      </c>
      <c r="AJ6" s="23">
        <v>2028</v>
      </c>
      <c r="AK6" s="23">
        <v>2029</v>
      </c>
      <c r="AL6" s="23">
        <v>2030</v>
      </c>
    </row>
    <row r="7" spans="2:38" x14ac:dyDescent="0.3">
      <c r="G7" s="32" t="s">
        <v>31</v>
      </c>
      <c r="H7" s="32" t="s">
        <v>32</v>
      </c>
      <c r="I7" s="32" t="s">
        <v>33</v>
      </c>
      <c r="J7" s="32" t="s">
        <v>34</v>
      </c>
      <c r="K7" s="32" t="s">
        <v>35</v>
      </c>
      <c r="L7" s="32" t="s">
        <v>36</v>
      </c>
      <c r="M7" s="32" t="s">
        <v>37</v>
      </c>
      <c r="N7" s="32" t="s">
        <v>38</v>
      </c>
      <c r="O7" s="32" t="s">
        <v>43</v>
      </c>
      <c r="P7" s="32" t="s">
        <v>44</v>
      </c>
      <c r="Q7" s="32" t="s">
        <v>45</v>
      </c>
      <c r="R7" s="32" t="s">
        <v>46</v>
      </c>
      <c r="S7" s="36"/>
    </row>
    <row r="8" spans="2:38" x14ac:dyDescent="0.3">
      <c r="T8" s="37" t="s">
        <v>47</v>
      </c>
      <c r="V8" s="49" t="s">
        <v>21</v>
      </c>
      <c r="Y8" s="18">
        <v>5738148</v>
      </c>
      <c r="Z8" s="19">
        <v>5955782</v>
      </c>
      <c r="AA8" s="20">
        <v>5955782</v>
      </c>
      <c r="AB8" s="19">
        <v>5955782</v>
      </c>
      <c r="AC8" s="20">
        <v>5955782</v>
      </c>
      <c r="AD8" s="19">
        <v>4765799</v>
      </c>
      <c r="AE8" s="20">
        <v>4765799</v>
      </c>
      <c r="AF8" s="19">
        <v>4765799</v>
      </c>
      <c r="AG8" s="20">
        <v>4752946</v>
      </c>
      <c r="AH8" s="19">
        <v>4752946</v>
      </c>
      <c r="AI8" s="20">
        <v>4014763</v>
      </c>
      <c r="AJ8" s="19">
        <v>3481347</v>
      </c>
      <c r="AK8" s="20">
        <v>339239</v>
      </c>
      <c r="AL8" s="19">
        <v>196406</v>
      </c>
    </row>
    <row r="9" spans="2:38" x14ac:dyDescent="0.3">
      <c r="C9" s="31">
        <v>2020</v>
      </c>
      <c r="T9" s="16"/>
      <c r="V9" s="49"/>
    </row>
    <row r="10" spans="2:38" x14ac:dyDescent="0.3"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16"/>
      <c r="V10" s="49"/>
      <c r="Y10" s="24" t="s">
        <v>23</v>
      </c>
    </row>
    <row r="11" spans="2:38" ht="21" x14ac:dyDescent="0.3">
      <c r="C11" t="s">
        <v>18</v>
      </c>
      <c r="D11" s="45" t="s">
        <v>48</v>
      </c>
      <c r="E11" s="34">
        <f>($Y$12/$Y$8)*E12</f>
        <v>3.2080036973601938</v>
      </c>
      <c r="F11" s="34">
        <f>+E11*Y28</f>
        <v>2.429137415068416</v>
      </c>
      <c r="G11" s="34">
        <f>+$F$11*Z32</f>
        <v>2.429137415068416</v>
      </c>
      <c r="H11" s="34">
        <f t="shared" ref="H11:R11" si="0">+$F$11*AA32</f>
        <v>2.429137415068416</v>
      </c>
      <c r="I11" s="34">
        <f t="shared" si="0"/>
        <v>2.429137415068416</v>
      </c>
      <c r="J11" s="34">
        <f t="shared" si="0"/>
        <v>2.429137415068416</v>
      </c>
      <c r="K11" s="34">
        <f t="shared" si="0"/>
        <v>1.9587330267535799</v>
      </c>
      <c r="L11" s="34">
        <f t="shared" si="0"/>
        <v>1.9587330267535799</v>
      </c>
      <c r="M11" s="34">
        <f t="shared" si="0"/>
        <v>1.9587330267535799</v>
      </c>
      <c r="N11" s="34">
        <f t="shared" si="0"/>
        <v>1.9587330267535799</v>
      </c>
      <c r="O11" s="34">
        <f t="shared" si="0"/>
        <v>1.9587330267535799</v>
      </c>
      <c r="P11" s="34">
        <f t="shared" si="0"/>
        <v>1.5423094698847084</v>
      </c>
      <c r="Q11" s="34">
        <f t="shared" si="0"/>
        <v>0.88297217150899565</v>
      </c>
      <c r="R11" s="34">
        <f t="shared" si="0"/>
        <v>0.12338475759077669</v>
      </c>
      <c r="S11" s="36"/>
      <c r="T11" s="38">
        <f>SUM(F11:S11)</f>
        <v>24.488018608094464</v>
      </c>
      <c r="U11" t="s">
        <v>19</v>
      </c>
      <c r="V11" s="49"/>
      <c r="Y11" s="21">
        <v>2017</v>
      </c>
      <c r="Z11" s="21">
        <v>2018</v>
      </c>
      <c r="AA11" s="21">
        <v>2019</v>
      </c>
      <c r="AB11" s="21">
        <v>2020</v>
      </c>
      <c r="AC11" s="21">
        <v>2021</v>
      </c>
      <c r="AD11" s="21">
        <v>2022</v>
      </c>
      <c r="AE11" s="21">
        <v>2023</v>
      </c>
      <c r="AF11" s="23">
        <v>2024</v>
      </c>
      <c r="AG11" s="23">
        <v>2025</v>
      </c>
      <c r="AH11" s="23">
        <v>2026</v>
      </c>
      <c r="AI11" s="23">
        <v>2027</v>
      </c>
      <c r="AJ11" s="23">
        <v>2028</v>
      </c>
      <c r="AK11" s="23">
        <v>2029</v>
      </c>
      <c r="AL11" s="23">
        <v>2030</v>
      </c>
    </row>
    <row r="12" spans="2:38" ht="15" thickBot="1" x14ac:dyDescent="0.35">
      <c r="D12" t="s">
        <v>10</v>
      </c>
      <c r="E12" s="33">
        <f>+'kWh by Year'!D6</f>
        <v>22125</v>
      </c>
      <c r="F12" s="34">
        <f>+E12*Y26</f>
        <v>16490.091380529047</v>
      </c>
      <c r="G12" s="34">
        <f>+$F$12*Z31</f>
        <v>16490.091380529047</v>
      </c>
      <c r="H12" s="34">
        <f t="shared" ref="H12:R12" si="1">+$F$12*AA31</f>
        <v>16490.091380529047</v>
      </c>
      <c r="I12" s="34">
        <f t="shared" si="1"/>
        <v>16490.091380529047</v>
      </c>
      <c r="J12" s="34">
        <f t="shared" si="1"/>
        <v>16490.091380529047</v>
      </c>
      <c r="K12" s="34">
        <f t="shared" si="1"/>
        <v>13695.785208049705</v>
      </c>
      <c r="L12" s="34">
        <f t="shared" si="1"/>
        <v>13695.785208049705</v>
      </c>
      <c r="M12" s="34">
        <f t="shared" si="1"/>
        <v>13695.785208049705</v>
      </c>
      <c r="N12" s="34">
        <f t="shared" si="1"/>
        <v>13658.85075201964</v>
      </c>
      <c r="O12" s="34">
        <f t="shared" si="1"/>
        <v>13658.85075201964</v>
      </c>
      <c r="P12" s="34">
        <f t="shared" si="1"/>
        <v>11537.488903214067</v>
      </c>
      <c r="Q12" s="34">
        <f t="shared" si="1"/>
        <v>10004.575953774633</v>
      </c>
      <c r="R12" s="34">
        <f t="shared" si="1"/>
        <v>974.89381591412405</v>
      </c>
      <c r="S12" s="36"/>
      <c r="T12" s="38">
        <f>SUM(F12:S12)</f>
        <v>173372.47270373645</v>
      </c>
      <c r="U12" t="s">
        <v>10</v>
      </c>
      <c r="V12" s="49" t="s">
        <v>21</v>
      </c>
      <c r="Y12">
        <v>832</v>
      </c>
      <c r="Z12">
        <v>900</v>
      </c>
      <c r="AA12">
        <v>900</v>
      </c>
      <c r="AB12">
        <v>900</v>
      </c>
      <c r="AC12">
        <v>900</v>
      </c>
      <c r="AD12">
        <v>671</v>
      </c>
      <c r="AE12">
        <v>671</v>
      </c>
      <c r="AF12">
        <v>671</v>
      </c>
      <c r="AG12">
        <v>671</v>
      </c>
      <c r="AH12">
        <v>671</v>
      </c>
      <c r="AI12">
        <v>528</v>
      </c>
      <c r="AJ12">
        <v>302</v>
      </c>
      <c r="AK12">
        <v>42</v>
      </c>
      <c r="AL12">
        <v>10</v>
      </c>
    </row>
    <row r="13" spans="2:38" ht="15" thickTop="1" x14ac:dyDescent="0.3"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6"/>
      <c r="T13" s="16"/>
      <c r="V13" s="49"/>
    </row>
    <row r="14" spans="2:38" x14ac:dyDescent="0.3">
      <c r="C14" t="s">
        <v>51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6"/>
      <c r="T14" s="16"/>
      <c r="V14" s="49"/>
    </row>
    <row r="15" spans="2:38" x14ac:dyDescent="0.3"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6"/>
      <c r="T15" s="16"/>
      <c r="V15" s="49"/>
      <c r="Y15" s="25" t="s">
        <v>24</v>
      </c>
    </row>
    <row r="16" spans="2:38" ht="21" x14ac:dyDescent="0.3">
      <c r="S16" s="36"/>
      <c r="V16" s="49"/>
      <c r="Y16" s="21">
        <v>2017</v>
      </c>
      <c r="Z16" s="21">
        <v>2018</v>
      </c>
      <c r="AA16" s="21">
        <v>2019</v>
      </c>
      <c r="AB16" s="21">
        <v>2020</v>
      </c>
      <c r="AC16" s="21">
        <v>2021</v>
      </c>
      <c r="AD16" s="21">
        <v>2022</v>
      </c>
      <c r="AE16" s="21">
        <v>2023</v>
      </c>
      <c r="AF16" s="23">
        <v>2024</v>
      </c>
      <c r="AG16" s="23">
        <v>2025</v>
      </c>
      <c r="AH16" s="23">
        <v>2026</v>
      </c>
      <c r="AI16" s="23">
        <v>2027</v>
      </c>
      <c r="AJ16" s="23">
        <v>2028</v>
      </c>
      <c r="AK16" s="23">
        <v>2029</v>
      </c>
      <c r="AL16" s="23">
        <v>2030</v>
      </c>
    </row>
    <row r="17" spans="3:38" x14ac:dyDescent="0.3">
      <c r="C17" s="31">
        <v>2021</v>
      </c>
      <c r="S17" s="36"/>
      <c r="V17" s="49" t="s">
        <v>21</v>
      </c>
      <c r="Y17" s="48">
        <v>4276727</v>
      </c>
      <c r="Z17" s="48">
        <v>4438933</v>
      </c>
      <c r="AA17" s="48">
        <v>4438933</v>
      </c>
      <c r="AB17" s="48">
        <v>4438933</v>
      </c>
      <c r="AC17" s="48">
        <v>4438933</v>
      </c>
      <c r="AD17" s="48">
        <v>3552020</v>
      </c>
      <c r="AE17" s="48">
        <v>3552020</v>
      </c>
      <c r="AF17" s="48">
        <v>3552020</v>
      </c>
      <c r="AG17" s="48">
        <v>3542441</v>
      </c>
      <c r="AH17" s="48">
        <v>3542441</v>
      </c>
      <c r="AI17" s="48">
        <v>2992263</v>
      </c>
      <c r="AJ17" s="48">
        <v>2594700</v>
      </c>
      <c r="AK17" s="48">
        <v>252840</v>
      </c>
      <c r="AL17" s="48">
        <v>146384</v>
      </c>
    </row>
    <row r="18" spans="3:38" x14ac:dyDescent="0.3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16"/>
      <c r="V18" s="49"/>
    </row>
    <row r="19" spans="3:38" ht="15" thickBot="1" x14ac:dyDescent="0.35">
      <c r="C19" t="s">
        <v>18</v>
      </c>
      <c r="D19" t="s">
        <v>19</v>
      </c>
      <c r="E19" s="33">
        <f>+'kWh by Year'!C23</f>
        <v>82.243000000000009</v>
      </c>
      <c r="F19" s="34">
        <f>+E19*$Y$28</f>
        <v>62.275348557692311</v>
      </c>
      <c r="G19" s="34">
        <f>+$F$19*Z$32</f>
        <v>62.275348557692311</v>
      </c>
      <c r="H19" s="34">
        <f t="shared" ref="H19:R19" si="2">+$F$19*AA$32</f>
        <v>62.275348557692311</v>
      </c>
      <c r="I19" s="34">
        <f t="shared" si="2"/>
        <v>62.275348557692311</v>
      </c>
      <c r="J19" s="34">
        <f t="shared" si="2"/>
        <v>62.275348557692311</v>
      </c>
      <c r="K19" s="34">
        <f t="shared" si="2"/>
        <v>50.215677884615388</v>
      </c>
      <c r="L19" s="34">
        <f t="shared" si="2"/>
        <v>50.215677884615388</v>
      </c>
      <c r="M19" s="34">
        <f t="shared" si="2"/>
        <v>50.215677884615388</v>
      </c>
      <c r="N19" s="34">
        <f t="shared" si="2"/>
        <v>50.215677884615388</v>
      </c>
      <c r="O19" s="34">
        <f t="shared" si="2"/>
        <v>50.215677884615388</v>
      </c>
      <c r="P19" s="34">
        <f t="shared" si="2"/>
        <v>39.539903846153848</v>
      </c>
      <c r="Q19" s="34">
        <f t="shared" si="2"/>
        <v>22.636594951923076</v>
      </c>
      <c r="R19" s="34">
        <f t="shared" si="2"/>
        <v>3.1631923076923081</v>
      </c>
      <c r="S19" s="36"/>
      <c r="T19" s="38">
        <f>SUM(F19:S19)</f>
        <v>627.79482331730765</v>
      </c>
      <c r="U19" t="s">
        <v>19</v>
      </c>
      <c r="V19" s="49"/>
    </row>
    <row r="20" spans="3:38" ht="15.6" thickTop="1" thickBot="1" x14ac:dyDescent="0.35">
      <c r="D20" t="s">
        <v>10</v>
      </c>
      <c r="E20" s="33">
        <f>+'kWh by Year'!B19</f>
        <v>1199189</v>
      </c>
      <c r="F20" s="34">
        <f>+E20*Y26</f>
        <v>893773.38723277964</v>
      </c>
      <c r="G20" s="34">
        <f>+$F$20*Z31</f>
        <v>893773.38723277964</v>
      </c>
      <c r="H20" s="34">
        <f t="shared" ref="H20:R20" si="3">+$F$20*AA31</f>
        <v>893773.38723277964</v>
      </c>
      <c r="I20" s="34">
        <f t="shared" si="3"/>
        <v>893773.38723277964</v>
      </c>
      <c r="J20" s="34">
        <f t="shared" si="3"/>
        <v>893773.38723277964</v>
      </c>
      <c r="K20" s="34">
        <f t="shared" si="3"/>
        <v>742320.2245358607</v>
      </c>
      <c r="L20" s="34">
        <f t="shared" si="3"/>
        <v>742320.2245358607</v>
      </c>
      <c r="M20" s="34">
        <f t="shared" si="3"/>
        <v>742320.2245358607</v>
      </c>
      <c r="N20" s="34">
        <f t="shared" si="3"/>
        <v>740318.35364807607</v>
      </c>
      <c r="O20" s="34">
        <f t="shared" si="3"/>
        <v>740318.35364807607</v>
      </c>
      <c r="P20" s="34">
        <f t="shared" si="3"/>
        <v>625339.19911215256</v>
      </c>
      <c r="Q20" s="34">
        <f t="shared" si="3"/>
        <v>542254.34727371973</v>
      </c>
      <c r="R20" s="34">
        <f t="shared" si="3"/>
        <v>52839.861704508141</v>
      </c>
      <c r="S20" s="36"/>
      <c r="T20" s="38">
        <f>SUM(F20:S20)</f>
        <v>9396897.7251580134</v>
      </c>
      <c r="U20" t="s">
        <v>10</v>
      </c>
      <c r="V20" s="49"/>
      <c r="Y20" s="26" t="s">
        <v>25</v>
      </c>
    </row>
    <row r="21" spans="3:38" ht="21.6" thickTop="1" x14ac:dyDescent="0.3">
      <c r="S21" s="36"/>
      <c r="V21" s="49"/>
      <c r="Y21" s="21">
        <v>2017</v>
      </c>
      <c r="Z21" s="21">
        <v>2018</v>
      </c>
      <c r="AA21" s="21">
        <v>2019</v>
      </c>
      <c r="AB21" s="21">
        <v>2020</v>
      </c>
      <c r="AC21" s="21">
        <v>2021</v>
      </c>
      <c r="AD21" s="21">
        <v>2022</v>
      </c>
      <c r="AE21" s="21">
        <v>2023</v>
      </c>
      <c r="AF21" s="23">
        <v>2024</v>
      </c>
      <c r="AG21" s="23">
        <v>2025</v>
      </c>
      <c r="AH21" s="23">
        <v>2026</v>
      </c>
      <c r="AI21" s="23">
        <v>2027</v>
      </c>
      <c r="AJ21" s="23">
        <v>2028</v>
      </c>
      <c r="AK21" s="23">
        <v>2029</v>
      </c>
      <c r="AL21" s="23">
        <v>2030</v>
      </c>
    </row>
    <row r="22" spans="3:38" x14ac:dyDescent="0.3">
      <c r="V22" s="49" t="s">
        <v>21</v>
      </c>
      <c r="Y22" s="18">
        <v>630</v>
      </c>
      <c r="Z22" s="19">
        <v>682</v>
      </c>
      <c r="AA22" s="20">
        <v>682</v>
      </c>
      <c r="AB22" s="19">
        <v>682</v>
      </c>
      <c r="AC22" s="20">
        <v>682</v>
      </c>
      <c r="AD22" s="19">
        <v>508</v>
      </c>
      <c r="AE22" s="20">
        <v>508</v>
      </c>
      <c r="AF22" s="19">
        <v>508</v>
      </c>
      <c r="AG22" s="20">
        <v>508</v>
      </c>
      <c r="AH22" s="19">
        <v>508</v>
      </c>
      <c r="AI22" s="20">
        <v>400</v>
      </c>
      <c r="AJ22" s="19">
        <v>229</v>
      </c>
      <c r="AK22" s="20">
        <v>32</v>
      </c>
      <c r="AL22" s="19">
        <v>8</v>
      </c>
    </row>
    <row r="23" spans="3:38" x14ac:dyDescent="0.3">
      <c r="C23" s="31">
        <v>2022</v>
      </c>
      <c r="S23" s="36"/>
      <c r="V23" s="49"/>
      <c r="Y23" s="50"/>
      <c r="Z23" s="51"/>
      <c r="AA23" s="50"/>
      <c r="AB23" s="51"/>
      <c r="AC23" s="50"/>
      <c r="AD23" s="51"/>
      <c r="AE23" s="50"/>
      <c r="AF23" s="51"/>
      <c r="AG23" s="50"/>
      <c r="AH23" s="51"/>
      <c r="AI23" s="50"/>
      <c r="AJ23" s="51"/>
      <c r="AK23" s="50"/>
      <c r="AL23" s="51"/>
    </row>
    <row r="24" spans="3:38" x14ac:dyDescent="0.3"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36"/>
      <c r="T24" s="16"/>
      <c r="V24" s="16" t="s">
        <v>30</v>
      </c>
    </row>
    <row r="25" spans="3:38" x14ac:dyDescent="0.3">
      <c r="C25" t="s">
        <v>18</v>
      </c>
      <c r="D25" t="s">
        <v>19</v>
      </c>
      <c r="E25" s="34">
        <f>($Y$12/$Y$8)*E26</f>
        <v>28.733708506647094</v>
      </c>
      <c r="F25" s="34">
        <f>+E25*$Y$28</f>
        <v>21.75749562402364</v>
      </c>
      <c r="G25" s="34">
        <f>+$F$25*Z$32</f>
        <v>21.75749562402364</v>
      </c>
      <c r="H25" s="34">
        <f t="shared" ref="H25:R25" si="4">+$F$25*AA$32</f>
        <v>21.75749562402364</v>
      </c>
      <c r="I25" s="34">
        <f t="shared" si="4"/>
        <v>21.75749562402364</v>
      </c>
      <c r="J25" s="34">
        <f t="shared" si="4"/>
        <v>21.75749562402364</v>
      </c>
      <c r="K25" s="34">
        <f t="shared" si="4"/>
        <v>17.544139328577792</v>
      </c>
      <c r="L25" s="34">
        <f t="shared" si="4"/>
        <v>17.544139328577792</v>
      </c>
      <c r="M25" s="34">
        <f t="shared" si="4"/>
        <v>17.544139328577792</v>
      </c>
      <c r="N25" s="34">
        <f t="shared" si="4"/>
        <v>17.544139328577792</v>
      </c>
      <c r="O25" s="34">
        <f t="shared" si="4"/>
        <v>17.544139328577792</v>
      </c>
      <c r="P25" s="34">
        <f t="shared" si="4"/>
        <v>13.814282935888025</v>
      </c>
      <c r="Q25" s="34">
        <f t="shared" si="4"/>
        <v>7.9086769807958941</v>
      </c>
      <c r="R25" s="34">
        <f t="shared" si="4"/>
        <v>1.105142634871042</v>
      </c>
      <c r="S25" s="36"/>
      <c r="T25" s="38">
        <f>SUM(F25:S25)</f>
        <v>219.3362773145621</v>
      </c>
      <c r="U25" t="s">
        <v>19</v>
      </c>
    </row>
    <row r="26" spans="3:38" ht="15" thickBot="1" x14ac:dyDescent="0.35">
      <c r="D26" t="s">
        <v>10</v>
      </c>
      <c r="E26" s="33">
        <f>+'kWh by Year'!A7</f>
        <v>198171</v>
      </c>
      <c r="F26" s="34">
        <f>+E26*Y26</f>
        <v>147699.79204387896</v>
      </c>
      <c r="G26" s="34">
        <f>+$F$26*Z31</f>
        <v>147699.79204387896</v>
      </c>
      <c r="H26" s="34">
        <f t="shared" ref="H26:R26" si="5">+$F$26*AA31</f>
        <v>147699.79204387896</v>
      </c>
      <c r="I26" s="34">
        <f t="shared" si="5"/>
        <v>147699.79204387896</v>
      </c>
      <c r="J26" s="34">
        <f t="shared" si="5"/>
        <v>147699.79204387896</v>
      </c>
      <c r="K26" s="34">
        <f t="shared" si="5"/>
        <v>122671.52318483245</v>
      </c>
      <c r="L26" s="34">
        <f t="shared" si="5"/>
        <v>122671.52318483245</v>
      </c>
      <c r="M26" s="34">
        <f t="shared" si="5"/>
        <v>122671.52318483245</v>
      </c>
      <c r="N26" s="34">
        <f t="shared" si="5"/>
        <v>122340.70564422528</v>
      </c>
      <c r="O26" s="34">
        <f t="shared" si="5"/>
        <v>122340.70564422528</v>
      </c>
      <c r="P26" s="34">
        <f t="shared" si="5"/>
        <v>103339.91925147276</v>
      </c>
      <c r="Q26" s="34">
        <f t="shared" si="5"/>
        <v>89609.799834371646</v>
      </c>
      <c r="R26" s="34">
        <f t="shared" si="5"/>
        <v>8732.0082437748206</v>
      </c>
      <c r="S26" s="36"/>
      <c r="T26" s="38">
        <f>SUM(F26:S26)</f>
        <v>1552876.6683919616</v>
      </c>
      <c r="U26" t="s">
        <v>10</v>
      </c>
      <c r="V26" t="s">
        <v>5</v>
      </c>
      <c r="W26" t="s">
        <v>29</v>
      </c>
      <c r="Y26" s="27">
        <f>+Y17/Y8</f>
        <v>0.74531486465668018</v>
      </c>
      <c r="Z26" s="27">
        <f t="shared" ref="Z26:AL26" si="6">+Z17/Z8</f>
        <v>0.74531488896000564</v>
      </c>
      <c r="AA26" s="27">
        <f t="shared" si="6"/>
        <v>0.74531488896000564</v>
      </c>
      <c r="AB26" s="27">
        <f t="shared" si="6"/>
        <v>0.74531488896000564</v>
      </c>
      <c r="AC26" s="27">
        <f t="shared" si="6"/>
        <v>0.74531488896000564</v>
      </c>
      <c r="AD26" s="27">
        <f t="shared" si="6"/>
        <v>0.74531468910040055</v>
      </c>
      <c r="AE26" s="27">
        <f t="shared" si="6"/>
        <v>0.74531468910040055</v>
      </c>
      <c r="AF26" s="27">
        <f t="shared" si="6"/>
        <v>0.74531468910040055</v>
      </c>
      <c r="AG26" s="27">
        <f t="shared" si="6"/>
        <v>0.74531480054686083</v>
      </c>
      <c r="AH26" s="27">
        <f t="shared" si="6"/>
        <v>0.74531480054686083</v>
      </c>
      <c r="AI26" s="27">
        <f t="shared" si="6"/>
        <v>0.7453149787422072</v>
      </c>
      <c r="AJ26" s="27">
        <f t="shared" si="6"/>
        <v>0.74531495998531605</v>
      </c>
      <c r="AK26" s="27">
        <f t="shared" si="6"/>
        <v>0.7453152497206984</v>
      </c>
      <c r="AL26" s="27">
        <f t="shared" si="6"/>
        <v>0.74531327963504168</v>
      </c>
    </row>
    <row r="27" spans="3:38" ht="15" thickTop="1" x14ac:dyDescent="0.3">
      <c r="C27" s="28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3:38" x14ac:dyDescent="0.3">
      <c r="V28" t="s">
        <v>26</v>
      </c>
      <c r="W28" t="s">
        <v>29</v>
      </c>
      <c r="Y28" s="27">
        <f>+Y22/Y12</f>
        <v>0.75721153846153844</v>
      </c>
      <c r="Z28" s="27">
        <f t="shared" ref="Z28:AL28" si="7">+Z22/Z12</f>
        <v>0.75777777777777777</v>
      </c>
      <c r="AA28" s="27">
        <f t="shared" si="7"/>
        <v>0.75777777777777777</v>
      </c>
      <c r="AB28" s="27">
        <f t="shared" si="7"/>
        <v>0.75777777777777777</v>
      </c>
      <c r="AC28" s="27">
        <f t="shared" si="7"/>
        <v>0.75777777777777777</v>
      </c>
      <c r="AD28" s="27">
        <f t="shared" si="7"/>
        <v>0.75707898658718331</v>
      </c>
      <c r="AE28" s="27">
        <f t="shared" si="7"/>
        <v>0.75707898658718331</v>
      </c>
      <c r="AF28" s="27">
        <f t="shared" si="7"/>
        <v>0.75707898658718331</v>
      </c>
      <c r="AG28" s="27">
        <f t="shared" si="7"/>
        <v>0.75707898658718331</v>
      </c>
      <c r="AH28" s="27">
        <f t="shared" si="7"/>
        <v>0.75707898658718331</v>
      </c>
      <c r="AI28" s="27">
        <f t="shared" si="7"/>
        <v>0.75757575757575757</v>
      </c>
      <c r="AJ28" s="27">
        <f t="shared" si="7"/>
        <v>0.75827814569536423</v>
      </c>
      <c r="AK28" s="27">
        <f t="shared" si="7"/>
        <v>0.76190476190476186</v>
      </c>
      <c r="AL28" s="27">
        <f t="shared" si="7"/>
        <v>0.8</v>
      </c>
    </row>
    <row r="29" spans="3:38" x14ac:dyDescent="0.3"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3:38" x14ac:dyDescent="0.3"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3:38" x14ac:dyDescent="0.3">
      <c r="E31" s="34">
        <f>+E12+E19+E20+E26</f>
        <v>1419567.243</v>
      </c>
      <c r="V31" t="s">
        <v>27</v>
      </c>
      <c r="Y31" s="27"/>
      <c r="Z31" s="56">
        <v>1</v>
      </c>
      <c r="AA31" s="57">
        <v>1</v>
      </c>
      <c r="AB31" s="57">
        <v>1</v>
      </c>
      <c r="AC31" s="58">
        <v>1</v>
      </c>
      <c r="AD31" s="27">
        <f>+AD17/$Y$17</f>
        <v>0.83054635004759481</v>
      </c>
      <c r="AE31" s="27">
        <f t="shared" ref="AE31:AL31" si="8">+AE17/$Y$17</f>
        <v>0.83054635004759481</v>
      </c>
      <c r="AF31" s="27">
        <f t="shared" si="8"/>
        <v>0.83054635004759481</v>
      </c>
      <c r="AG31" s="27">
        <f t="shared" si="8"/>
        <v>0.82830655311877521</v>
      </c>
      <c r="AH31" s="27">
        <f t="shared" si="8"/>
        <v>0.82830655311877521</v>
      </c>
      <c r="AI31" s="27">
        <f t="shared" si="8"/>
        <v>0.69966191435646929</v>
      </c>
      <c r="AJ31" s="27">
        <f t="shared" si="8"/>
        <v>0.60670227489386164</v>
      </c>
      <c r="AK31" s="27">
        <f t="shared" si="8"/>
        <v>5.911997656151538E-2</v>
      </c>
      <c r="AL31" s="27">
        <f t="shared" si="8"/>
        <v>3.4228044015902813E-2</v>
      </c>
    </row>
    <row r="32" spans="3:38" x14ac:dyDescent="0.3">
      <c r="V32" t="s">
        <v>28</v>
      </c>
      <c r="Y32" s="27"/>
      <c r="Z32" s="59">
        <v>1</v>
      </c>
      <c r="AA32" s="60">
        <v>1</v>
      </c>
      <c r="AB32" s="60">
        <v>1</v>
      </c>
      <c r="AC32" s="61">
        <v>1</v>
      </c>
      <c r="AD32" s="27">
        <f t="shared" ref="AD32:AL32" si="9">+AD22/$Y$22</f>
        <v>0.80634920634920637</v>
      </c>
      <c r="AE32" s="27">
        <f t="shared" si="9"/>
        <v>0.80634920634920637</v>
      </c>
      <c r="AF32" s="27">
        <f t="shared" si="9"/>
        <v>0.80634920634920637</v>
      </c>
      <c r="AG32" s="27">
        <f t="shared" si="9"/>
        <v>0.80634920634920637</v>
      </c>
      <c r="AH32" s="27">
        <f t="shared" si="9"/>
        <v>0.80634920634920637</v>
      </c>
      <c r="AI32" s="27">
        <f t="shared" si="9"/>
        <v>0.63492063492063489</v>
      </c>
      <c r="AJ32" s="27">
        <f t="shared" si="9"/>
        <v>0.36349206349206348</v>
      </c>
      <c r="AK32" s="27">
        <f t="shared" si="9"/>
        <v>5.0793650793650794E-2</v>
      </c>
      <c r="AL32" s="27">
        <f t="shared" si="9"/>
        <v>1.2698412698412698E-2</v>
      </c>
    </row>
    <row r="33" spans="3:29" ht="15" thickBot="1" x14ac:dyDescent="0.35">
      <c r="C33" t="s">
        <v>54</v>
      </c>
      <c r="E33" s="33">
        <f>+'kWh by Year'!B19+'kWh by Year'!C23+'kWh by Year'!D6+'kWh by Year'!A7</f>
        <v>1419567.243</v>
      </c>
      <c r="Z33" s="36" t="s">
        <v>55</v>
      </c>
      <c r="AA33" s="36"/>
      <c r="AB33" s="36"/>
      <c r="AC33" s="36"/>
    </row>
    <row r="34" spans="3:29" ht="15.6" thickTop="1" thickBot="1" x14ac:dyDescent="0.35">
      <c r="E34" s="35">
        <f>+E31-E33</f>
        <v>0</v>
      </c>
      <c r="Z34" s="36" t="s">
        <v>58</v>
      </c>
      <c r="AA34" s="36"/>
      <c r="AB34" s="36"/>
      <c r="AC34" s="36"/>
    </row>
    <row r="35" spans="3:29" ht="15" thickTop="1" x14ac:dyDescent="0.3">
      <c r="Z35" t="s">
        <v>59</v>
      </c>
    </row>
    <row r="36" spans="3:29" x14ac:dyDescent="0.3">
      <c r="Z36" t="s">
        <v>56</v>
      </c>
    </row>
    <row r="37" spans="3:29" x14ac:dyDescent="0.3">
      <c r="Z37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C573-035B-473B-A3F8-3E76CC661C42}">
  <sheetPr>
    <tabColor theme="9" tint="-0.249977111117893"/>
  </sheetPr>
  <dimension ref="B1:AK34"/>
  <sheetViews>
    <sheetView topLeftCell="Q20" workbookViewId="0">
      <selection activeCell="Z31" sqref="Z31"/>
    </sheetView>
  </sheetViews>
  <sheetFormatPr defaultRowHeight="14.4" x14ac:dyDescent="0.3"/>
  <cols>
    <col min="3" max="3" width="16.6640625" customWidth="1"/>
    <col min="4" max="4" width="12.33203125" customWidth="1"/>
    <col min="5" max="6" width="12.6640625" bestFit="1" customWidth="1"/>
    <col min="7" max="7" width="12.109375" customWidth="1"/>
    <col min="20" max="20" width="12.109375" customWidth="1"/>
    <col min="22" max="22" width="11.5546875" customWidth="1"/>
    <col min="25" max="25" width="27.6640625" customWidth="1"/>
    <col min="26" max="37" width="13.6640625" bestFit="1" customWidth="1"/>
  </cols>
  <sheetData>
    <row r="1" spans="2:37" x14ac:dyDescent="0.3">
      <c r="B1" t="s">
        <v>53</v>
      </c>
      <c r="T1" t="s">
        <v>41</v>
      </c>
    </row>
    <row r="2" spans="2:37" x14ac:dyDescent="0.3">
      <c r="T2" t="s">
        <v>42</v>
      </c>
      <c r="V2" t="s">
        <v>49</v>
      </c>
    </row>
    <row r="3" spans="2:37" x14ac:dyDescent="0.3">
      <c r="B3" s="16" t="s">
        <v>52</v>
      </c>
    </row>
    <row r="4" spans="2:37" x14ac:dyDescent="0.3">
      <c r="B4" s="16"/>
    </row>
    <row r="5" spans="2:37" x14ac:dyDescent="0.3">
      <c r="B5" s="16" t="s">
        <v>40</v>
      </c>
      <c r="Y5" s="22" t="s">
        <v>22</v>
      </c>
    </row>
    <row r="6" spans="2:37" ht="21" x14ac:dyDescent="0.3">
      <c r="E6" s="29" t="s">
        <v>17</v>
      </c>
      <c r="F6" s="29" t="s">
        <v>20</v>
      </c>
      <c r="G6" s="31" t="s">
        <v>39</v>
      </c>
      <c r="H6" s="30"/>
      <c r="I6" s="30"/>
      <c r="J6" s="30"/>
      <c r="K6" s="30"/>
      <c r="L6" s="30"/>
      <c r="M6" s="30"/>
      <c r="N6" s="30"/>
      <c r="O6" s="36"/>
      <c r="P6" s="36"/>
      <c r="Q6" s="36"/>
      <c r="R6" s="36"/>
      <c r="Y6" s="21">
        <v>2017</v>
      </c>
      <c r="Z6" s="21">
        <v>2018</v>
      </c>
      <c r="AA6" s="21">
        <v>2019</v>
      </c>
      <c r="AB6" s="21">
        <v>2020</v>
      </c>
      <c r="AC6" s="21">
        <v>2021</v>
      </c>
      <c r="AD6" s="21">
        <v>2022</v>
      </c>
      <c r="AE6" s="21">
        <v>2023</v>
      </c>
      <c r="AF6" s="21">
        <v>2024</v>
      </c>
      <c r="AG6" s="21">
        <v>2025</v>
      </c>
      <c r="AH6" s="21">
        <v>2026</v>
      </c>
      <c r="AI6" s="21">
        <v>2027</v>
      </c>
      <c r="AJ6" s="21">
        <v>2028</v>
      </c>
      <c r="AK6" s="21">
        <v>2029</v>
      </c>
    </row>
    <row r="7" spans="2:37" x14ac:dyDescent="0.3">
      <c r="C7" s="31">
        <v>2020</v>
      </c>
      <c r="G7" s="32" t="s">
        <v>31</v>
      </c>
      <c r="H7" s="32" t="s">
        <v>32</v>
      </c>
      <c r="I7" s="32" t="s">
        <v>33</v>
      </c>
      <c r="J7" s="32" t="s">
        <v>34</v>
      </c>
      <c r="K7" s="32" t="s">
        <v>35</v>
      </c>
      <c r="L7" s="32" t="s">
        <v>36</v>
      </c>
      <c r="M7" s="32" t="s">
        <v>37</v>
      </c>
      <c r="N7" s="32" t="s">
        <v>38</v>
      </c>
      <c r="O7" s="32" t="s">
        <v>43</v>
      </c>
      <c r="P7" s="32" t="s">
        <v>44</v>
      </c>
      <c r="Q7" s="32" t="s">
        <v>45</v>
      </c>
      <c r="R7" s="32" t="s">
        <v>46</v>
      </c>
      <c r="T7" s="37" t="s">
        <v>47</v>
      </c>
      <c r="V7" s="53"/>
    </row>
    <row r="8" spans="2:37" x14ac:dyDescent="0.3">
      <c r="C8" t="s">
        <v>16</v>
      </c>
      <c r="D8" s="45" t="s">
        <v>48</v>
      </c>
      <c r="E8" s="34">
        <f>(Y12/Y8)*E9</f>
        <v>7.5557751427316644</v>
      </c>
      <c r="F8" s="34">
        <f>+E8*$Y$28</f>
        <v>6.2335144927536223</v>
      </c>
      <c r="G8" s="34">
        <f>+$F8*$Z$32</f>
        <v>6.2335144927536223</v>
      </c>
      <c r="H8" s="34">
        <f>+$F8*$AA$32</f>
        <v>6.2335144927536223</v>
      </c>
      <c r="I8" s="34">
        <f>+$F8*AB$32</f>
        <v>6.2335144927536223</v>
      </c>
      <c r="J8" s="34">
        <f t="shared" ref="J8:R8" si="0">+$F8*AC$32</f>
        <v>6.2335144927536223</v>
      </c>
      <c r="K8" s="34">
        <f t="shared" si="0"/>
        <v>4.5334650856389986</v>
      </c>
      <c r="L8" s="34">
        <f t="shared" si="0"/>
        <v>4.5334650856389986</v>
      </c>
      <c r="M8" s="34">
        <f t="shared" si="0"/>
        <v>4.5334650856389986</v>
      </c>
      <c r="N8" s="34">
        <f t="shared" si="0"/>
        <v>4.5334650856389986</v>
      </c>
      <c r="O8" s="34">
        <f t="shared" si="0"/>
        <v>4.5334650856389986</v>
      </c>
      <c r="P8" s="34">
        <f t="shared" si="0"/>
        <v>3.966781949934123</v>
      </c>
      <c r="Q8" s="34">
        <f t="shared" si="0"/>
        <v>3.966781949934123</v>
      </c>
      <c r="R8" s="34">
        <f t="shared" si="0"/>
        <v>0.56668313570487483</v>
      </c>
      <c r="T8" s="38">
        <f>SUM(F8:S8)</f>
        <v>62.335144927536241</v>
      </c>
      <c r="V8" s="52" t="s">
        <v>21</v>
      </c>
      <c r="Y8" s="46">
        <v>182160</v>
      </c>
      <c r="Z8" s="47">
        <v>182160</v>
      </c>
      <c r="AA8" s="47">
        <v>182160</v>
      </c>
      <c r="AB8" s="47">
        <v>182160</v>
      </c>
      <c r="AC8" s="47">
        <v>182160</v>
      </c>
      <c r="AD8" s="47">
        <v>118015</v>
      </c>
      <c r="AE8" s="47">
        <v>118015</v>
      </c>
      <c r="AF8" s="47">
        <v>118015</v>
      </c>
      <c r="AG8" s="47">
        <v>118015</v>
      </c>
      <c r="AH8" s="47">
        <v>118015</v>
      </c>
      <c r="AI8" s="47">
        <v>97507</v>
      </c>
      <c r="AJ8" s="47">
        <v>97507</v>
      </c>
      <c r="AK8" s="47">
        <v>11697</v>
      </c>
    </row>
    <row r="9" spans="2:37" ht="15" thickBot="1" x14ac:dyDescent="0.35">
      <c r="D9" t="s">
        <v>10</v>
      </c>
      <c r="E9" s="33">
        <f>+'kWh by Year'!D26</f>
        <v>34409</v>
      </c>
      <c r="F9" s="34">
        <f>+E9*Y26</f>
        <v>28223.464679402721</v>
      </c>
      <c r="G9" s="34">
        <f>+$F$9*Z31</f>
        <v>28223.464679402721</v>
      </c>
      <c r="H9" s="34">
        <f>+$F$9*AA31</f>
        <v>28223.464679402721</v>
      </c>
      <c r="I9" s="34">
        <f t="shared" ref="I9:N9" si="1">+$F$9*AB31</f>
        <v>28223.464679402721</v>
      </c>
      <c r="J9" s="34">
        <f t="shared" si="1"/>
        <v>28223.464679402721</v>
      </c>
      <c r="K9" s="34">
        <f t="shared" si="1"/>
        <v>18284.975845410627</v>
      </c>
      <c r="L9" s="34">
        <f t="shared" si="1"/>
        <v>18284.975845410627</v>
      </c>
      <c r="M9" s="34">
        <f t="shared" si="1"/>
        <v>18284.975845410627</v>
      </c>
      <c r="N9" s="34">
        <f t="shared" si="1"/>
        <v>18284.975845410627</v>
      </c>
      <c r="O9" s="34">
        <f t="shared" ref="O9" si="2">+$F$9*AH31</f>
        <v>18284.975845410627</v>
      </c>
      <c r="P9" s="34">
        <f t="shared" ref="P9" si="3">+$F$9*AI31</f>
        <v>15107.583503513393</v>
      </c>
      <c r="Q9" s="34">
        <f t="shared" ref="Q9" si="4">+$F$9*AJ31</f>
        <v>15107.583503513393</v>
      </c>
      <c r="R9" s="34">
        <f t="shared" ref="R9" si="5">+$F$9*AK31</f>
        <v>1812.2526679841897</v>
      </c>
      <c r="T9" s="38">
        <f>SUM(F9:S9)</f>
        <v>264569.62229907775</v>
      </c>
      <c r="V9" s="53"/>
    </row>
    <row r="10" spans="2:37" ht="15" thickTop="1" x14ac:dyDescent="0.3"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T10" s="16"/>
      <c r="V10" s="53"/>
      <c r="Y10" s="24" t="s">
        <v>23</v>
      </c>
    </row>
    <row r="11" spans="2:37" ht="21" x14ac:dyDescent="0.3">
      <c r="C11" t="s">
        <v>51</v>
      </c>
      <c r="Y11" s="21">
        <v>2017</v>
      </c>
      <c r="Z11" s="21">
        <v>2018</v>
      </c>
      <c r="AA11" s="21">
        <v>2019</v>
      </c>
      <c r="AB11" s="21">
        <v>2020</v>
      </c>
      <c r="AC11" s="21">
        <v>2021</v>
      </c>
      <c r="AD11" s="21">
        <v>2022</v>
      </c>
      <c r="AE11" s="21">
        <v>2023</v>
      </c>
      <c r="AF11" s="21">
        <v>2024</v>
      </c>
      <c r="AG11" s="21">
        <v>2025</v>
      </c>
      <c r="AH11" s="21">
        <v>2026</v>
      </c>
      <c r="AI11" s="21">
        <v>2027</v>
      </c>
      <c r="AJ11" s="21">
        <v>2028</v>
      </c>
      <c r="AK11" s="21">
        <v>2029</v>
      </c>
    </row>
    <row r="12" spans="2:37" x14ac:dyDescent="0.3">
      <c r="V12" s="52" t="s">
        <v>21</v>
      </c>
      <c r="Y12" s="46">
        <v>40</v>
      </c>
      <c r="Z12" s="47">
        <v>40</v>
      </c>
      <c r="AA12" s="47">
        <v>40</v>
      </c>
      <c r="AB12" s="47">
        <v>40</v>
      </c>
      <c r="AC12" s="47">
        <v>40</v>
      </c>
      <c r="AD12" s="47">
        <v>29</v>
      </c>
      <c r="AE12" s="47">
        <v>29</v>
      </c>
      <c r="AF12" s="47">
        <v>29</v>
      </c>
      <c r="AG12" s="47">
        <v>29</v>
      </c>
      <c r="AH12" s="47">
        <v>29</v>
      </c>
      <c r="AI12" s="47">
        <v>25</v>
      </c>
      <c r="AJ12" s="47">
        <v>25</v>
      </c>
      <c r="AK12" s="47">
        <v>4</v>
      </c>
    </row>
    <row r="13" spans="2:37" x14ac:dyDescent="0.3"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T13" s="16"/>
      <c r="V13" s="53"/>
    </row>
    <row r="14" spans="2:37" x14ac:dyDescent="0.3"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T14" s="16"/>
      <c r="V14" s="53"/>
    </row>
    <row r="15" spans="2:37" x14ac:dyDescent="0.3">
      <c r="C15" s="31">
        <v>2021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T15" s="16"/>
      <c r="V15" s="53"/>
      <c r="Y15" s="25" t="s">
        <v>24</v>
      </c>
    </row>
    <row r="16" spans="2:37" ht="21" x14ac:dyDescent="0.3">
      <c r="C16" t="s">
        <v>16</v>
      </c>
      <c r="D16" s="45" t="s">
        <v>48</v>
      </c>
      <c r="E16" s="34">
        <f>+(Y22/Y17)*E17</f>
        <v>40.341922443679977</v>
      </c>
      <c r="F16" s="34">
        <f>+E16*Y28</f>
        <v>33.282086016035976</v>
      </c>
      <c r="G16" s="34">
        <f>+$F$16*Z32</f>
        <v>33.282086016035976</v>
      </c>
      <c r="H16" s="34">
        <f t="shared" ref="H16:R16" si="6">+$F$16*AA32</f>
        <v>33.282086016035976</v>
      </c>
      <c r="I16" s="34">
        <f t="shared" si="6"/>
        <v>33.282086016035976</v>
      </c>
      <c r="J16" s="34">
        <f t="shared" si="6"/>
        <v>33.282086016035976</v>
      </c>
      <c r="K16" s="34">
        <f t="shared" si="6"/>
        <v>24.205153466207982</v>
      </c>
      <c r="L16" s="34">
        <f t="shared" si="6"/>
        <v>24.205153466207982</v>
      </c>
      <c r="M16" s="34">
        <f t="shared" si="6"/>
        <v>24.205153466207982</v>
      </c>
      <c r="N16" s="34">
        <f t="shared" si="6"/>
        <v>24.205153466207982</v>
      </c>
      <c r="O16" s="34">
        <f t="shared" si="6"/>
        <v>24.205153466207982</v>
      </c>
      <c r="P16" s="34">
        <f t="shared" si="6"/>
        <v>21.179509282931985</v>
      </c>
      <c r="Q16" s="34">
        <f t="shared" si="6"/>
        <v>21.179509282931985</v>
      </c>
      <c r="R16" s="34">
        <f t="shared" si="6"/>
        <v>3.0256441832759977</v>
      </c>
      <c r="T16" s="38">
        <f>SUM(F16:S16)</f>
        <v>332.8208601603597</v>
      </c>
      <c r="Y16" s="21">
        <v>2017</v>
      </c>
      <c r="Z16" s="21">
        <v>2018</v>
      </c>
      <c r="AA16" s="21">
        <v>2019</v>
      </c>
      <c r="AB16" s="21">
        <v>2020</v>
      </c>
      <c r="AC16" s="21">
        <v>2021</v>
      </c>
      <c r="AD16" s="21">
        <v>2022</v>
      </c>
      <c r="AE16" s="21">
        <v>2023</v>
      </c>
      <c r="AF16" s="21">
        <v>2024</v>
      </c>
      <c r="AG16" s="21">
        <v>2025</v>
      </c>
      <c r="AH16" s="21">
        <v>2026</v>
      </c>
      <c r="AI16" s="21">
        <v>2027</v>
      </c>
      <c r="AJ16" s="21">
        <v>2028</v>
      </c>
      <c r="AK16" s="21">
        <v>2029</v>
      </c>
    </row>
    <row r="17" spans="3:37" ht="15" thickBot="1" x14ac:dyDescent="0.35">
      <c r="D17" t="s">
        <v>10</v>
      </c>
      <c r="E17" s="33">
        <f>+'kWh by Year'!B30</f>
        <v>182656</v>
      </c>
      <c r="F17" s="34">
        <f>+E17*$Y$26</f>
        <v>149820.8365393061</v>
      </c>
      <c r="G17" s="34">
        <f>+$F$17*Z31</f>
        <v>149820.8365393061</v>
      </c>
      <c r="H17" s="34">
        <f t="shared" ref="H17:N17" si="7">+$F$17*AA31</f>
        <v>149820.8365393061</v>
      </c>
      <c r="I17" s="34">
        <f t="shared" si="7"/>
        <v>149820.8365393061</v>
      </c>
      <c r="J17" s="34">
        <f t="shared" si="7"/>
        <v>149820.8365393061</v>
      </c>
      <c r="K17" s="34">
        <f t="shared" si="7"/>
        <v>97063.574879227046</v>
      </c>
      <c r="L17" s="34">
        <f t="shared" si="7"/>
        <v>97063.574879227046</v>
      </c>
      <c r="M17" s="34">
        <f t="shared" si="7"/>
        <v>97063.574879227046</v>
      </c>
      <c r="N17" s="34">
        <f t="shared" si="7"/>
        <v>97063.574879227046</v>
      </c>
      <c r="O17" s="34">
        <f t="shared" ref="O17" si="8">+$F$17*AH31</f>
        <v>97063.574879227046</v>
      </c>
      <c r="P17" s="34">
        <f t="shared" ref="P17" si="9">+$F$17*AI31</f>
        <v>80196.773298199376</v>
      </c>
      <c r="Q17" s="34">
        <f t="shared" ref="Q17" si="10">+$F$17*AJ31</f>
        <v>80196.773298199376</v>
      </c>
      <c r="R17" s="34">
        <f t="shared" ref="R17" si="11">+$F$17*AK31</f>
        <v>9620.1233201581017</v>
      </c>
      <c r="T17" s="38">
        <f>SUM(F17:S17)</f>
        <v>1404435.7270092224</v>
      </c>
      <c r="V17" s="52" t="s">
        <v>21</v>
      </c>
      <c r="Y17" s="46">
        <v>149414</v>
      </c>
      <c r="Z17" s="47">
        <v>149414</v>
      </c>
      <c r="AA17" s="47">
        <v>149414</v>
      </c>
      <c r="AB17" s="47">
        <v>149414</v>
      </c>
      <c r="AC17" s="47">
        <v>149414</v>
      </c>
      <c r="AD17" s="47">
        <v>96800</v>
      </c>
      <c r="AE17" s="47">
        <v>96800</v>
      </c>
      <c r="AF17" s="47">
        <v>96800</v>
      </c>
      <c r="AG17" s="47">
        <v>96800</v>
      </c>
      <c r="AH17" s="47">
        <v>96800</v>
      </c>
      <c r="AI17" s="47">
        <v>79979</v>
      </c>
      <c r="AJ17" s="47">
        <v>79979</v>
      </c>
      <c r="AK17" s="47">
        <v>9594</v>
      </c>
    </row>
    <row r="18" spans="3:37" ht="15" thickTop="1" x14ac:dyDescent="0.3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T18" s="16"/>
      <c r="V18" s="53"/>
    </row>
    <row r="19" spans="3:37" x14ac:dyDescent="0.3">
      <c r="C19" t="s">
        <v>51</v>
      </c>
      <c r="V19" s="53"/>
    </row>
    <row r="20" spans="3:37" x14ac:dyDescent="0.3">
      <c r="V20" s="53"/>
      <c r="Y20" s="26" t="s">
        <v>25</v>
      </c>
    </row>
    <row r="21" spans="3:37" ht="21" x14ac:dyDescent="0.3">
      <c r="Y21" s="21">
        <v>2017</v>
      </c>
      <c r="Z21" s="21">
        <v>2018</v>
      </c>
      <c r="AA21" s="21">
        <v>2019</v>
      </c>
      <c r="AB21" s="21">
        <v>2020</v>
      </c>
      <c r="AC21" s="21">
        <v>2021</v>
      </c>
      <c r="AD21" s="21">
        <v>2022</v>
      </c>
      <c r="AE21" s="21">
        <v>2023</v>
      </c>
      <c r="AF21" s="21">
        <v>2024</v>
      </c>
      <c r="AG21" s="21">
        <v>2025</v>
      </c>
      <c r="AH21" s="21">
        <v>2026</v>
      </c>
      <c r="AI21" s="21">
        <v>2027</v>
      </c>
      <c r="AJ21" s="21">
        <v>2028</v>
      </c>
      <c r="AK21" s="21">
        <v>2029</v>
      </c>
    </row>
    <row r="22" spans="3:37" x14ac:dyDescent="0.3">
      <c r="V22" s="52" t="s">
        <v>21</v>
      </c>
      <c r="Y22" s="46">
        <v>33</v>
      </c>
      <c r="Z22" s="47">
        <v>33</v>
      </c>
      <c r="AA22" s="47">
        <v>33</v>
      </c>
      <c r="AB22" s="47">
        <v>33</v>
      </c>
      <c r="AC22" s="47">
        <v>33</v>
      </c>
      <c r="AD22" s="47">
        <v>24</v>
      </c>
      <c r="AE22" s="47">
        <v>24</v>
      </c>
      <c r="AF22" s="47">
        <v>24</v>
      </c>
      <c r="AG22" s="47">
        <v>24</v>
      </c>
      <c r="AH22" s="47">
        <v>24</v>
      </c>
      <c r="AI22" s="47">
        <v>21</v>
      </c>
      <c r="AJ22" s="47">
        <v>21</v>
      </c>
      <c r="AK22" s="47">
        <v>3</v>
      </c>
    </row>
    <row r="23" spans="3:37" x14ac:dyDescent="0.3">
      <c r="C23" s="31">
        <v>2022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T23" s="16"/>
    </row>
    <row r="24" spans="3:37" x14ac:dyDescent="0.3">
      <c r="C24" t="s">
        <v>16</v>
      </c>
      <c r="D24" s="45" t="s">
        <v>48</v>
      </c>
      <c r="E24" s="55">
        <f>+(Y22/Y17)*E25</f>
        <v>26.914124513097835</v>
      </c>
      <c r="F24" s="34">
        <f>+$E$24*Y28</f>
        <v>22.204152723305715</v>
      </c>
      <c r="G24" s="34">
        <f>+$E$24*Z32</f>
        <v>26.914124513097835</v>
      </c>
      <c r="H24" s="34">
        <f t="shared" ref="H24:R24" si="12">+$E$24*AA32</f>
        <v>26.914124513097835</v>
      </c>
      <c r="I24" s="34">
        <f t="shared" si="12"/>
        <v>26.914124513097835</v>
      </c>
      <c r="J24" s="34">
        <f t="shared" si="12"/>
        <v>26.914124513097835</v>
      </c>
      <c r="K24" s="34">
        <f t="shared" si="12"/>
        <v>19.573908736798426</v>
      </c>
      <c r="L24" s="34">
        <f t="shared" si="12"/>
        <v>19.573908736798426</v>
      </c>
      <c r="M24" s="34">
        <f t="shared" si="12"/>
        <v>19.573908736798426</v>
      </c>
      <c r="N24" s="34">
        <f t="shared" si="12"/>
        <v>19.573908736798426</v>
      </c>
      <c r="O24" s="34">
        <f t="shared" si="12"/>
        <v>19.573908736798426</v>
      </c>
      <c r="P24" s="34">
        <f t="shared" si="12"/>
        <v>17.127170144698621</v>
      </c>
      <c r="Q24" s="34">
        <f t="shared" si="12"/>
        <v>17.127170144698621</v>
      </c>
      <c r="R24" s="34">
        <f t="shared" si="12"/>
        <v>2.4467385920998033</v>
      </c>
      <c r="T24" s="38">
        <f>SUM(F24:S24)</f>
        <v>264.43127334118617</v>
      </c>
      <c r="V24" s="16" t="s">
        <v>30</v>
      </c>
    </row>
    <row r="25" spans="3:37" ht="15" thickBot="1" x14ac:dyDescent="0.35">
      <c r="D25" t="s">
        <v>10</v>
      </c>
      <c r="E25" s="33">
        <f>+'kWh by Year'!A28</f>
        <v>121859</v>
      </c>
      <c r="F25" s="34">
        <f>+E25*$Y$26</f>
        <v>99953.011780852001</v>
      </c>
      <c r="G25" s="34">
        <f>+$F$25*Z31</f>
        <v>99953.011780852001</v>
      </c>
      <c r="H25" s="34">
        <f t="shared" ref="H25:R25" si="13">+$F$25*AA31</f>
        <v>99953.011780852001</v>
      </c>
      <c r="I25" s="34">
        <f t="shared" si="13"/>
        <v>99953.011780852001</v>
      </c>
      <c r="J25" s="34">
        <f t="shared" si="13"/>
        <v>99953.011780852001</v>
      </c>
      <c r="K25" s="34">
        <f t="shared" si="13"/>
        <v>64755.990338164258</v>
      </c>
      <c r="L25" s="34">
        <f t="shared" si="13"/>
        <v>64755.990338164258</v>
      </c>
      <c r="M25" s="34">
        <f t="shared" si="13"/>
        <v>64755.990338164258</v>
      </c>
      <c r="N25" s="34">
        <f t="shared" si="13"/>
        <v>64755.990338164258</v>
      </c>
      <c r="O25" s="34">
        <f t="shared" si="13"/>
        <v>64755.990338164258</v>
      </c>
      <c r="P25" s="34">
        <f t="shared" si="13"/>
        <v>53503.299083223537</v>
      </c>
      <c r="Q25" s="34">
        <f t="shared" si="13"/>
        <v>53503.299083223537</v>
      </c>
      <c r="R25" s="34">
        <f t="shared" si="13"/>
        <v>6418.0678853754944</v>
      </c>
      <c r="T25" s="38">
        <f>SUM(F25:S25)</f>
        <v>936969.67664690386</v>
      </c>
      <c r="V25" s="45" t="s">
        <v>50</v>
      </c>
    </row>
    <row r="26" spans="3:37" ht="15" thickTop="1" x14ac:dyDescent="0.3"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T26" s="16"/>
      <c r="V26" t="s">
        <v>5</v>
      </c>
      <c r="W26" t="s">
        <v>29</v>
      </c>
      <c r="Y26" s="54">
        <f>+Y17/Y8</f>
        <v>0.82023495827843651</v>
      </c>
      <c r="Z26" s="54">
        <f t="shared" ref="Z26:AG26" si="14">+Z17/Z8</f>
        <v>0.82023495827843651</v>
      </c>
      <c r="AA26" s="54">
        <f t="shared" si="14"/>
        <v>0.82023495827843651</v>
      </c>
      <c r="AB26" s="54">
        <f t="shared" si="14"/>
        <v>0.82023495827843651</v>
      </c>
      <c r="AC26" s="54">
        <f t="shared" si="14"/>
        <v>0.82023495827843651</v>
      </c>
      <c r="AD26" s="54">
        <f t="shared" si="14"/>
        <v>0.82023471592594166</v>
      </c>
      <c r="AE26" s="54">
        <f t="shared" si="14"/>
        <v>0.82023471592594166</v>
      </c>
      <c r="AF26" s="54">
        <f t="shared" si="14"/>
        <v>0.82023471592594166</v>
      </c>
      <c r="AG26" s="54">
        <f t="shared" si="14"/>
        <v>0.82023471592594166</v>
      </c>
      <c r="AH26" s="54">
        <f>+AH17/AH8</f>
        <v>0.82023471592594166</v>
      </c>
      <c r="AI26" s="54">
        <f>+AI17/AI8</f>
        <v>0.82023854697611454</v>
      </c>
      <c r="AJ26" s="54">
        <f>+AJ17/AJ8</f>
        <v>0.82023854697611454</v>
      </c>
      <c r="AK26" s="54">
        <f>+AK17/AK8</f>
        <v>0.82021031033598357</v>
      </c>
    </row>
    <row r="27" spans="3:37" x14ac:dyDescent="0.3">
      <c r="C27" t="s">
        <v>51</v>
      </c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</row>
    <row r="28" spans="3:37" x14ac:dyDescent="0.3">
      <c r="V28" t="s">
        <v>26</v>
      </c>
      <c r="W28" t="s">
        <v>29</v>
      </c>
      <c r="Y28" s="54">
        <f>+Y22/Y12</f>
        <v>0.82499999999999996</v>
      </c>
      <c r="Z28" s="54">
        <f t="shared" ref="Z28:AG28" si="15">+Z22/Z12</f>
        <v>0.82499999999999996</v>
      </c>
      <c r="AA28" s="54">
        <f t="shared" si="15"/>
        <v>0.82499999999999996</v>
      </c>
      <c r="AB28" s="54">
        <f t="shared" si="15"/>
        <v>0.82499999999999996</v>
      </c>
      <c r="AC28" s="54">
        <f t="shared" si="15"/>
        <v>0.82499999999999996</v>
      </c>
      <c r="AD28" s="54">
        <f t="shared" si="15"/>
        <v>0.82758620689655171</v>
      </c>
      <c r="AE28" s="54">
        <f t="shared" si="15"/>
        <v>0.82758620689655171</v>
      </c>
      <c r="AF28" s="54">
        <f t="shared" si="15"/>
        <v>0.82758620689655171</v>
      </c>
      <c r="AG28" s="54">
        <f t="shared" si="15"/>
        <v>0.82758620689655171</v>
      </c>
      <c r="AH28" s="54">
        <f>+AH22/AH12</f>
        <v>0.82758620689655171</v>
      </c>
      <c r="AI28" s="54">
        <f>+AI22/AI12</f>
        <v>0.84</v>
      </c>
      <c r="AJ28" s="54">
        <f>+AJ22/AJ12</f>
        <v>0.84</v>
      </c>
      <c r="AK28" s="54">
        <f>+AK22/AK12</f>
        <v>0.75</v>
      </c>
    </row>
    <row r="29" spans="3:37" x14ac:dyDescent="0.3"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</row>
    <row r="30" spans="3:37" x14ac:dyDescent="0.3">
      <c r="E30" s="34">
        <f>+E9+E17+E25</f>
        <v>338924</v>
      </c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</row>
    <row r="31" spans="3:37" x14ac:dyDescent="0.3">
      <c r="V31" t="s">
        <v>27</v>
      </c>
      <c r="Y31" s="54"/>
      <c r="Z31" s="54">
        <f>+Z17/$Y$17</f>
        <v>1</v>
      </c>
      <c r="AA31" s="54">
        <f t="shared" ref="AA31:AG31" si="16">+AA17/$Y$17</f>
        <v>1</v>
      </c>
      <c r="AB31" s="54">
        <f t="shared" si="16"/>
        <v>1</v>
      </c>
      <c r="AC31" s="54">
        <f t="shared" si="16"/>
        <v>1</v>
      </c>
      <c r="AD31" s="54">
        <f t="shared" si="16"/>
        <v>0.6478643232896516</v>
      </c>
      <c r="AE31" s="54">
        <f t="shared" si="16"/>
        <v>0.6478643232896516</v>
      </c>
      <c r="AF31" s="54">
        <f t="shared" si="16"/>
        <v>0.6478643232896516</v>
      </c>
      <c r="AG31" s="54">
        <f t="shared" si="16"/>
        <v>0.6478643232896516</v>
      </c>
      <c r="AH31" s="54">
        <f>+AH17/$Y$17</f>
        <v>0.6478643232896516</v>
      </c>
      <c r="AI31" s="54">
        <f>+AI17/$Y$17</f>
        <v>0.53528451149156031</v>
      </c>
      <c r="AJ31" s="54">
        <f>+AJ17/$Y$17</f>
        <v>0.53528451149156031</v>
      </c>
      <c r="AK31" s="54">
        <f>+AK17/$Y$17</f>
        <v>6.421085038885245E-2</v>
      </c>
    </row>
    <row r="32" spans="3:37" ht="15" thickBot="1" x14ac:dyDescent="0.35">
      <c r="C32" t="s">
        <v>54</v>
      </c>
      <c r="E32" s="33">
        <f>+'kWh by Year'!B30+'kWh by Year'!D26+'kWh by Year'!A28</f>
        <v>338924</v>
      </c>
      <c r="V32" t="s">
        <v>28</v>
      </c>
      <c r="Y32" s="54"/>
      <c r="Z32" s="54">
        <f>+Z22/$Y$22</f>
        <v>1</v>
      </c>
      <c r="AA32" s="54">
        <f t="shared" ref="AA32:AG32" si="17">+AA22/$Y$22</f>
        <v>1</v>
      </c>
      <c r="AB32" s="54">
        <f t="shared" si="17"/>
        <v>1</v>
      </c>
      <c r="AC32" s="54">
        <f t="shared" si="17"/>
        <v>1</v>
      </c>
      <c r="AD32" s="54">
        <f t="shared" si="17"/>
        <v>0.72727272727272729</v>
      </c>
      <c r="AE32" s="54">
        <f t="shared" si="17"/>
        <v>0.72727272727272729</v>
      </c>
      <c r="AF32" s="54">
        <f t="shared" si="17"/>
        <v>0.72727272727272729</v>
      </c>
      <c r="AG32" s="54">
        <f t="shared" si="17"/>
        <v>0.72727272727272729</v>
      </c>
      <c r="AH32" s="54">
        <f>+AH22/$Y$22</f>
        <v>0.72727272727272729</v>
      </c>
      <c r="AI32" s="54">
        <f>+AI22/$Y$22</f>
        <v>0.63636363636363635</v>
      </c>
      <c r="AJ32" s="54">
        <f>+AJ22/$Y$22</f>
        <v>0.63636363636363635</v>
      </c>
      <c r="AK32" s="54">
        <f>+AK22/$Y$22</f>
        <v>9.0909090909090912E-2</v>
      </c>
    </row>
    <row r="33" spans="5:28" ht="15.6" thickTop="1" thickBot="1" x14ac:dyDescent="0.35">
      <c r="E33" s="35">
        <f>+E30-E32</f>
        <v>0</v>
      </c>
    </row>
    <row r="34" spans="5:28" ht="15" thickTop="1" x14ac:dyDescent="0.3">
      <c r="AB34" s="45"/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4C13-5872-40FA-A8B1-CE4501708760}">
  <dimension ref="A1:B27"/>
  <sheetViews>
    <sheetView topLeftCell="A10" workbookViewId="0">
      <selection activeCell="B16" sqref="B16"/>
    </sheetView>
  </sheetViews>
  <sheetFormatPr defaultRowHeight="19.95" customHeight="1" x14ac:dyDescent="0.3"/>
  <cols>
    <col min="1" max="1" width="30.6640625" customWidth="1"/>
    <col min="2" max="2" width="36.6640625" customWidth="1"/>
  </cols>
  <sheetData>
    <row r="1" spans="1:2" ht="19.95" customHeight="1" x14ac:dyDescent="0.3">
      <c r="A1" s="2">
        <v>820</v>
      </c>
      <c r="B1" s="3"/>
    </row>
    <row r="2" spans="1:2" ht="19.95" customHeight="1" x14ac:dyDescent="0.3">
      <c r="A2" s="2">
        <v>1155</v>
      </c>
      <c r="B2" s="3"/>
    </row>
    <row r="3" spans="1:2" ht="19.95" customHeight="1" x14ac:dyDescent="0.3">
      <c r="A3" s="2">
        <v>2375.4</v>
      </c>
      <c r="B3" s="3"/>
    </row>
    <row r="4" spans="1:2" ht="19.95" customHeight="1" x14ac:dyDescent="0.3">
      <c r="A4" s="2">
        <v>3904</v>
      </c>
      <c r="B4" s="3"/>
    </row>
    <row r="5" spans="1:2" ht="19.95" customHeight="1" x14ac:dyDescent="0.3">
      <c r="A5" s="2">
        <v>4784</v>
      </c>
      <c r="B5" s="3"/>
    </row>
    <row r="6" spans="1:2" ht="19.95" customHeight="1" x14ac:dyDescent="0.3">
      <c r="A6" s="2">
        <v>2272</v>
      </c>
      <c r="B6" s="3"/>
    </row>
    <row r="7" spans="1:2" ht="19.95" customHeight="1" x14ac:dyDescent="0.3">
      <c r="A7" s="2">
        <v>672</v>
      </c>
      <c r="B7" s="3"/>
    </row>
    <row r="8" spans="1:2" ht="19.95" customHeight="1" x14ac:dyDescent="0.3">
      <c r="A8" s="2">
        <v>3300</v>
      </c>
      <c r="B8" s="3"/>
    </row>
    <row r="9" spans="1:2" ht="19.95" customHeight="1" thickBot="1" x14ac:dyDescent="0.35">
      <c r="A9" s="2">
        <v>1193.5</v>
      </c>
      <c r="B9" s="3"/>
    </row>
    <row r="10" spans="1:2" ht="19.95" customHeight="1" thickBot="1" x14ac:dyDescent="0.35">
      <c r="A10" s="9">
        <v>41250</v>
      </c>
      <c r="B10" s="4" t="s">
        <v>0</v>
      </c>
    </row>
    <row r="11" spans="1:2" ht="19.95" customHeight="1" x14ac:dyDescent="0.3">
      <c r="A11" s="2">
        <v>13402.8</v>
      </c>
      <c r="B11" s="3" t="s">
        <v>0</v>
      </c>
    </row>
    <row r="12" spans="1:2" ht="19.95" customHeight="1" x14ac:dyDescent="0.3">
      <c r="A12" s="2">
        <v>9879.76</v>
      </c>
      <c r="B12" s="3" t="s">
        <v>1</v>
      </c>
    </row>
    <row r="13" spans="1:2" ht="19.95" customHeight="1" x14ac:dyDescent="0.3">
      <c r="A13" s="2">
        <v>10965.6</v>
      </c>
      <c r="B13" s="3" t="s">
        <v>1</v>
      </c>
    </row>
    <row r="14" spans="1:2" ht="19.95" customHeight="1" x14ac:dyDescent="0.3">
      <c r="A14" s="5">
        <v>5659.5</v>
      </c>
      <c r="B14" s="3" t="s">
        <v>1</v>
      </c>
    </row>
    <row r="15" spans="1:2" ht="19.95" customHeight="1" x14ac:dyDescent="0.3">
      <c r="A15" s="5">
        <v>9529.7999999999993</v>
      </c>
      <c r="B15" s="3" t="s">
        <v>1</v>
      </c>
    </row>
    <row r="16" spans="1:2" ht="19.95" customHeight="1" x14ac:dyDescent="0.3">
      <c r="A16" s="5">
        <v>8981.7999999999993</v>
      </c>
      <c r="B16" s="3" t="s">
        <v>1</v>
      </c>
    </row>
    <row r="17" spans="1:2" ht="19.95" customHeight="1" x14ac:dyDescent="0.3">
      <c r="A17" s="5">
        <v>16618.8</v>
      </c>
      <c r="B17" s="3"/>
    </row>
    <row r="18" spans="1:2" ht="19.95" customHeight="1" x14ac:dyDescent="0.3">
      <c r="A18" s="5">
        <v>7371.1</v>
      </c>
      <c r="B18" s="3"/>
    </row>
    <row r="19" spans="1:2" ht="19.95" customHeight="1" x14ac:dyDescent="0.3">
      <c r="A19" s="5">
        <v>1250</v>
      </c>
      <c r="B19" s="3"/>
    </row>
    <row r="20" spans="1:2" ht="19.95" customHeight="1" x14ac:dyDescent="0.3">
      <c r="A20" s="5">
        <v>1625</v>
      </c>
      <c r="B20" s="3"/>
    </row>
    <row r="21" spans="1:2" ht="19.95" customHeight="1" x14ac:dyDescent="0.3">
      <c r="A21" s="5">
        <v>5935.6</v>
      </c>
      <c r="B21" s="3" t="s">
        <v>2</v>
      </c>
    </row>
    <row r="22" spans="1:2" ht="19.95" customHeight="1" x14ac:dyDescent="0.3">
      <c r="A22" s="5">
        <v>12070.08</v>
      </c>
      <c r="B22" s="3" t="s">
        <v>2</v>
      </c>
    </row>
    <row r="23" spans="1:2" ht="19.95" customHeight="1" x14ac:dyDescent="0.3">
      <c r="A23" s="5">
        <v>11295.34</v>
      </c>
      <c r="B23" s="3" t="s">
        <v>2</v>
      </c>
    </row>
    <row r="24" spans="1:2" ht="19.95" customHeight="1" x14ac:dyDescent="0.3">
      <c r="A24" s="5">
        <v>4835</v>
      </c>
      <c r="B24" s="3"/>
    </row>
    <row r="25" spans="1:2" ht="19.95" customHeight="1" x14ac:dyDescent="0.3">
      <c r="A25" s="1"/>
    </row>
    <row r="26" spans="1:2" ht="19.95" customHeight="1" x14ac:dyDescent="0.3">
      <c r="A26" s="7">
        <f>SUM(A1:A25)</f>
        <v>181146.08</v>
      </c>
      <c r="B26" s="8" t="s">
        <v>3</v>
      </c>
    </row>
    <row r="27" spans="1:2" ht="19.95" customHeight="1" x14ac:dyDescent="0.3">
      <c r="B27" s="6" t="s">
        <v>4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C826-CCC0-4CD8-9C45-D48B1E38A362}">
  <dimension ref="A1:I36"/>
  <sheetViews>
    <sheetView topLeftCell="A7" workbookViewId="0">
      <selection activeCell="F12" sqref="F12"/>
    </sheetView>
  </sheetViews>
  <sheetFormatPr defaultRowHeight="14.4" x14ac:dyDescent="0.3"/>
  <cols>
    <col min="1" max="1" width="14.88671875" customWidth="1"/>
    <col min="2" max="2" width="13.33203125" style="1" bestFit="1" customWidth="1"/>
    <col min="3" max="3" width="11.88671875" style="1" bestFit="1" customWidth="1"/>
    <col min="4" max="4" width="8.6640625" style="1"/>
  </cols>
  <sheetData>
    <row r="1" spans="1:9" x14ac:dyDescent="0.3">
      <c r="A1" s="42" t="s">
        <v>9</v>
      </c>
      <c r="B1" s="62" t="s">
        <v>7</v>
      </c>
      <c r="C1" s="62"/>
      <c r="D1" s="43" t="s">
        <v>12</v>
      </c>
      <c r="E1" s="10"/>
      <c r="G1" s="16" t="s">
        <v>15</v>
      </c>
    </row>
    <row r="2" spans="1:9" x14ac:dyDescent="0.3">
      <c r="A2" s="42" t="s">
        <v>10</v>
      </c>
      <c r="B2" s="42" t="s">
        <v>5</v>
      </c>
      <c r="C2" s="42" t="s">
        <v>6</v>
      </c>
      <c r="D2" s="42" t="s">
        <v>10</v>
      </c>
      <c r="G2" s="16" t="s">
        <v>14</v>
      </c>
    </row>
    <row r="3" spans="1:9" x14ac:dyDescent="0.3">
      <c r="A3" s="11">
        <v>133258</v>
      </c>
      <c r="B3" s="11">
        <v>9156</v>
      </c>
      <c r="C3" s="12">
        <v>1.6</v>
      </c>
      <c r="D3" s="11">
        <v>12999</v>
      </c>
      <c r="G3" s="16"/>
    </row>
    <row r="4" spans="1:9" x14ac:dyDescent="0.3">
      <c r="A4" s="11">
        <v>31738</v>
      </c>
      <c r="B4" s="11">
        <v>3941</v>
      </c>
      <c r="C4" s="12">
        <v>0.85799999999999998</v>
      </c>
      <c r="D4" s="11">
        <v>6396</v>
      </c>
      <c r="G4" s="16"/>
    </row>
    <row r="5" spans="1:9" x14ac:dyDescent="0.3">
      <c r="A5" s="11">
        <v>14595</v>
      </c>
      <c r="B5" s="1">
        <v>30342</v>
      </c>
      <c r="C5" s="12">
        <v>6.6</v>
      </c>
      <c r="D5" s="11">
        <v>2730</v>
      </c>
      <c r="G5" s="17"/>
      <c r="H5" s="15"/>
      <c r="I5" s="15"/>
    </row>
    <row r="6" spans="1:9" x14ac:dyDescent="0.3">
      <c r="A6" s="11">
        <v>18580</v>
      </c>
      <c r="B6" s="1">
        <v>44837</v>
      </c>
      <c r="C6" s="12">
        <v>9.76</v>
      </c>
      <c r="D6" s="39">
        <f>SUM(D3:D5)</f>
        <v>22125</v>
      </c>
      <c r="G6" s="16"/>
    </row>
    <row r="7" spans="1:9" x14ac:dyDescent="0.3">
      <c r="A7" s="39">
        <f>SUM(A3:A6)</f>
        <v>198171</v>
      </c>
      <c r="B7" s="1">
        <v>54944</v>
      </c>
      <c r="C7" s="12">
        <v>11.96</v>
      </c>
      <c r="G7" s="16"/>
    </row>
    <row r="8" spans="1:9" x14ac:dyDescent="0.3">
      <c r="B8" s="11">
        <v>26093</v>
      </c>
      <c r="C8" s="12">
        <v>5.68</v>
      </c>
    </row>
    <row r="9" spans="1:9" x14ac:dyDescent="0.3">
      <c r="B9" s="11">
        <v>7717</v>
      </c>
      <c r="C9" s="12">
        <v>1.68</v>
      </c>
    </row>
    <row r="10" spans="1:9" x14ac:dyDescent="0.3">
      <c r="B10" s="11">
        <v>31981</v>
      </c>
      <c r="C10" s="12">
        <v>8.49</v>
      </c>
      <c r="G10" s="16"/>
    </row>
    <row r="11" spans="1:9" x14ac:dyDescent="0.3">
      <c r="B11" s="11">
        <v>13440</v>
      </c>
      <c r="C11" s="12">
        <v>0</v>
      </c>
    </row>
    <row r="12" spans="1:9" x14ac:dyDescent="0.3">
      <c r="B12" s="11">
        <v>465570</v>
      </c>
      <c r="C12" s="12">
        <v>0</v>
      </c>
    </row>
    <row r="13" spans="1:9" x14ac:dyDescent="0.3">
      <c r="B13" s="11">
        <v>268056</v>
      </c>
      <c r="C13" s="12">
        <v>0</v>
      </c>
    </row>
    <row r="14" spans="1:9" x14ac:dyDescent="0.3">
      <c r="B14" s="11">
        <v>70000</v>
      </c>
      <c r="C14" s="12">
        <v>0</v>
      </c>
    </row>
    <row r="15" spans="1:9" x14ac:dyDescent="0.3">
      <c r="B15" s="11">
        <v>54829</v>
      </c>
      <c r="C15" s="12">
        <v>0</v>
      </c>
    </row>
    <row r="16" spans="1:9" x14ac:dyDescent="0.3">
      <c r="B16" s="11">
        <v>25725</v>
      </c>
      <c r="C16" s="12">
        <v>0</v>
      </c>
    </row>
    <row r="17" spans="1:4" x14ac:dyDescent="0.3">
      <c r="B17" s="11">
        <v>47649</v>
      </c>
      <c r="C17" s="12">
        <v>0</v>
      </c>
    </row>
    <row r="18" spans="1:4" x14ac:dyDescent="0.3">
      <c r="B18" s="11">
        <v>44909</v>
      </c>
      <c r="C18" s="12">
        <v>0</v>
      </c>
    </row>
    <row r="19" spans="1:4" x14ac:dyDescent="0.3">
      <c r="B19" s="39">
        <f>SUM(B3:B18)</f>
        <v>1199189</v>
      </c>
      <c r="C19" s="12">
        <v>25.010999999999999</v>
      </c>
    </row>
    <row r="20" spans="1:4" x14ac:dyDescent="0.3">
      <c r="C20" s="12">
        <v>5.7389999999999999</v>
      </c>
    </row>
    <row r="21" spans="1:4" x14ac:dyDescent="0.3">
      <c r="C21" s="12">
        <v>2.641</v>
      </c>
    </row>
    <row r="22" spans="1:4" x14ac:dyDescent="0.3">
      <c r="C22" s="12">
        <v>2.2240000000000002</v>
      </c>
    </row>
    <row r="23" spans="1:4" x14ac:dyDescent="0.3">
      <c r="B23" s="13"/>
      <c r="C23" s="40">
        <f>SUM(C3:C22)</f>
        <v>82.243000000000009</v>
      </c>
    </row>
    <row r="24" spans="1:4" x14ac:dyDescent="0.3">
      <c r="C24" s="12"/>
    </row>
    <row r="25" spans="1:4" x14ac:dyDescent="0.3">
      <c r="A25" s="44" t="s">
        <v>11</v>
      </c>
      <c r="B25" s="44" t="s">
        <v>8</v>
      </c>
      <c r="C25" s="44"/>
      <c r="D25" s="44" t="s">
        <v>13</v>
      </c>
    </row>
    <row r="26" spans="1:4" x14ac:dyDescent="0.3">
      <c r="A26" s="14">
        <v>54162</v>
      </c>
      <c r="B26" s="11">
        <v>29679</v>
      </c>
      <c r="D26" s="41">
        <v>34409</v>
      </c>
    </row>
    <row r="27" spans="1:4" x14ac:dyDescent="0.3">
      <c r="A27" s="14">
        <v>67697</v>
      </c>
      <c r="B27" s="11">
        <v>69646</v>
      </c>
      <c r="C27" s="12"/>
    </row>
    <row r="28" spans="1:4" x14ac:dyDescent="0.3">
      <c r="A28" s="39">
        <f>SUM(A26:A27)</f>
        <v>121859</v>
      </c>
      <c r="B28" s="11">
        <v>56475</v>
      </c>
      <c r="C28" s="12"/>
    </row>
    <row r="29" spans="1:4" x14ac:dyDescent="0.3">
      <c r="A29" s="1"/>
      <c r="B29" s="11">
        <v>26856</v>
      </c>
      <c r="C29" s="12"/>
    </row>
    <row r="30" spans="1:4" x14ac:dyDescent="0.3">
      <c r="A30" s="1"/>
      <c r="B30" s="39">
        <f>SUM(B26:B29)</f>
        <v>182656</v>
      </c>
      <c r="C30" s="12"/>
    </row>
    <row r="31" spans="1:4" x14ac:dyDescent="0.3">
      <c r="C31" s="12"/>
    </row>
    <row r="32" spans="1:4" x14ac:dyDescent="0.3">
      <c r="C32" s="12"/>
    </row>
    <row r="33" spans="3:3" x14ac:dyDescent="0.3">
      <c r="C33" s="12"/>
    </row>
    <row r="34" spans="3:3" x14ac:dyDescent="0.3">
      <c r="C34" s="12"/>
    </row>
    <row r="35" spans="3:3" x14ac:dyDescent="0.3">
      <c r="C35" s="12"/>
    </row>
    <row r="36" spans="3:3" x14ac:dyDescent="0.3">
      <c r="C36" s="12"/>
    </row>
  </sheetData>
  <mergeCells count="1">
    <mergeCell ref="B1:C1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TBay Gross to Net and Persist</vt:lpstr>
      <vt:lpstr>KN Gross to Net and Persist</vt:lpstr>
      <vt:lpstr>Sheet1</vt:lpstr>
      <vt:lpstr>kWh by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Allen</dc:creator>
  <cp:lastModifiedBy>Janice Robertson</cp:lastModifiedBy>
  <dcterms:created xsi:type="dcterms:W3CDTF">2022-02-27T16:02:58Z</dcterms:created>
  <dcterms:modified xsi:type="dcterms:W3CDTF">2022-11-09T18:42:49Z</dcterms:modified>
</cp:coreProperties>
</file>