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29"/>
  <workbookPr/>
  <mc:AlternateContent xmlns:mc="http://schemas.openxmlformats.org/markup-compatibility/2006">
    <mc:Choice Requires="x15">
      <x15ac:absPath xmlns:x15ac="http://schemas.microsoft.com/office/spreadsheetml/2010/11/ac" url="R:\ORPC Files\Management\Accounting\Rate Applications\2023 Rates\"/>
    </mc:Choice>
  </mc:AlternateContent>
  <xr:revisionPtr revIDLastSave="0" documentId="13_ncr:1_{61E568A7-44EC-44E0-9B08-9A63008BADF0}" xr6:coauthVersionLast="47" xr6:coauthVersionMax="47" xr10:uidLastSave="{00000000-0000-0000-0000-000000000000}"/>
  <bookViews>
    <workbookView xWindow="-23148" yWindow="-252" windowWidth="23256" windowHeight="13176" firstSheet="7" activeTab="9" xr2:uid="{00000000-000D-0000-FFFF-FFFF00000000}"/>
  </bookViews>
  <sheets>
    <sheet name="Appendix C - 1589 True Up" sheetId="16" r:id="rId1"/>
    <sheet name="Appendix D - 2015 GA Analysis" sheetId="14" r:id="rId2"/>
    <sheet name="Appendix E - 2016 GA Analysis" sheetId="15" r:id="rId3"/>
    <sheet name="Appendix F - Low Voltage" sheetId="1" r:id="rId4"/>
    <sheet name="Appendix G - Wholesale Market" sheetId="4" r:id="rId5"/>
    <sheet name="Appendix H - Network" sheetId="10" r:id="rId6"/>
    <sheet name="Appendix I - Transmission" sheetId="8" r:id="rId7"/>
    <sheet name="Appendix J - Smart Entity" sheetId="11" r:id="rId8"/>
    <sheet name="Appendix K - 1588 Reasonability" sheetId="12" r:id="rId9"/>
    <sheet name="Appendix L - 2015 Continuity" sheetId="17" r:id="rId10"/>
  </sheets>
  <externalReferences>
    <externalReference r:id="rId11"/>
    <externalReference r:id="rId12"/>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1" i="17" l="1"/>
  <c r="M21" i="17"/>
  <c r="H22" i="17"/>
  <c r="M22" i="17"/>
  <c r="H23" i="17"/>
  <c r="M23" i="17"/>
  <c r="M44" i="17" s="1"/>
  <c r="M45" i="17" s="1"/>
  <c r="H24" i="17"/>
  <c r="H41" i="17" s="1"/>
  <c r="M24" i="17"/>
  <c r="H25" i="17"/>
  <c r="M25" i="17"/>
  <c r="H26" i="17"/>
  <c r="M26" i="17"/>
  <c r="H27" i="17"/>
  <c r="M27" i="17"/>
  <c r="H28" i="17"/>
  <c r="M28" i="17"/>
  <c r="H29" i="17"/>
  <c r="M29" i="17"/>
  <c r="H30" i="17"/>
  <c r="M30" i="17"/>
  <c r="H31" i="17"/>
  <c r="M31" i="17"/>
  <c r="H32" i="17"/>
  <c r="M32" i="17"/>
  <c r="H33" i="17"/>
  <c r="M33" i="17"/>
  <c r="H34" i="17"/>
  <c r="M34" i="17"/>
  <c r="H35" i="17"/>
  <c r="M35" i="17"/>
  <c r="H36" i="17"/>
  <c r="M36" i="17"/>
  <c r="H37" i="17"/>
  <c r="M37" i="17"/>
  <c r="D39" i="17"/>
  <c r="E39" i="17"/>
  <c r="F39" i="17"/>
  <c r="G39" i="17"/>
  <c r="H39" i="17"/>
  <c r="I39" i="17"/>
  <c r="J39" i="17"/>
  <c r="K39" i="17"/>
  <c r="L39" i="17"/>
  <c r="M39" i="17"/>
  <c r="E40" i="17"/>
  <c r="F40" i="17"/>
  <c r="D41" i="17"/>
  <c r="D40" i="17" s="1"/>
  <c r="E41" i="17"/>
  <c r="F41" i="17"/>
  <c r="G41" i="17"/>
  <c r="G40" i="17" s="1"/>
  <c r="I41" i="17"/>
  <c r="I40" i="17" s="1"/>
  <c r="J41" i="17"/>
  <c r="J40" i="17" s="1"/>
  <c r="K41" i="17"/>
  <c r="K40" i="17" s="1"/>
  <c r="L41" i="17"/>
  <c r="L40" i="17" s="1"/>
  <c r="D43" i="17"/>
  <c r="E43" i="17"/>
  <c r="F43" i="17"/>
  <c r="G43" i="17"/>
  <c r="H43" i="17"/>
  <c r="I43" i="17"/>
  <c r="I45" i="17" s="1"/>
  <c r="J43" i="17"/>
  <c r="J45" i="17" s="1"/>
  <c r="K43" i="17"/>
  <c r="L43" i="17"/>
  <c r="M43" i="17"/>
  <c r="D44" i="17"/>
  <c r="E44" i="17"/>
  <c r="F44" i="17"/>
  <c r="G44" i="17"/>
  <c r="G45" i="17" s="1"/>
  <c r="H44" i="17"/>
  <c r="H45" i="17" s="1"/>
  <c r="I44" i="17"/>
  <c r="J44" i="17"/>
  <c r="K44" i="17"/>
  <c r="L44" i="17"/>
  <c r="L45" i="17" s="1"/>
  <c r="D45" i="17"/>
  <c r="E45" i="17"/>
  <c r="F45" i="17"/>
  <c r="K45" i="17"/>
  <c r="D48" i="17"/>
  <c r="E48" i="17"/>
  <c r="F48" i="17"/>
  <c r="G48" i="17"/>
  <c r="I48" i="17"/>
  <c r="J48" i="17"/>
  <c r="K48" i="17"/>
  <c r="L48" i="17"/>
  <c r="H40" i="17" l="1"/>
  <c r="H48" i="17"/>
  <c r="M41" i="17"/>
  <c r="M6" i="16"/>
  <c r="M7" i="16"/>
  <c r="M8" i="16"/>
  <c r="M9" i="16"/>
  <c r="M10" i="16"/>
  <c r="M11" i="16"/>
  <c r="M12" i="16"/>
  <c r="M13" i="16"/>
  <c r="M14" i="16"/>
  <c r="M15" i="16"/>
  <c r="M16" i="16"/>
  <c r="M17" i="16"/>
  <c r="M18" i="16"/>
  <c r="M19" i="16"/>
  <c r="M20" i="16"/>
  <c r="M21" i="16"/>
  <c r="M22" i="16"/>
  <c r="M23" i="16"/>
  <c r="M24" i="16"/>
  <c r="M25" i="16"/>
  <c r="M26" i="16"/>
  <c r="M27" i="16"/>
  <c r="M28" i="16"/>
  <c r="M29" i="16"/>
  <c r="M30" i="16"/>
  <c r="M31" i="16"/>
  <c r="M32" i="16"/>
  <c r="M33" i="16"/>
  <c r="M34" i="16"/>
  <c r="M35" i="16"/>
  <c r="M36" i="16"/>
  <c r="M37" i="16"/>
  <c r="M38" i="16"/>
  <c r="M39" i="16"/>
  <c r="M40" i="16"/>
  <c r="M41" i="16"/>
  <c r="E42" i="16"/>
  <c r="H42" i="16"/>
  <c r="I42" i="16"/>
  <c r="M42" i="16"/>
  <c r="N42" i="16"/>
  <c r="O42" i="16"/>
  <c r="Q42" i="16"/>
  <c r="E43" i="16"/>
  <c r="H43" i="16"/>
  <c r="N43" i="16" s="1"/>
  <c r="I43" i="16"/>
  <c r="M43" i="16"/>
  <c r="O43" i="16"/>
  <c r="Q43" i="16"/>
  <c r="E44" i="16"/>
  <c r="H44" i="16"/>
  <c r="N44" i="16" s="1"/>
  <c r="I44" i="16"/>
  <c r="O44" i="16" s="1"/>
  <c r="Q44" i="16" s="1"/>
  <c r="M44" i="16"/>
  <c r="E45" i="16"/>
  <c r="H45" i="16"/>
  <c r="N45" i="16" s="1"/>
  <c r="I45" i="16"/>
  <c r="O45" i="16" s="1"/>
  <c r="Q45" i="16" s="1"/>
  <c r="M45" i="16"/>
  <c r="E46" i="16"/>
  <c r="H46" i="16"/>
  <c r="N46" i="16" s="1"/>
  <c r="I46" i="16"/>
  <c r="O46" i="16" s="1"/>
  <c r="Q46" i="16" s="1"/>
  <c r="M46" i="16"/>
  <c r="E47" i="16"/>
  <c r="H47" i="16"/>
  <c r="I47" i="16"/>
  <c r="M47" i="16"/>
  <c r="N47" i="16" s="1"/>
  <c r="E48" i="16"/>
  <c r="H48" i="16"/>
  <c r="I48" i="16"/>
  <c r="M48" i="16"/>
  <c r="N48" i="16"/>
  <c r="O48" i="16"/>
  <c r="Q48" i="16" s="1"/>
  <c r="E49" i="16"/>
  <c r="H49" i="16"/>
  <c r="I49" i="16"/>
  <c r="M49" i="16"/>
  <c r="N49" i="16"/>
  <c r="O49" i="16"/>
  <c r="Q49" i="16" s="1"/>
  <c r="E50" i="16"/>
  <c r="H50" i="16"/>
  <c r="I50" i="16"/>
  <c r="M50" i="16"/>
  <c r="N50" i="16"/>
  <c r="O50" i="16"/>
  <c r="Q50" i="16"/>
  <c r="E51" i="16"/>
  <c r="H51" i="16"/>
  <c r="N51" i="16" s="1"/>
  <c r="I51" i="16"/>
  <c r="M51" i="16"/>
  <c r="O51" i="16"/>
  <c r="Q51" i="16"/>
  <c r="E52" i="16"/>
  <c r="H52" i="16"/>
  <c r="N52" i="16" s="1"/>
  <c r="I52" i="16"/>
  <c r="O52" i="16" s="1"/>
  <c r="Q52" i="16" s="1"/>
  <c r="M52" i="16"/>
  <c r="E53" i="16"/>
  <c r="H53" i="16"/>
  <c r="N53" i="16" s="1"/>
  <c r="I53" i="16"/>
  <c r="O53" i="16" s="1"/>
  <c r="Q53" i="16" s="1"/>
  <c r="M53" i="16"/>
  <c r="E54" i="16"/>
  <c r="H54" i="16"/>
  <c r="I54" i="16"/>
  <c r="M54" i="16"/>
  <c r="E55" i="16"/>
  <c r="H55" i="16"/>
  <c r="I55" i="16"/>
  <c r="M55" i="16"/>
  <c r="N55" i="16" s="1"/>
  <c r="E56" i="16"/>
  <c r="H56" i="16"/>
  <c r="I56" i="16"/>
  <c r="M56" i="16"/>
  <c r="N56" i="16"/>
  <c r="O56" i="16"/>
  <c r="Q56" i="16" s="1"/>
  <c r="E57" i="16"/>
  <c r="H57" i="16"/>
  <c r="I57" i="16"/>
  <c r="M57" i="16"/>
  <c r="N57" i="16"/>
  <c r="O57" i="16"/>
  <c r="Q57" i="16" s="1"/>
  <c r="E58" i="16"/>
  <c r="H58" i="16"/>
  <c r="I58" i="16"/>
  <c r="M58" i="16"/>
  <c r="N58" i="16"/>
  <c r="O58" i="16"/>
  <c r="Q58" i="16"/>
  <c r="E59" i="16"/>
  <c r="H59" i="16"/>
  <c r="N59" i="16" s="1"/>
  <c r="I59" i="16"/>
  <c r="M59" i="16"/>
  <c r="O59" i="16"/>
  <c r="Q59" i="16"/>
  <c r="E60" i="16"/>
  <c r="H60" i="16"/>
  <c r="N60" i="16" s="1"/>
  <c r="I60" i="16"/>
  <c r="O60" i="16" s="1"/>
  <c r="Q60" i="16" s="1"/>
  <c r="M60" i="16"/>
  <c r="E61" i="16"/>
  <c r="H61" i="16"/>
  <c r="N61" i="16" s="1"/>
  <c r="I61" i="16"/>
  <c r="O61" i="16" s="1"/>
  <c r="Q61" i="16" s="1"/>
  <c r="M61" i="16"/>
  <c r="E62" i="16"/>
  <c r="H62" i="16"/>
  <c r="N62" i="16" s="1"/>
  <c r="I62" i="16"/>
  <c r="M62" i="16"/>
  <c r="E63" i="16"/>
  <c r="H63" i="16"/>
  <c r="I63" i="16"/>
  <c r="O63" i="16" s="1"/>
  <c r="Q63" i="16" s="1"/>
  <c r="M63" i="16"/>
  <c r="N63" i="16"/>
  <c r="E64" i="16"/>
  <c r="H64" i="16"/>
  <c r="I64" i="16"/>
  <c r="M64" i="16"/>
  <c r="N64" i="16"/>
  <c r="O64" i="16"/>
  <c r="Q64" i="16" s="1"/>
  <c r="E65" i="16"/>
  <c r="H65" i="16"/>
  <c r="I65" i="16"/>
  <c r="M65" i="16"/>
  <c r="N65" i="16"/>
  <c r="O65" i="16"/>
  <c r="Q65" i="16" s="1"/>
  <c r="C66" i="16"/>
  <c r="M66" i="16"/>
  <c r="C67" i="16"/>
  <c r="F67" i="16"/>
  <c r="H67" i="16"/>
  <c r="I67" i="16"/>
  <c r="M67" i="16"/>
  <c r="N67" i="16" s="1"/>
  <c r="C68" i="16"/>
  <c r="F68" i="16"/>
  <c r="H68" i="16"/>
  <c r="I68" i="16"/>
  <c r="M68" i="16"/>
  <c r="C69" i="16"/>
  <c r="F69" i="16"/>
  <c r="H69" i="16"/>
  <c r="N69" i="16" s="1"/>
  <c r="I69" i="16"/>
  <c r="O69" i="16" s="1"/>
  <c r="Q69" i="16" s="1"/>
  <c r="M69" i="16"/>
  <c r="C70" i="16"/>
  <c r="F70" i="16"/>
  <c r="I70" i="16" s="1"/>
  <c r="O70" i="16" s="1"/>
  <c r="Q70" i="16" s="1"/>
  <c r="H70" i="16"/>
  <c r="N70" i="16" s="1"/>
  <c r="M70" i="16"/>
  <c r="C71" i="16"/>
  <c r="H71" i="16" s="1"/>
  <c r="N71" i="16" s="1"/>
  <c r="F71" i="16"/>
  <c r="I71" i="16" s="1"/>
  <c r="O71" i="16" s="1"/>
  <c r="Q71" i="16" s="1"/>
  <c r="M71" i="16"/>
  <c r="C72" i="16"/>
  <c r="M72" i="16"/>
  <c r="C73" i="16"/>
  <c r="E72" i="16" s="1"/>
  <c r="E36" i="16" s="1"/>
  <c r="G36" i="16" s="1"/>
  <c r="M73" i="16"/>
  <c r="C74" i="16"/>
  <c r="M74" i="16"/>
  <c r="C75" i="16"/>
  <c r="F75" i="16"/>
  <c r="H75" i="16"/>
  <c r="I75" i="16"/>
  <c r="O75" i="16" s="1"/>
  <c r="Q75" i="16" s="1"/>
  <c r="M75" i="16"/>
  <c r="N75" i="16"/>
  <c r="C76" i="16"/>
  <c r="E76" i="16" s="1"/>
  <c r="E40" i="16" s="1"/>
  <c r="G40" i="16" s="1"/>
  <c r="F76" i="16"/>
  <c r="H76" i="16"/>
  <c r="N76" i="16" s="1"/>
  <c r="I76" i="16"/>
  <c r="M76" i="16"/>
  <c r="C77" i="16"/>
  <c r="F77" i="16"/>
  <c r="H77" i="16"/>
  <c r="N77" i="16" s="1"/>
  <c r="I77" i="16"/>
  <c r="O77" i="16" s="1"/>
  <c r="Q77" i="16" s="1"/>
  <c r="M77" i="16"/>
  <c r="M40" i="17" l="1"/>
  <c r="M48" i="17"/>
  <c r="H36" i="16"/>
  <c r="N36" i="16" s="1"/>
  <c r="I36" i="16"/>
  <c r="O36" i="16" s="1"/>
  <c r="Q36" i="16" s="1"/>
  <c r="H40" i="16"/>
  <c r="N40" i="16" s="1"/>
  <c r="I40" i="16"/>
  <c r="O40" i="16" s="1"/>
  <c r="Q40" i="16" s="1"/>
  <c r="O68" i="16"/>
  <c r="Q68" i="16" s="1"/>
  <c r="E22" i="16"/>
  <c r="G22" i="16" s="1"/>
  <c r="O55" i="16"/>
  <c r="Q55" i="16" s="1"/>
  <c r="E12" i="16"/>
  <c r="G12" i="16" s="1"/>
  <c r="E74" i="16"/>
  <c r="E38" i="16" s="1"/>
  <c r="G38" i="16" s="1"/>
  <c r="F72" i="16"/>
  <c r="I72" i="16" s="1"/>
  <c r="O72" i="16" s="1"/>
  <c r="Q72" i="16" s="1"/>
  <c r="E70" i="16"/>
  <c r="E34" i="16" s="1"/>
  <c r="G34" i="16" s="1"/>
  <c r="N68" i="16"/>
  <c r="O62" i="16"/>
  <c r="Q62" i="16" s="1"/>
  <c r="E68" i="16"/>
  <c r="E32" i="16" s="1"/>
  <c r="G32" i="16" s="1"/>
  <c r="E26" i="16"/>
  <c r="G26" i="16" s="1"/>
  <c r="E24" i="16"/>
  <c r="G24" i="16" s="1"/>
  <c r="O47" i="16"/>
  <c r="Q47" i="16" s="1"/>
  <c r="Q85" i="16" s="1"/>
  <c r="O76" i="16"/>
  <c r="Q76" i="16" s="1"/>
  <c r="E71" i="16"/>
  <c r="E35" i="16" s="1"/>
  <c r="G35" i="16" s="1"/>
  <c r="O54" i="16"/>
  <c r="Q54" i="16" s="1"/>
  <c r="Q86" i="16" s="1"/>
  <c r="E15" i="16"/>
  <c r="G15" i="16" s="1"/>
  <c r="E28" i="16"/>
  <c r="G28" i="16" s="1"/>
  <c r="E73" i="16"/>
  <c r="E37" i="16" s="1"/>
  <c r="G37" i="16" s="1"/>
  <c r="F73" i="16"/>
  <c r="I73" i="16" s="1"/>
  <c r="O73" i="16" s="1"/>
  <c r="Q73" i="16" s="1"/>
  <c r="H73" i="16"/>
  <c r="N73" i="16" s="1"/>
  <c r="E66" i="16"/>
  <c r="E30" i="16" s="1"/>
  <c r="G30" i="16" s="1"/>
  <c r="N54" i="16"/>
  <c r="O67" i="16"/>
  <c r="Q67" i="16" s="1"/>
  <c r="E16" i="16"/>
  <c r="G16" i="16" s="1"/>
  <c r="E6" i="16"/>
  <c r="G6" i="16" s="1"/>
  <c r="E77" i="16"/>
  <c r="E41" i="16" s="1"/>
  <c r="G41" i="16" s="1"/>
  <c r="E75" i="16"/>
  <c r="E39" i="16" s="1"/>
  <c r="G39" i="16" s="1"/>
  <c r="F74" i="16"/>
  <c r="I74" i="16" s="1"/>
  <c r="O74" i="16" s="1"/>
  <c r="Q74" i="16" s="1"/>
  <c r="E67" i="16"/>
  <c r="E31" i="16" s="1"/>
  <c r="G31" i="16" s="1"/>
  <c r="F66" i="16"/>
  <c r="I66" i="16" s="1"/>
  <c r="O66" i="16" s="1"/>
  <c r="Q66" i="16" s="1"/>
  <c r="Q87" i="16" s="1"/>
  <c r="E69" i="16"/>
  <c r="E33" i="16" s="1"/>
  <c r="G33" i="16" s="1"/>
  <c r="D16" i="15"/>
  <c r="D14" i="15" s="1"/>
  <c r="F41" i="15"/>
  <c r="G41" i="15"/>
  <c r="I41" i="15"/>
  <c r="F42" i="15"/>
  <c r="G42" i="15"/>
  <c r="H42" i="15"/>
  <c r="I42" i="15"/>
  <c r="F43" i="15"/>
  <c r="G43" i="15"/>
  <c r="H43" i="15"/>
  <c r="I43" i="15"/>
  <c r="J43" i="15" s="1"/>
  <c r="K43" i="15" s="1"/>
  <c r="F44" i="15"/>
  <c r="J44" i="15" s="1"/>
  <c r="G44" i="15"/>
  <c r="I44" i="15"/>
  <c r="F45" i="15"/>
  <c r="G45" i="15"/>
  <c r="I45" i="15"/>
  <c r="F46" i="15"/>
  <c r="J46" i="15" s="1"/>
  <c r="G46" i="15"/>
  <c r="H46" i="15" s="1"/>
  <c r="I46" i="15"/>
  <c r="F47" i="15"/>
  <c r="G47" i="15"/>
  <c r="H47" i="15" s="1"/>
  <c r="K47" i="15" s="1"/>
  <c r="I47" i="15"/>
  <c r="J47" i="15"/>
  <c r="F48" i="15"/>
  <c r="J48" i="15" s="1"/>
  <c r="G48" i="15"/>
  <c r="I48" i="15"/>
  <c r="F49" i="15"/>
  <c r="H49" i="15" s="1"/>
  <c r="G49" i="15"/>
  <c r="I49" i="15"/>
  <c r="F50" i="15"/>
  <c r="J50" i="15" s="1"/>
  <c r="G50" i="15"/>
  <c r="I50" i="15"/>
  <c r="F51" i="15"/>
  <c r="G51" i="15"/>
  <c r="H51" i="15" s="1"/>
  <c r="I51" i="15"/>
  <c r="J51" i="15"/>
  <c r="K51" i="15" s="1"/>
  <c r="F52" i="15"/>
  <c r="H52" i="15" s="1"/>
  <c r="G52" i="15"/>
  <c r="I52" i="15"/>
  <c r="J52" i="15"/>
  <c r="K52" i="15" s="1"/>
  <c r="C53" i="15"/>
  <c r="D53" i="15"/>
  <c r="E53" i="15"/>
  <c r="C79" i="15"/>
  <c r="C85" i="15"/>
  <c r="D16" i="14"/>
  <c r="D14" i="14" s="1"/>
  <c r="F41" i="14"/>
  <c r="H41" i="14" s="1"/>
  <c r="G41" i="14"/>
  <c r="I41" i="14"/>
  <c r="F42" i="14"/>
  <c r="J42" i="14" s="1"/>
  <c r="G42" i="14"/>
  <c r="I42" i="14"/>
  <c r="F43" i="14"/>
  <c r="G43" i="14"/>
  <c r="H43" i="14"/>
  <c r="I43" i="14"/>
  <c r="J43" i="14"/>
  <c r="K43" i="14"/>
  <c r="F44" i="14"/>
  <c r="G44" i="14"/>
  <c r="H44" i="14" s="1"/>
  <c r="I44" i="14"/>
  <c r="J44" i="14"/>
  <c r="F45" i="14"/>
  <c r="H45" i="14" s="1"/>
  <c r="G45" i="14"/>
  <c r="I45" i="14"/>
  <c r="F46" i="14"/>
  <c r="J46" i="14" s="1"/>
  <c r="G46" i="14"/>
  <c r="I46" i="14"/>
  <c r="F47" i="14"/>
  <c r="G47" i="14"/>
  <c r="H47" i="14"/>
  <c r="I47" i="14"/>
  <c r="J47" i="14"/>
  <c r="K47" i="14"/>
  <c r="F48" i="14"/>
  <c r="H48" i="14" s="1"/>
  <c r="G48" i="14"/>
  <c r="I48" i="14"/>
  <c r="J48" i="14"/>
  <c r="F49" i="14"/>
  <c r="H49" i="14" s="1"/>
  <c r="G49" i="14"/>
  <c r="I49" i="14"/>
  <c r="F50" i="14"/>
  <c r="J50" i="14" s="1"/>
  <c r="G50" i="14"/>
  <c r="I50" i="14"/>
  <c r="F51" i="14"/>
  <c r="G51" i="14"/>
  <c r="H51" i="14"/>
  <c r="I51" i="14"/>
  <c r="J51" i="14"/>
  <c r="K51" i="14"/>
  <c r="F52" i="14"/>
  <c r="H52" i="14" s="1"/>
  <c r="G52" i="14"/>
  <c r="I52" i="14"/>
  <c r="J52" i="14"/>
  <c r="C53" i="14"/>
  <c r="D53" i="14"/>
  <c r="E53" i="14"/>
  <c r="C79" i="14"/>
  <c r="C94" i="14" s="1"/>
  <c r="C85" i="14"/>
  <c r="H33" i="16" l="1"/>
  <c r="N33" i="16" s="1"/>
  <c r="I33" i="16"/>
  <c r="O33" i="16" s="1"/>
  <c r="Q33" i="16" s="1"/>
  <c r="H15" i="16"/>
  <c r="N15" i="16" s="1"/>
  <c r="I15" i="16"/>
  <c r="O15" i="16" s="1"/>
  <c r="Q15" i="16" s="1"/>
  <c r="H32" i="16"/>
  <c r="N32" i="16" s="1"/>
  <c r="I32" i="16"/>
  <c r="O32" i="16" s="1"/>
  <c r="Q32" i="16" s="1"/>
  <c r="H34" i="16"/>
  <c r="N34" i="16" s="1"/>
  <c r="I34" i="16"/>
  <c r="O34" i="16" s="1"/>
  <c r="Q34" i="16" s="1"/>
  <c r="H31" i="16"/>
  <c r="N31" i="16" s="1"/>
  <c r="I31" i="16"/>
  <c r="O31" i="16" s="1"/>
  <c r="Q31" i="16" s="1"/>
  <c r="E18" i="16"/>
  <c r="G18" i="16" s="1"/>
  <c r="E29" i="16"/>
  <c r="G29" i="16" s="1"/>
  <c r="E17" i="16"/>
  <c r="G17" i="16" s="1"/>
  <c r="H72" i="16"/>
  <c r="N72" i="16" s="1"/>
  <c r="E7" i="16"/>
  <c r="G7" i="16" s="1"/>
  <c r="H30" i="16"/>
  <c r="N30" i="16" s="1"/>
  <c r="I30" i="16"/>
  <c r="O30" i="16" s="1"/>
  <c r="Q30" i="16" s="1"/>
  <c r="H22" i="16"/>
  <c r="N22" i="16" s="1"/>
  <c r="I22" i="16"/>
  <c r="O22" i="16" s="1"/>
  <c r="Q22" i="16" s="1"/>
  <c r="E9" i="16"/>
  <c r="G9" i="16" s="1"/>
  <c r="H38" i="16"/>
  <c r="N38" i="16" s="1"/>
  <c r="I38" i="16"/>
  <c r="O38" i="16" s="1"/>
  <c r="Q38" i="16" s="1"/>
  <c r="H41" i="16"/>
  <c r="N41" i="16" s="1"/>
  <c r="I41" i="16"/>
  <c r="O41" i="16" s="1"/>
  <c r="Q41" i="16" s="1"/>
  <c r="E11" i="16"/>
  <c r="G11" i="16" s="1"/>
  <c r="E19" i="16"/>
  <c r="G19" i="16" s="1"/>
  <c r="E10" i="16"/>
  <c r="G10" i="16" s="1"/>
  <c r="H6" i="16"/>
  <c r="N6" i="16" s="1"/>
  <c r="I6" i="16"/>
  <c r="O6" i="16" s="1"/>
  <c r="Q6" i="16" s="1"/>
  <c r="H37" i="16"/>
  <c r="N37" i="16" s="1"/>
  <c r="I37" i="16"/>
  <c r="O37" i="16" s="1"/>
  <c r="Q37" i="16" s="1"/>
  <c r="E25" i="16"/>
  <c r="G25" i="16" s="1"/>
  <c r="E21" i="16"/>
  <c r="G21" i="16" s="1"/>
  <c r="E13" i="16"/>
  <c r="G13" i="16" s="1"/>
  <c r="E8" i="16"/>
  <c r="G8" i="16" s="1"/>
  <c r="H66" i="16"/>
  <c r="N66" i="16" s="1"/>
  <c r="H28" i="16"/>
  <c r="N28" i="16" s="1"/>
  <c r="I28" i="16"/>
  <c r="O28" i="16" s="1"/>
  <c r="Q28" i="16" s="1"/>
  <c r="E14" i="16"/>
  <c r="G14" i="16" s="1"/>
  <c r="E23" i="16"/>
  <c r="G23" i="16" s="1"/>
  <c r="H12" i="16"/>
  <c r="N12" i="16" s="1"/>
  <c r="I12" i="16"/>
  <c r="O12" i="16" s="1"/>
  <c r="Q12" i="16" s="1"/>
  <c r="H26" i="16"/>
  <c r="N26" i="16" s="1"/>
  <c r="I26" i="16"/>
  <c r="O26" i="16" s="1"/>
  <c r="Q26" i="16" s="1"/>
  <c r="H16" i="16"/>
  <c r="N16" i="16" s="1"/>
  <c r="I16" i="16"/>
  <c r="O16" i="16" s="1"/>
  <c r="Q16" i="16" s="1"/>
  <c r="H35" i="16"/>
  <c r="N35" i="16" s="1"/>
  <c r="I35" i="16"/>
  <c r="O35" i="16" s="1"/>
  <c r="Q35" i="16" s="1"/>
  <c r="H39" i="16"/>
  <c r="N39" i="16" s="1"/>
  <c r="I39" i="16"/>
  <c r="O39" i="16" s="1"/>
  <c r="Q39" i="16" s="1"/>
  <c r="H74" i="16"/>
  <c r="N74" i="16" s="1"/>
  <c r="E20" i="16"/>
  <c r="G20" i="16" s="1"/>
  <c r="E27" i="16"/>
  <c r="G27" i="16" s="1"/>
  <c r="H24" i="16"/>
  <c r="N24" i="16" s="1"/>
  <c r="I24" i="16"/>
  <c r="O24" i="16" s="1"/>
  <c r="Q24" i="16" s="1"/>
  <c r="H44" i="15"/>
  <c r="K46" i="15"/>
  <c r="J42" i="15"/>
  <c r="K42" i="15" s="1"/>
  <c r="K50" i="15"/>
  <c r="H45" i="15"/>
  <c r="H41" i="15"/>
  <c r="H53" i="15" s="1"/>
  <c r="C94" i="15"/>
  <c r="H50" i="15"/>
  <c r="H48" i="15"/>
  <c r="K48" i="15" s="1"/>
  <c r="K44" i="15"/>
  <c r="F15" i="15"/>
  <c r="F17" i="15"/>
  <c r="F16" i="15"/>
  <c r="F18" i="15"/>
  <c r="J49" i="15"/>
  <c r="K49" i="15" s="1"/>
  <c r="J45" i="15"/>
  <c r="J41" i="15"/>
  <c r="F53" i="15"/>
  <c r="K52" i="14"/>
  <c r="K48" i="14"/>
  <c r="K44" i="14"/>
  <c r="F15" i="14"/>
  <c r="F17" i="14"/>
  <c r="F16" i="14"/>
  <c r="F18" i="14"/>
  <c r="H50" i="14"/>
  <c r="K50" i="14" s="1"/>
  <c r="H46" i="14"/>
  <c r="K46" i="14" s="1"/>
  <c r="H42" i="14"/>
  <c r="H53" i="14" s="1"/>
  <c r="J49" i="14"/>
  <c r="K49" i="14" s="1"/>
  <c r="J45" i="14"/>
  <c r="K45" i="14" s="1"/>
  <c r="J41" i="14"/>
  <c r="F53" i="14"/>
  <c r="H25" i="16" l="1"/>
  <c r="N25" i="16" s="1"/>
  <c r="I25" i="16"/>
  <c r="O25" i="16" s="1"/>
  <c r="Q25" i="16" s="1"/>
  <c r="H7" i="16"/>
  <c r="N7" i="16" s="1"/>
  <c r="I7" i="16"/>
  <c r="O7" i="16" s="1"/>
  <c r="Q7" i="16" s="1"/>
  <c r="H27" i="16"/>
  <c r="N27" i="16" s="1"/>
  <c r="I27" i="16"/>
  <c r="O27" i="16" s="1"/>
  <c r="Q27" i="16" s="1"/>
  <c r="H20" i="16"/>
  <c r="N20" i="16" s="1"/>
  <c r="I20" i="16"/>
  <c r="O20" i="16" s="1"/>
  <c r="Q20" i="16" s="1"/>
  <c r="H29" i="16"/>
  <c r="N29" i="16" s="1"/>
  <c r="I29" i="16"/>
  <c r="O29" i="16" s="1"/>
  <c r="Q29" i="16" s="1"/>
  <c r="H8" i="16"/>
  <c r="N8" i="16" s="1"/>
  <c r="I8" i="16"/>
  <c r="O8" i="16" s="1"/>
  <c r="Q8" i="16" s="1"/>
  <c r="H10" i="16"/>
  <c r="N10" i="16" s="1"/>
  <c r="I10" i="16"/>
  <c r="O10" i="16" s="1"/>
  <c r="Q10" i="16" s="1"/>
  <c r="Q82" i="16" s="1"/>
  <c r="H18" i="16"/>
  <c r="N18" i="16" s="1"/>
  <c r="I18" i="16"/>
  <c r="O18" i="16" s="1"/>
  <c r="Q18" i="16" s="1"/>
  <c r="H14" i="16"/>
  <c r="N14" i="16" s="1"/>
  <c r="I14" i="16"/>
  <c r="O14" i="16" s="1"/>
  <c r="Q14" i="16" s="1"/>
  <c r="H9" i="16"/>
  <c r="N9" i="16" s="1"/>
  <c r="I9" i="16"/>
  <c r="O9" i="16" s="1"/>
  <c r="Q9" i="16" s="1"/>
  <c r="H13" i="16"/>
  <c r="N13" i="16" s="1"/>
  <c r="I13" i="16"/>
  <c r="O13" i="16" s="1"/>
  <c r="Q13" i="16" s="1"/>
  <c r="H19" i="16"/>
  <c r="N19" i="16" s="1"/>
  <c r="I19" i="16"/>
  <c r="O19" i="16" s="1"/>
  <c r="Q19" i="16" s="1"/>
  <c r="H23" i="16"/>
  <c r="N23" i="16" s="1"/>
  <c r="I23" i="16"/>
  <c r="O23" i="16" s="1"/>
  <c r="Q23" i="16" s="1"/>
  <c r="H17" i="16"/>
  <c r="N17" i="16" s="1"/>
  <c r="I17" i="16"/>
  <c r="O17" i="16" s="1"/>
  <c r="Q17" i="16" s="1"/>
  <c r="H21" i="16"/>
  <c r="N21" i="16" s="1"/>
  <c r="I21" i="16"/>
  <c r="O21" i="16" s="1"/>
  <c r="Q21" i="16" s="1"/>
  <c r="H11" i="16"/>
  <c r="N11" i="16" s="1"/>
  <c r="I11" i="16"/>
  <c r="O11" i="16" s="1"/>
  <c r="Q11" i="16" s="1"/>
  <c r="Q84" i="16"/>
  <c r="K45" i="15"/>
  <c r="K65" i="15"/>
  <c r="K67" i="15" s="1"/>
  <c r="H57" i="15"/>
  <c r="I57" i="15" s="1"/>
  <c r="K57" i="15" s="1"/>
  <c r="K41" i="15"/>
  <c r="K53" i="15" s="1"/>
  <c r="K60" i="15" s="1"/>
  <c r="C95" i="15" s="1"/>
  <c r="C96" i="15" s="1"/>
  <c r="J53" i="15"/>
  <c r="K65" i="14"/>
  <c r="K67" i="14" s="1"/>
  <c r="H57" i="14"/>
  <c r="I57" i="14" s="1"/>
  <c r="K57" i="14" s="1"/>
  <c r="K42" i="14"/>
  <c r="K41" i="14"/>
  <c r="K53" i="14" s="1"/>
  <c r="K60" i="14" s="1"/>
  <c r="C95" i="14" s="1"/>
  <c r="C96" i="14" s="1"/>
  <c r="C97" i="14" s="1"/>
  <c r="D97" i="14" s="1"/>
  <c r="J53" i="14"/>
  <c r="Q79" i="16" l="1"/>
  <c r="Q83" i="16"/>
  <c r="Q89" i="16" s="1"/>
  <c r="C97" i="15"/>
  <c r="D97" i="15" s="1"/>
  <c r="D21" i="12" l="1"/>
  <c r="C21" i="12"/>
  <c r="E20" i="12"/>
  <c r="G20" i="12" s="1"/>
  <c r="H20" i="12" s="1"/>
  <c r="E19" i="12"/>
  <c r="G19" i="12" s="1"/>
  <c r="H19" i="12" s="1"/>
  <c r="E18" i="12"/>
  <c r="E17" i="12"/>
  <c r="G17" i="12" s="1"/>
  <c r="H17" i="12" s="1"/>
  <c r="E16" i="12"/>
  <c r="G16" i="12" s="1"/>
  <c r="H16" i="12" s="1"/>
  <c r="F15" i="12"/>
  <c r="G15" i="12" s="1"/>
  <c r="H15" i="12" s="1"/>
  <c r="E15" i="12"/>
  <c r="B54" i="11"/>
  <c r="B21" i="11"/>
  <c r="B80" i="8"/>
  <c r="C18" i="8"/>
  <c r="C19" i="8" s="1"/>
  <c r="C75" i="10"/>
  <c r="B80" i="10"/>
  <c r="B86" i="1"/>
  <c r="B87" i="1"/>
  <c r="B82" i="4"/>
  <c r="B81" i="4"/>
  <c r="E76" i="4"/>
  <c r="B43" i="4"/>
  <c r="E21" i="12" l="1"/>
  <c r="F21" i="12"/>
  <c r="G18" i="12"/>
  <c r="H18" i="12" s="1"/>
  <c r="B84" i="4"/>
  <c r="B87" i="4" s="1"/>
  <c r="B88" i="4" s="1"/>
  <c r="G21" i="12" l="1"/>
  <c r="B54" i="4"/>
  <c r="B90" i="1"/>
  <c r="C41" i="1" l="1"/>
  <c r="B50" i="1" s="1"/>
  <c r="C82" i="1" l="1"/>
  <c r="C43" i="1"/>
  <c r="B52" i="1" s="1"/>
  <c r="B89" i="1" l="1"/>
  <c r="B92" i="1" s="1"/>
  <c r="B93" i="1" s="1"/>
  <c r="C46" i="1"/>
  <c r="B55" i="1" s="1"/>
  <c r="C45" i="1"/>
  <c r="B54" i="1" s="1"/>
  <c r="C44" i="1"/>
  <c r="B53" i="1" s="1"/>
  <c r="C42" i="1"/>
  <c r="B51" i="1" s="1"/>
  <c r="B22" i="11"/>
  <c r="B57" i="1" l="1"/>
  <c r="B60" i="1" s="1"/>
  <c r="B61" i="1" s="1"/>
  <c r="C49" i="11" l="1"/>
  <c r="B53" i="11" s="1"/>
  <c r="D75" i="10"/>
  <c r="B56" i="11" l="1"/>
  <c r="B59" i="11" s="1"/>
  <c r="B60" i="11" s="1"/>
  <c r="B24" i="11"/>
  <c r="B27" i="11" s="1"/>
  <c r="B28" i="11" s="1"/>
  <c r="C19" i="10" l="1"/>
  <c r="B79" i="10" l="1"/>
  <c r="C39" i="10"/>
  <c r="B48" i="10" s="1"/>
  <c r="C38" i="10"/>
  <c r="B47" i="10" s="1"/>
  <c r="C37" i="10"/>
  <c r="B46" i="10" s="1"/>
  <c r="C36" i="10"/>
  <c r="B45" i="10" s="1"/>
  <c r="C35" i="10"/>
  <c r="B44" i="10" s="1"/>
  <c r="C34" i="10"/>
  <c r="B43" i="10" s="1"/>
  <c r="B82" i="10" l="1"/>
  <c r="B85" i="10" s="1"/>
  <c r="B86" i="10" s="1"/>
  <c r="B50" i="10"/>
  <c r="B53" i="10" s="1"/>
  <c r="B54" i="10" s="1"/>
  <c r="C75" i="8"/>
  <c r="B79" i="8" s="1"/>
  <c r="C39" i="8"/>
  <c r="B48" i="8" s="1"/>
  <c r="C38" i="8"/>
  <c r="B47" i="8" s="1"/>
  <c r="C37" i="8"/>
  <c r="B46" i="8" s="1"/>
  <c r="C36" i="8"/>
  <c r="B45" i="8" s="1"/>
  <c r="C35" i="8"/>
  <c r="B44" i="8" s="1"/>
  <c r="C34" i="8"/>
  <c r="B43" i="8" s="1"/>
  <c r="B82" i="8" l="1"/>
  <c r="B85" i="8" s="1"/>
  <c r="B86" i="8" s="1"/>
  <c r="B50" i="8" l="1"/>
  <c r="B53" i="8" s="1"/>
  <c r="B54" i="8" s="1"/>
  <c r="B42" i="4" l="1"/>
  <c r="B41" i="4" l="1"/>
  <c r="B63" i="4" l="1"/>
  <c r="B62" i="4"/>
  <c r="B59" i="4"/>
  <c r="B61" i="4"/>
  <c r="B60" i="4"/>
  <c r="B58" i="4"/>
  <c r="B65" i="4" s="1"/>
  <c r="B68" i="4" l="1"/>
  <c r="C68" i="4" s="1"/>
</calcChain>
</file>

<file path=xl/sharedStrings.xml><?xml version="1.0" encoding="utf-8"?>
<sst xmlns="http://schemas.openxmlformats.org/spreadsheetml/2006/main" count="810" uniqueCount="278">
  <si>
    <t>Ottawa River Power Corporation</t>
  </si>
  <si>
    <t>Residential</t>
  </si>
  <si>
    <t>kWh</t>
  </si>
  <si>
    <t>General Service &lt; 50 kW</t>
  </si>
  <si>
    <t>General Service &gt; 50 to 4999 kW</t>
  </si>
  <si>
    <t>kW</t>
  </si>
  <si>
    <t>Sentinel Lighting</t>
  </si>
  <si>
    <t>Streetlighting</t>
  </si>
  <si>
    <t>Unmetered Scattered Load</t>
  </si>
  <si>
    <t>Estimated Collected</t>
  </si>
  <si>
    <t>Actual Collected</t>
  </si>
  <si>
    <t>Sentinel Lighting (kWh)</t>
  </si>
  <si>
    <t>January</t>
  </si>
  <si>
    <t>February</t>
  </si>
  <si>
    <t>March</t>
  </si>
  <si>
    <t>April</t>
  </si>
  <si>
    <t>May</t>
  </si>
  <si>
    <t>June</t>
  </si>
  <si>
    <t>July</t>
  </si>
  <si>
    <t>August</t>
  </si>
  <si>
    <t>September</t>
  </si>
  <si>
    <t>October</t>
  </si>
  <si>
    <t>November</t>
  </si>
  <si>
    <t>December</t>
  </si>
  <si>
    <t>Total</t>
  </si>
  <si>
    <t>Difference</t>
  </si>
  <si>
    <t>Brookfield</t>
  </si>
  <si>
    <t>Hydro One</t>
  </si>
  <si>
    <t>Residential (kWh)</t>
  </si>
  <si>
    <t>General Service &lt; 50 kW (kWh)</t>
  </si>
  <si>
    <t>Unmetered Scattered Load (kWh)</t>
  </si>
  <si>
    <t>General Service &gt; 50 to 4999 kW (kWh)</t>
  </si>
  <si>
    <t>Streetlighting (kWh)</t>
  </si>
  <si>
    <t>Consumption in kWh (per Annual RRR 2.1.5)</t>
  </si>
  <si>
    <t>Wholesale Market</t>
  </si>
  <si>
    <t>RRRP</t>
  </si>
  <si>
    <t>Paid to Hydro One ($)</t>
  </si>
  <si>
    <t>Paid to Brookfield ($)</t>
  </si>
  <si>
    <t>Wholesale Market Charge Revenue Analysis</t>
  </si>
  <si>
    <t>Wholesale Market Charge Expense Analysis</t>
  </si>
  <si>
    <t>Wholesale Market Charge</t>
  </si>
  <si>
    <t>Average Rate Charged ($/kWh)</t>
  </si>
  <si>
    <t>Line and Connection Service Rates ($/kWh/kW)</t>
  </si>
  <si>
    <t>Transmission Line and Connection Charge Analysis</t>
  </si>
  <si>
    <t>Unit of Measure</t>
  </si>
  <si>
    <t>KW</t>
  </si>
  <si>
    <t>Revenue Rates</t>
  </si>
  <si>
    <t>Expense Rates</t>
  </si>
  <si>
    <t>Revenue Analysis</t>
  </si>
  <si>
    <t>Customer Class</t>
  </si>
  <si>
    <t>Total Estimated Charges</t>
  </si>
  <si>
    <t>Total Actual Charges</t>
  </si>
  <si>
    <t>Difference ($)</t>
  </si>
  <si>
    <t>Difference (%)</t>
  </si>
  <si>
    <t>Revenue Reasonability Test</t>
  </si>
  <si>
    <t>Customer Usage (Per Annual 2.1.5)</t>
  </si>
  <si>
    <t>Loss-Adjusted Usage</t>
  </si>
  <si>
    <t>Difference is not material therefore revenues are deemed reasonable.</t>
  </si>
  <si>
    <t>Expense Analysis</t>
  </si>
  <si>
    <t>Year</t>
  </si>
  <si>
    <t>Month</t>
  </si>
  <si>
    <t>Amount Billed</t>
  </si>
  <si>
    <t>Total Hydro One Charges</t>
  </si>
  <si>
    <t>Summary</t>
  </si>
  <si>
    <t>Total Revenues Collected</t>
  </si>
  <si>
    <t>Variance</t>
  </si>
  <si>
    <t>Difference is not material therefore test is deemed reasonable.</t>
  </si>
  <si>
    <t>Difference as a percentage of revenues</t>
  </si>
  <si>
    <t>Network Charge Analysis</t>
  </si>
  <si>
    <t>Network Service Rates ($/kWh/kW)</t>
  </si>
  <si>
    <t>Total Charges</t>
  </si>
  <si>
    <t>The remaining difference is not material.</t>
  </si>
  <si>
    <t>Smart Metering Entity Charge Analysis</t>
  </si>
  <si>
    <t>Smart Metering Entity Service Rates ($/kWh/kW)</t>
  </si>
  <si>
    <t>IESO</t>
  </si>
  <si>
    <t>$</t>
  </si>
  <si>
    <t>Total IESO Charges</t>
  </si>
  <si>
    <t>Customer Connections</t>
  </si>
  <si>
    <t>Low Voltage Charge Analysis</t>
  </si>
  <si>
    <t>Low Voltage Service Rates ($/kWh/kW)</t>
  </si>
  <si>
    <t>Hydro One - Monthly Service Charges</t>
  </si>
  <si>
    <t>Hydro One - Meter Charges</t>
  </si>
  <si>
    <t>Hydro One - Shared LVDS</t>
  </si>
  <si>
    <t>Meter Count</t>
  </si>
  <si>
    <t>Hydro One - Common ST Lines</t>
  </si>
  <si>
    <t>kW non-adjusted</t>
  </si>
  <si>
    <t>Appendix F - Low Voltage Analysis</t>
  </si>
  <si>
    <t>Hydro One - Rate Rider 29B</t>
  </si>
  <si>
    <t>Hydro One - Rate Rider 29A</t>
  </si>
  <si>
    <t>Deferred Tax Asset Fixed Rider</t>
  </si>
  <si>
    <t>Earning Shared Mechanism Fixed Rider</t>
  </si>
  <si>
    <t>Deferred Tax Asset Vol Rider</t>
  </si>
  <si>
    <t>Account 1550 Balance as at December 31, 2021 Adjusted for Principal Disposition during 2022</t>
  </si>
  <si>
    <t>RRRP effective May 1, 2021 ($/kWh)</t>
  </si>
  <si>
    <t>RRRP effective May 1, 2020 ($/kWh)</t>
  </si>
  <si>
    <t>Wholesale Market Rates effective May 1, 2020 ($/kWh)</t>
  </si>
  <si>
    <t>Wholesale Market Rates effective May 1, 2021 ($/kWh)</t>
  </si>
  <si>
    <t>Appendix G - Wholesale Market Charge Variance Account Analysis</t>
  </si>
  <si>
    <t>Capacity Based Recovery effective May 1, 2020 ($/kWh)</t>
  </si>
  <si>
    <t>Capacity Based Recovery effective May 1, 2021 ($/kWh)</t>
  </si>
  <si>
    <t>Capacity Based Recovery</t>
  </si>
  <si>
    <t>Estimated Collected Wholesale Market Service Charges Based on Consumption ($)</t>
  </si>
  <si>
    <t>Based on the above analysis, the amount of Wholesale Market Charges is as expected given the level of consumption.</t>
  </si>
  <si>
    <t>Account 1580 Balance as at December 31, 2021 Adjusted for Principal Disposition during 2022</t>
  </si>
  <si>
    <t>Account 1584 Balance as at December 31, 2021 Adjusted for Principal Disposition during 2022</t>
  </si>
  <si>
    <t>Appendix J - Smart Metering Entity Charge Variance Account Analysis</t>
  </si>
  <si>
    <t>Appendix I - Line Transmission and Connection Charge Variance Account Analysis</t>
  </si>
  <si>
    <t>Appendix H - Network Charge Variance Account Analysis</t>
  </si>
  <si>
    <t>Account 1586 Balance as at December 31, 2021 Adjusted for Principal Disposition during 2022</t>
  </si>
  <si>
    <t>Account 1551 Balance as at December 31, 2021 Adjusted for Principal Disposition during 2022</t>
  </si>
  <si>
    <t>The annual Account 1588 balance relative to cost of power is expected to be small. If it is greater than +/-1%, provide an explanation in the text box below.</t>
  </si>
  <si>
    <t>Note 7</t>
  </si>
  <si>
    <t>Account 1588 Reasonability Test</t>
  </si>
  <si>
    <t>Account 1588 - RSVA Power</t>
  </si>
  <si>
    <t>Account 4705 - Power Purchased</t>
  </si>
  <si>
    <t>Account 1588 as % of Account 4705</t>
  </si>
  <si>
    <r>
      <t>Transactions</t>
    </r>
    <r>
      <rPr>
        <b/>
        <vertAlign val="superscript"/>
        <sz val="12"/>
        <color theme="1"/>
        <rFont val="Arial"/>
        <family val="2"/>
      </rPr>
      <t>1</t>
    </r>
  </si>
  <si>
    <r>
      <t>Principal Adjustments</t>
    </r>
    <r>
      <rPr>
        <b/>
        <vertAlign val="superscript"/>
        <sz val="11"/>
        <color theme="1"/>
        <rFont val="Arial"/>
        <family val="2"/>
      </rPr>
      <t>1</t>
    </r>
  </si>
  <si>
    <t>Total Activity in Calendar Year</t>
  </si>
  <si>
    <t>Cumulative</t>
  </si>
  <si>
    <t>Notes</t>
  </si>
  <si>
    <t>1) The transactions should equal the "Transaction" column in the DVA Continuity Schedule. This is also expected to equal the transactions in the general ledger (excluding transactions relating to the removal of approved disposition amounts as that is shown in a separate column in the DVA Continuity Schedule)</t>
  </si>
  <si>
    <t>2) Principal adjustments should equal the "Principal Adjustments" column in the DVA Continuity Schedule. Principal adjustments adjust the transactions in the general ledger to the amount that should be requested for disposition.</t>
  </si>
  <si>
    <t>Reasons for large Account 1588 balance, relative to cost of power purchased</t>
  </si>
  <si>
    <t>Yes</t>
  </si>
  <si>
    <t>Unresolved Difference as % of Expected GA Payments to IESO</t>
  </si>
  <si>
    <t>Unresolved Difference</t>
  </si>
  <si>
    <t>Net Change in Expected GA Balance in the Year Per Analysis</t>
  </si>
  <si>
    <t>Adjusted Net Change in Principal Balance in the GL</t>
  </si>
  <si>
    <t>Note 6</t>
  </si>
  <si>
    <t>Others as justified by distributor</t>
  </si>
  <si>
    <t>Differences in actual system losses and billed TLFs</t>
  </si>
  <si>
    <t>Differences in GA IESO posted rate and rate charged on IESO invoice</t>
  </si>
  <si>
    <t>Significant prior period billing adjustments recorded in current year</t>
  </si>
  <si>
    <t>Remove GA balances pertaining to Class A customers</t>
  </si>
  <si>
    <t>Add difference between current year accrual/forecast to actual from long term load transfers</t>
  </si>
  <si>
    <t>3b</t>
  </si>
  <si>
    <t>Remove difference between prior year accrual/forecast to actual from long term load transfers</t>
  </si>
  <si>
    <t>3a</t>
  </si>
  <si>
    <t>Add current year end unbilled to actual revenue differences</t>
  </si>
  <si>
    <t>2b</t>
  </si>
  <si>
    <t>Remove prior year end unbilled to actual revenue differences</t>
  </si>
  <si>
    <t>2a</t>
  </si>
  <si>
    <t>CT 148 True-up of GA Charges based on Actual Non-RPP Volumes - current year</t>
  </si>
  <si>
    <t>1b</t>
  </si>
  <si>
    <t>CT 148 True-up of GA Charges based on Actual Non-RPP Volumes - prior year</t>
  </si>
  <si>
    <t>1a</t>
  </si>
  <si>
    <t>If "no", please provide an explanation</t>
  </si>
  <si>
    <t>Principal Adjustment on DVA Continuity Schedule</t>
  </si>
  <si>
    <t xml:space="preserve"> Net Change in Principal Balance in the GL (i.e. Transactions in the Year)</t>
  </si>
  <si>
    <t>Principal Adjustments</t>
  </si>
  <si>
    <t>Explanation</t>
  </si>
  <si>
    <t>Amount</t>
  </si>
  <si>
    <t xml:space="preserve"> Item</t>
  </si>
  <si>
    <t xml:space="preserve">Reconciling Items </t>
  </si>
  <si>
    <t xml:space="preserve">Note 5 </t>
  </si>
  <si>
    <t>b) Please provide an explanation in the textbox below if the difference in loss factor is greater than 1%</t>
  </si>
  <si>
    <t>a) Please provide an explanation in the textbox below if columns G and H are not used in the table above.</t>
  </si>
  <si>
    <t>Most Recent Approved Loss Factor for Secondary Metered Customer &lt; 5,000kW</t>
  </si>
  <si>
    <t>Calculated Loss Factor</t>
  </si>
  <si>
    <t>Total Expected GA Variance</t>
  </si>
  <si>
    <t>**Equal to annual Non-RPP Class B $ GA paid (i.e. non-RPP portion of CT 148 on IESO invoice) divided by Non-RPP Class B Wholesale kWh (as quantified in column O of the table above)</t>
  </si>
  <si>
    <t>*Equal to (AQEW - Class A + embedded generation kWh)*(Non-RPP Class B retail kwh/Total retail Class B kWh)</t>
  </si>
  <si>
    <t>P= Q*R</t>
  </si>
  <si>
    <t>R</t>
  </si>
  <si>
    <t>Q=O-P</t>
  </si>
  <si>
    <t>P</t>
  </si>
  <si>
    <t>O</t>
  </si>
  <si>
    <t>Expected GA Volume Variance ($)</t>
  </si>
  <si>
    <t>Weighted Average GA Actual Rate Paid ($/kWh)**</t>
  </si>
  <si>
    <t>Annual Unaccounted for Energy Loss kWh</t>
  </si>
  <si>
    <t>Annual Non-RPP Class B Retail billed kWh</t>
  </si>
  <si>
    <t>Annual Non-RPP Class B Wholesale kWh *</t>
  </si>
  <si>
    <t>Net Change in Expected GA Balance in the Year (i.e. Transactions in the Year)</t>
  </si>
  <si>
    <t xml:space="preserve">November </t>
  </si>
  <si>
    <t>=M-K</t>
  </si>
  <si>
    <t>M = I*L</t>
  </si>
  <si>
    <t>L</t>
  </si>
  <si>
    <t>K = I*J</t>
  </si>
  <si>
    <t>J</t>
  </si>
  <si>
    <t>I = F-G+H</t>
  </si>
  <si>
    <t>H</t>
  </si>
  <si>
    <t>G</t>
  </si>
  <si>
    <t>F</t>
  </si>
  <si>
    <t>Expected GA Variance ($)</t>
  </si>
  <si>
    <t>$ Consumption at Actual Rate Paid</t>
  </si>
  <si>
    <t>GA Actual Rate Paid ($/kWh)</t>
  </si>
  <si>
    <t>$ Consumption at GA Rate Billed</t>
  </si>
  <si>
    <t>GA Rate Billed  ($/kWh)</t>
  </si>
  <si>
    <t>Non-RPP Class B Including Loss Adjusted Consumption, Adjusted for Unbilled (kWh)</t>
  </si>
  <si>
    <t>Add Current Month Unbilled Loss Adjusted Consumption (kWh)</t>
  </si>
  <si>
    <t>Deduct Previous Month Unbilled Loss Adjusted Consumption (kWh)</t>
  </si>
  <si>
    <t>Non-RPP Class B Including Loss Factor Billed Consumption (kWh)</t>
  </si>
  <si>
    <t>Calendar Month</t>
  </si>
  <si>
    <t>Analysis of Expected GA Amount</t>
  </si>
  <si>
    <t>Note 4</t>
  </si>
  <si>
    <t>Please confirm that the GA Rate used for unbilled revenue is the same as the one used for billed revenue in any paticular month</t>
  </si>
  <si>
    <t>Please confirm that the same GA rate is used to bill all customer classes. If not, please provide further details</t>
  </si>
  <si>
    <t>1st Estimate</t>
  </si>
  <si>
    <t xml:space="preserve">GA is billed on the </t>
  </si>
  <si>
    <t>GA Billing Rate</t>
  </si>
  <si>
    <t>Note 3</t>
  </si>
  <si>
    <t>*Non-RPP Class B consumption reported in this table is not expected to directly agree with the Non-RPP Class B Including Loss Adjusted Billed Consumption in the GA Analysis of Expected Balance table below.  The difference should be equal to the loss factor.</t>
  </si>
  <si>
    <t>E</t>
  </si>
  <si>
    <r>
      <t>Non-RPP Class B</t>
    </r>
    <r>
      <rPr>
        <sz val="11"/>
        <color rgb="FFFF0000"/>
        <rFont val="Arial"/>
        <family val="2"/>
      </rPr>
      <t>*</t>
    </r>
  </si>
  <si>
    <t>D</t>
  </si>
  <si>
    <t>Non-RPP Class A</t>
  </si>
  <si>
    <t>B = D+E</t>
  </si>
  <si>
    <t>Non RPP</t>
  </si>
  <si>
    <t>A</t>
  </si>
  <si>
    <t xml:space="preserve">RPP </t>
  </si>
  <si>
    <t>C = A+B</t>
  </si>
  <si>
    <t>Total Metered excluding WMP</t>
  </si>
  <si>
    <t>Consumption Data Excluding for Loss Factor (Data to agree with RRR as applicable)</t>
  </si>
  <si>
    <t>Note 2</t>
  </si>
  <si>
    <t>Billing Adjustment included in 2017 GL</t>
  </si>
  <si>
    <t>1589 Credit (Debit)</t>
  </si>
  <si>
    <t>Bill 210 Global Adjustment Adjustments</t>
  </si>
  <si>
    <t>Global Adjustment Allocated to RPP</t>
  </si>
  <si>
    <t>Global Adjustment Allocated to Non-RPP</t>
  </si>
  <si>
    <t>Adjusted Global Adjustment Charges</t>
  </si>
  <si>
    <t>GA Generation Credits</t>
  </si>
  <si>
    <t>Global Adjustment Charge Adjustments</t>
  </si>
  <si>
    <t>Hydro One Global Adjustment Charges</t>
  </si>
  <si>
    <t>RPP Consumption as a percentage of total consumption</t>
  </si>
  <si>
    <t>Non-RPP Consumption as a percentage of total consumption</t>
  </si>
  <si>
    <t>Allocated Monthly RPP Consumption</t>
  </si>
  <si>
    <t>RPP Annual Consumption</t>
  </si>
  <si>
    <t>Annual Non-RPP Consumption (%)</t>
  </si>
  <si>
    <t>Class A Non-RPP Consumption</t>
  </si>
  <si>
    <t xml:space="preserve"> Class B Non-RPP Consumption</t>
  </si>
  <si>
    <t>Usage Month</t>
  </si>
  <si>
    <t>2015 to 2020</t>
  </si>
  <si>
    <t>Appendix C - Global Adjustment allocation calculation between 1588 and 1589</t>
  </si>
  <si>
    <t>RRR balance for Account 1580 RSVA - Wholesale Market Service Charge should equal to the control account as reported in the RRR. This would include the balance for Account 1580,Variance WMS – Sub-account CBR Class B.</t>
  </si>
  <si>
    <t>New accounting guidance effective January 1, 2019 for Accounts 1588 and 1589 was issued Feb. 21, 2019 titled Accounting Procedures Handbook Update - Accounting Guidance Related to Commodity Pass-Through Accounts 1588 &amp; 1589. The amount in the "Transactions" column in this DVA Continuity Schedule are to equal the transactions in the General Ledger (excluding any amounts approved for disposition, which is shown separately in the "OEB Approved Disposition" columns). Any true-ups/adjustments/reversals needed to derive the claim amount must be shown separately in the "Principal Adjustments" columns of this DVA Continuity Schedule.</t>
  </si>
  <si>
    <t>The individual sub-accounts as well as the total for all Account 1595 sub-accounts is to agree to the RRR data.  Differences need to be explained. For each Account 1595 sub-account, the transfer of the balance approved for disposition into Account 1595 is to be recorded in "OEB Approved Disposition" column. The recovery/refund is to be recorded in the "Transaction" column. Any vintage year of Account 1595 is only to be disposed once on a final basis. No further dispositions of these accounts are generally expected thereafter, unless justified by the distributor.
Refer to Filing Requirements for disposition eligibility of the sub-accounts. Select "yes" column BU if the sub-account is requested for disposition. Note that Account 1595 (2020), (2021), (2022) will not be eligible for disposition in the 2023 rate application.</t>
  </si>
  <si>
    <t>1) If the LDC's rate year begins on January 1, 2023, the projected interest is recorded from January 1, 2022 to December 31, 2022 on the December 31, 2021 balances adjusted to remove balances approved for disposition in the 2022 rate decision. 
2) If the LDC's rate year begins on May 1, 2023, the projected interest is recorded from January 1, 2022 to April 30, 2023 on the December 31, 2021 balances adjusted to remove balances approved for disposition in the 2022 rate decision.</t>
  </si>
  <si>
    <t>Please provide explanations for the nature of the adjustments.  If the adjustment relates to previously OEB-Approved disposed balances, please provide amounts for adjustments and include supporting documentations.</t>
  </si>
  <si>
    <t>For all OEB-Approved dispositions, please ensure that the disposition amount has the same sign (e.g: debit balances are to have a positive figure and credit balance are to have a negative figure) as per the related OEB decision.</t>
  </si>
  <si>
    <t>Total Group 1 Balance including Account 1568 - LRAMVA requested for disposition</t>
  </si>
  <si>
    <t>LRAM Variance Account (only input amounts if applying for disposition of this account)</t>
  </si>
  <si>
    <t>Total Group 1 Balance</t>
  </si>
  <si>
    <t>Total Group 1 Balance excluding Account 1589 - Global Adjustment</t>
  </si>
  <si>
    <t>RSVA - Global Adjustment</t>
  </si>
  <si>
    <t>Total Group 1 Balance requested for disposition</t>
  </si>
  <si>
    <t>Total Group 1 Balance excluding Account 1589 - Global Adjustment requested for disposition</t>
  </si>
  <si>
    <t>RSVA - Global Adjustment requested for disposition</t>
  </si>
  <si>
    <r>
      <t>Disposition and Recovery/Refund of Regulatory Balances (2022)</t>
    </r>
    <r>
      <rPr>
        <vertAlign val="superscript"/>
        <sz val="11"/>
        <rFont val="Arial"/>
        <family val="2"/>
      </rPr>
      <t xml:space="preserve">3
</t>
    </r>
    <r>
      <rPr>
        <i/>
        <sz val="11"/>
        <color rgb="FFFF0000"/>
        <rFont val="Arial"/>
        <family val="2"/>
      </rPr>
      <t>Not to be disposed of until two years after rate rider has expired and that balance has been audited. Refer to the Filing Requirements for disposition eligibility.</t>
    </r>
  </si>
  <si>
    <r>
      <t>Disposition and Recovery/Refund of Regulatory Balances (2021)</t>
    </r>
    <r>
      <rPr>
        <vertAlign val="superscript"/>
        <sz val="11"/>
        <rFont val="Arial"/>
        <family val="2"/>
      </rPr>
      <t>3</t>
    </r>
  </si>
  <si>
    <r>
      <t>Disposition and Recovery/Refund of Regulatory Balances (2020)</t>
    </r>
    <r>
      <rPr>
        <vertAlign val="superscript"/>
        <sz val="11"/>
        <rFont val="Arial"/>
        <family val="2"/>
      </rPr>
      <t>3</t>
    </r>
  </si>
  <si>
    <r>
      <t>Disposition and Recovery/Refund of Regulatory Balances (2019)</t>
    </r>
    <r>
      <rPr>
        <vertAlign val="superscript"/>
        <sz val="11"/>
        <rFont val="Arial"/>
        <family val="2"/>
      </rPr>
      <t>3</t>
    </r>
  </si>
  <si>
    <r>
      <t>Disposition and Recovery/Refund of Regulatory Balances (2018)</t>
    </r>
    <r>
      <rPr>
        <vertAlign val="superscript"/>
        <sz val="11"/>
        <rFont val="Arial"/>
        <family val="2"/>
      </rPr>
      <t>3</t>
    </r>
  </si>
  <si>
    <r>
      <t>Disposition and Recovery/Refund of Regulatory Balances (2017)</t>
    </r>
    <r>
      <rPr>
        <vertAlign val="superscript"/>
        <sz val="11"/>
        <rFont val="Arial"/>
        <family val="2"/>
      </rPr>
      <t>3</t>
    </r>
  </si>
  <si>
    <r>
      <t>Disposition and Recovery/Refund of Regulatory Balances (2016 and pre-2016)</t>
    </r>
    <r>
      <rPr>
        <vertAlign val="superscript"/>
        <sz val="11"/>
        <rFont val="Arial"/>
        <family val="2"/>
      </rPr>
      <t>3</t>
    </r>
  </si>
  <si>
    <r>
      <t>Disposition and Recovery/Refund of Regulatory Balances (2009)</t>
    </r>
    <r>
      <rPr>
        <vertAlign val="superscript"/>
        <sz val="11"/>
        <rFont val="Arial"/>
        <family val="2"/>
      </rPr>
      <t>3</t>
    </r>
  </si>
  <si>
    <r>
      <t>RSVA - Global Adjustment</t>
    </r>
    <r>
      <rPr>
        <vertAlign val="superscript"/>
        <sz val="11"/>
        <rFont val="Arial"/>
        <family val="2"/>
      </rPr>
      <t>4</t>
    </r>
  </si>
  <si>
    <r>
      <t>RSVA - Power</t>
    </r>
    <r>
      <rPr>
        <vertAlign val="superscript"/>
        <sz val="11"/>
        <rFont val="Arial"/>
        <family val="2"/>
      </rPr>
      <t>4</t>
    </r>
  </si>
  <si>
    <t>RSVA - Retail Transmission Connection Charge</t>
  </si>
  <si>
    <t>RSVA - Retail Transmission Network Charge</t>
  </si>
  <si>
    <r>
      <t>Variance WMS – Sub-account CBR Class B</t>
    </r>
    <r>
      <rPr>
        <vertAlign val="superscript"/>
        <sz val="11"/>
        <rFont val="Arial"/>
        <family val="2"/>
      </rPr>
      <t>5</t>
    </r>
  </si>
  <si>
    <r>
      <t>Variance WMS – Sub-account CBR Class A</t>
    </r>
    <r>
      <rPr>
        <vertAlign val="superscript"/>
        <sz val="11"/>
        <rFont val="Arial"/>
        <family val="2"/>
      </rPr>
      <t>5</t>
    </r>
  </si>
  <si>
    <r>
      <t>RSVA - Wholesale Market Service Charge</t>
    </r>
    <r>
      <rPr>
        <vertAlign val="superscript"/>
        <sz val="11"/>
        <rFont val="Arial"/>
        <family val="2"/>
      </rPr>
      <t>5</t>
    </r>
  </si>
  <si>
    <t>Smart Metering Entity Charge Variance Account</t>
  </si>
  <si>
    <t>LV Variance Account</t>
  </si>
  <si>
    <t>Group 1 Accounts</t>
  </si>
  <si>
    <t>Closing Interest Amounts as of Dec 31, 2015</t>
  </si>
  <si>
    <r>
      <t>Interest Adjustments</t>
    </r>
    <r>
      <rPr>
        <b/>
        <vertAlign val="superscript"/>
        <sz val="10"/>
        <rFont val="Book Antiqua"/>
        <family val="1"/>
      </rPr>
      <t>1</t>
    </r>
    <r>
      <rPr>
        <b/>
        <sz val="10"/>
        <rFont val="Book Antiqua"/>
        <family val="1"/>
      </rPr>
      <t xml:space="preserve"> during 2015</t>
    </r>
  </si>
  <si>
    <t>OEB-Approved Disposition during 2015</t>
  </si>
  <si>
    <t>Interest Jan 1 to Dec 31, 2015</t>
  </si>
  <si>
    <t>Opening Interest Amounts as of Jan 1, 2015</t>
  </si>
  <si>
    <t>Closing Principal Balance as of Dec 31, 2015</t>
  </si>
  <si>
    <r>
      <t>Principal Adjustments</t>
    </r>
    <r>
      <rPr>
        <b/>
        <vertAlign val="superscript"/>
        <sz val="10"/>
        <rFont val="Book Antiqua"/>
        <family val="1"/>
      </rPr>
      <t>1</t>
    </r>
    <r>
      <rPr>
        <b/>
        <sz val="10"/>
        <rFont val="Book Antiqua"/>
        <family val="1"/>
      </rPr>
      <t xml:space="preserve"> during 2015</t>
    </r>
  </si>
  <si>
    <t>Transactions Debit / (Credit) during 2015</t>
  </si>
  <si>
    <t>Opening Principal Amounts as of Jan 1, 2015</t>
  </si>
  <si>
    <t>Account Number</t>
  </si>
  <si>
    <t>Account Descriptions</t>
  </si>
  <si>
    <t>Please complete the following continuity schedule for the following Deferral/Variance Accounts.  Enter information into green cells only. Please see instructions tab for detailed instructions on how to complete tabs 3 to 7. Column BV has been prepopulated from the latest 2.1.7 RRR filing.
Please refer to the footnotes for further instructions.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</si>
</sst>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8">
    <numFmt numFmtId="5" formatCode="&quot;$&quot;#,##0_);\(&quot;$&quot;#,##0\)"/>
    <numFmt numFmtId="6" formatCode="&quot;$&quot;#,##0_);[Red]\(&quot;$&quot;#,##0\)"/>
    <numFmt numFmtId="8" formatCode="&quot;$&quot;#,##0.00_);[Red]\(&quot;$&quot;#,##0.00\)"/>
    <numFmt numFmtId="44" formatCode="_(&quot;$&quot;* #,##0.00_);_(&quot;$&quot;* \(#,##0.00\);_(&quot;$&quot;* &quot;-&quot;??_);_(@_)"/>
    <numFmt numFmtId="43" formatCode="_(* #,##0.00_);_(* \(#,##0.00\);_(* &quot;-&quot;??_);_(@_)"/>
    <numFmt numFmtId="164" formatCode="_-&quot;$&quot;* #,##0.00_-;\-&quot;$&quot;* #,##0.00_-;_-&quot;$&quot;* &quot;-&quot;??_-;_-@_-"/>
    <numFmt numFmtId="165" formatCode="_-\$* #,##0.00_-;&quot;-$&quot;* #,##0.00_-;_-\$* \-??_-;_-@_-"/>
    <numFmt numFmtId="166" formatCode="_-* #,##0.00_-;\-* #,##0.00_-;_-* \-??_-;_-@_-"/>
    <numFmt numFmtId="167" formatCode="_(* #,##0_);_(* \(#,##0\);_(* &quot;-&quot;??_);_(@_)"/>
    <numFmt numFmtId="168" formatCode="_(&quot;$&quot;* #,##0_);_(&quot;$&quot;* \(#,##0\);_(&quot;$&quot;* &quot;-&quot;??_);_(@_)"/>
    <numFmt numFmtId="169" formatCode="_(* #,##0.0000_);_(* \(#,##0.0000\);_(* &quot;-&quot;??_);_(@_)"/>
    <numFmt numFmtId="170" formatCode="_(* #,##0.00000_);_(* \(#,##0.00000\);_(* &quot;-&quot;??_);_(@_)"/>
    <numFmt numFmtId="171" formatCode="_(* #,##0.0_);_(* \(#,##0.0\);_(* &quot;-&quot;??_);_(@_)"/>
    <numFmt numFmtId="172" formatCode="_-* #,##0.00_-;\-* #,##0.00_-;_-* &quot;-&quot;??_-;_-@_-"/>
    <numFmt numFmtId="173" formatCode="#,##0.0"/>
    <numFmt numFmtId="174" formatCode="mm/dd/yyyy"/>
    <numFmt numFmtId="175" formatCode="0\-0"/>
    <numFmt numFmtId="176" formatCode="##\-#"/>
    <numFmt numFmtId="177" formatCode="&quot;£ &quot;#,##0.00;[Red]\-&quot;£ &quot;#,##0.00"/>
    <numFmt numFmtId="178" formatCode="_-* #,##0_-;\-* #,##0_-;_-* &quot;-&quot;??_-;_-@_-"/>
    <numFmt numFmtId="179" formatCode="0.0%"/>
    <numFmt numFmtId="181" formatCode="_-&quot;$&quot;* #,##0_-;\-&quot;$&quot;* #,##0_-;_-&quot;$&quot;* &quot;-&quot;??_-;_-@_-"/>
    <numFmt numFmtId="183" formatCode="0.00000"/>
    <numFmt numFmtId="185" formatCode="_-&quot;$&quot;* #,##0_-;_-&quot;$&quot;* \(#,##0\)_-;_-&quot;$&quot;* &quot;-&quot;??_-;_-@_-"/>
    <numFmt numFmtId="186" formatCode="0.0000"/>
    <numFmt numFmtId="187" formatCode="_-* #,##0_-;_-* \(#,##0\)_-;_-* &quot;-&quot;??_-;_-@_-"/>
    <numFmt numFmtId="188" formatCode="_ #,##0;[Red]\(#,##0\)"/>
    <numFmt numFmtId="189" formatCode="&quot;$&quot;#,##0;[Red]\(&quot;$&quot;#,##0\)"/>
  </numFmts>
  <fonts count="52" x14ac:knownFonts="1">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b/>
      <sz val="10"/>
      <name val="Arial"/>
      <family val="2"/>
      <charset val="1"/>
    </font>
    <font>
      <sz val="10"/>
      <name val="Mangal"/>
      <family val="2"/>
    </font>
    <font>
      <sz val="10"/>
      <name val="Mangal"/>
      <family val="2"/>
      <charset val="1"/>
    </font>
    <font>
      <sz val="11"/>
      <name val="Calibri"/>
      <family val="2"/>
      <scheme val="minor"/>
    </font>
    <font>
      <b/>
      <u/>
      <sz val="11"/>
      <name val="Calibri"/>
      <family val="2"/>
      <scheme val="minor"/>
    </font>
    <font>
      <b/>
      <sz val="1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8"/>
      <name val="Arial"/>
      <family val="2"/>
    </font>
    <font>
      <sz val="11"/>
      <color theme="1"/>
      <name val="Arial"/>
      <family val="2"/>
    </font>
    <font>
      <b/>
      <sz val="18"/>
      <color theme="3"/>
      <name val="Calibri Light"/>
      <family val="2"/>
      <scheme val="major"/>
    </font>
    <font>
      <u/>
      <sz val="8"/>
      <color rgb="FF0000FF"/>
      <name val="Calibri"/>
      <family val="2"/>
      <scheme val="minor"/>
    </font>
    <font>
      <u/>
      <sz val="8"/>
      <color rgb="FF800080"/>
      <name val="Calibri"/>
      <family val="2"/>
      <scheme val="minor"/>
    </font>
    <font>
      <sz val="11"/>
      <color theme="0"/>
      <name val="Arial"/>
      <family val="2"/>
    </font>
    <font>
      <sz val="11"/>
      <color rgb="FFFF0000"/>
      <name val="Arial"/>
      <family val="2"/>
    </font>
    <font>
      <b/>
      <u/>
      <sz val="11"/>
      <color theme="1"/>
      <name val="Arial"/>
      <family val="2"/>
    </font>
    <font>
      <b/>
      <sz val="11"/>
      <color theme="1"/>
      <name val="Arial"/>
      <family val="2"/>
    </font>
    <font>
      <b/>
      <vertAlign val="superscript"/>
      <sz val="12"/>
      <color theme="1"/>
      <name val="Arial"/>
      <family val="2"/>
    </font>
    <font>
      <b/>
      <vertAlign val="superscript"/>
      <sz val="11"/>
      <color theme="1"/>
      <name val="Arial"/>
      <family val="2"/>
    </font>
    <font>
      <b/>
      <u/>
      <sz val="11"/>
      <name val="Arial"/>
      <family val="2"/>
    </font>
    <font>
      <b/>
      <sz val="11"/>
      <name val="Arial"/>
      <family val="2"/>
    </font>
    <font>
      <sz val="11"/>
      <name val="Arial"/>
      <family val="2"/>
    </font>
    <font>
      <b/>
      <sz val="11"/>
      <color rgb="FFFF0000"/>
      <name val="Arial"/>
      <family val="2"/>
    </font>
    <font>
      <sz val="9"/>
      <name val="Arial"/>
      <family val="2"/>
    </font>
    <font>
      <vertAlign val="superscript"/>
      <sz val="11"/>
      <name val="Arial"/>
      <family val="2"/>
    </font>
    <font>
      <strike/>
      <sz val="10"/>
      <name val="Arial"/>
      <family val="2"/>
    </font>
    <font>
      <b/>
      <sz val="10"/>
      <name val="Arial"/>
      <family val="2"/>
    </font>
    <font>
      <b/>
      <sz val="11"/>
      <color indexed="12"/>
      <name val="Arial"/>
      <family val="2"/>
    </font>
    <font>
      <i/>
      <sz val="11"/>
      <color rgb="FFFF0000"/>
      <name val="Arial"/>
      <family val="2"/>
    </font>
    <font>
      <b/>
      <sz val="18"/>
      <name val="Arial"/>
      <family val="2"/>
    </font>
    <font>
      <b/>
      <sz val="10"/>
      <name val="Book Antiqua"/>
      <family val="1"/>
    </font>
    <font>
      <sz val="10"/>
      <name val="Book Antiqua"/>
      <family val="1"/>
    </font>
    <font>
      <b/>
      <sz val="16"/>
      <name val="Book Antiqua"/>
      <family val="1"/>
    </font>
    <font>
      <b/>
      <vertAlign val="superscript"/>
      <sz val="10"/>
      <name val="Book Antiqua"/>
      <family val="1"/>
    </font>
    <font>
      <b/>
      <sz val="22"/>
      <name val="Book Antiqua"/>
      <family val="1"/>
    </font>
    <font>
      <b/>
      <vertAlign val="superscript"/>
      <sz val="11"/>
      <name val="Arial"/>
      <family val="2"/>
    </font>
  </fonts>
  <fills count="42">
    <fill>
      <patternFill patternType="none"/>
    </fill>
    <fill>
      <patternFill patternType="gray125"/>
    </fill>
    <fill>
      <patternFill patternType="solid">
        <fgColor rgb="FFFFFFCC"/>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22"/>
        <bgColor indexed="64"/>
      </patternFill>
    </fill>
    <fill>
      <patternFill patternType="solid">
        <fgColor indexed="26"/>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theme="0"/>
        <bgColor indexed="64"/>
      </patternFill>
    </fill>
    <fill>
      <patternFill patternType="solid">
        <fgColor indexed="13"/>
        <bgColor indexed="64"/>
      </patternFill>
    </fill>
    <fill>
      <patternFill patternType="solid">
        <fgColor rgb="FFA6A6A6"/>
        <bgColor indexed="64"/>
      </patternFill>
    </fill>
    <fill>
      <patternFill patternType="solid">
        <fgColor rgb="FFEBF1DE"/>
        <bgColor indexed="64"/>
      </patternFill>
    </fill>
  </fills>
  <borders count="60">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medium">
        <color indexed="64"/>
      </top>
      <bottom/>
      <diagonal/>
    </border>
    <border>
      <left/>
      <right/>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style="thin">
        <color indexed="64"/>
      </top>
      <bottom/>
      <diagonal/>
    </border>
    <border>
      <left/>
      <right/>
      <top style="thin">
        <color indexed="64"/>
      </top>
      <bottom/>
      <diagonal/>
    </border>
    <border>
      <left/>
      <right/>
      <top/>
      <bottom style="double">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9"/>
      </left>
      <right style="medium">
        <color indexed="9"/>
      </right>
      <top style="medium">
        <color indexed="9"/>
      </top>
      <bottom style="medium">
        <color indexed="9"/>
      </bottom>
      <diagonal/>
    </border>
    <border>
      <left/>
      <right style="medium">
        <color indexed="9"/>
      </right>
      <top style="medium">
        <color indexed="9"/>
      </top>
      <bottom style="medium">
        <color indexed="9"/>
      </bottom>
      <diagonal/>
    </border>
    <border>
      <left/>
      <right/>
      <top style="medium">
        <color indexed="12"/>
      </top>
      <bottom/>
      <diagonal/>
    </border>
    <border>
      <left/>
      <right style="medium">
        <color indexed="64"/>
      </right>
      <top/>
      <bottom style="medium">
        <color indexed="12"/>
      </bottom>
      <diagonal/>
    </border>
    <border>
      <left/>
      <right/>
      <top/>
      <bottom style="medium">
        <color indexed="12"/>
      </bottom>
      <diagonal/>
    </border>
    <border>
      <left style="medium">
        <color indexed="64"/>
      </left>
      <right/>
      <top/>
      <bottom style="medium">
        <color indexed="12"/>
      </bottom>
      <diagonal/>
    </border>
    <border>
      <left/>
      <right/>
      <top style="medium">
        <color auto="1"/>
      </top>
      <bottom/>
      <diagonal/>
    </border>
  </borders>
  <cellStyleXfs count="320">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3" fillId="0" borderId="0"/>
    <xf numFmtId="9" fontId="5" fillId="0" borderId="0" applyFill="0" applyBorder="0" applyAlignment="0" applyProtection="0"/>
    <xf numFmtId="165" fontId="5" fillId="0" borderId="0" applyFill="0" applyBorder="0" applyAlignment="0" applyProtection="0"/>
    <xf numFmtId="0" fontId="1" fillId="0" borderId="0"/>
    <xf numFmtId="166" fontId="6" fillId="0" borderId="0" applyFill="0" applyBorder="0" applyAlignment="0" applyProtection="0"/>
    <xf numFmtId="9" fontId="6" fillId="0" borderId="0" applyFill="0" applyBorder="0" applyAlignment="0" applyProtection="0"/>
    <xf numFmtId="164" fontId="1" fillId="0" borderId="0" applyFont="0" applyFill="0" applyBorder="0" applyAlignment="0" applyProtection="0"/>
    <xf numFmtId="0" fontId="10" fillId="0" borderId="8" applyNumberFormat="0" applyFill="0" applyAlignment="0" applyProtection="0"/>
    <xf numFmtId="0" fontId="11" fillId="0" borderId="9" applyNumberFormat="0" applyFill="0" applyAlignment="0" applyProtection="0"/>
    <xf numFmtId="0" fontId="12" fillId="0" borderId="10" applyNumberFormat="0" applyFill="0" applyAlignment="0" applyProtection="0"/>
    <xf numFmtId="0" fontId="12" fillId="0" borderId="0" applyNumberFormat="0" applyFill="0" applyBorder="0" applyAlignment="0" applyProtection="0"/>
    <xf numFmtId="0" fontId="13" fillId="3" borderId="0" applyNumberFormat="0" applyBorder="0" applyAlignment="0" applyProtection="0"/>
    <xf numFmtId="0" fontId="14" fillId="4" borderId="0" applyNumberFormat="0" applyBorder="0" applyAlignment="0" applyProtection="0"/>
    <xf numFmtId="0" fontId="15" fillId="5" borderId="0" applyNumberFormat="0" applyBorder="0" applyAlignment="0" applyProtection="0"/>
    <xf numFmtId="0" fontId="16" fillId="6" borderId="11" applyNumberFormat="0" applyAlignment="0" applyProtection="0"/>
    <xf numFmtId="0" fontId="17" fillId="7" borderId="12" applyNumberFormat="0" applyAlignment="0" applyProtection="0"/>
    <xf numFmtId="0" fontId="18" fillId="7" borderId="11" applyNumberFormat="0" applyAlignment="0" applyProtection="0"/>
    <xf numFmtId="0" fontId="19" fillId="0" borderId="13" applyNumberFormat="0" applyFill="0" applyAlignment="0" applyProtection="0"/>
    <xf numFmtId="0" fontId="20" fillId="8" borderId="14" applyNumberFormat="0" applyAlignment="0" applyProtection="0"/>
    <xf numFmtId="0" fontId="21" fillId="0" borderId="0" applyNumberFormat="0" applyFill="0" applyBorder="0" applyAlignment="0" applyProtection="0"/>
    <xf numFmtId="0" fontId="1" fillId="9" borderId="15" applyNumberFormat="0" applyFont="0" applyAlignment="0" applyProtection="0"/>
    <xf numFmtId="0" fontId="22" fillId="0" borderId="0" applyNumberFormat="0" applyFill="0" applyBorder="0" applyAlignment="0" applyProtection="0"/>
    <xf numFmtId="0" fontId="2" fillId="0" borderId="16" applyNumberFormat="0" applyFill="0" applyAlignment="0" applyProtection="0"/>
    <xf numFmtId="0" fontId="23"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23" fillId="13" borderId="0" applyNumberFormat="0" applyBorder="0" applyAlignment="0" applyProtection="0"/>
    <xf numFmtId="0" fontId="23"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23" fillId="17" borderId="0" applyNumberFormat="0" applyBorder="0" applyAlignment="0" applyProtection="0"/>
    <xf numFmtId="0" fontId="23"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23" fillId="21" borderId="0" applyNumberFormat="0" applyBorder="0" applyAlignment="0" applyProtection="0"/>
    <xf numFmtId="0" fontId="23"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23" fillId="25" borderId="0" applyNumberFormat="0" applyBorder="0" applyAlignment="0" applyProtection="0"/>
    <xf numFmtId="0" fontId="23"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23" fillId="29" borderId="0" applyNumberFormat="0" applyBorder="0" applyAlignment="0" applyProtection="0"/>
    <xf numFmtId="0" fontId="23"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3" fillId="33" borderId="0" applyNumberFormat="0" applyBorder="0" applyAlignment="0" applyProtection="0"/>
    <xf numFmtId="171" fontId="3" fillId="0" borderId="0"/>
    <xf numFmtId="173" fontId="3" fillId="0" borderId="0"/>
    <xf numFmtId="174" fontId="3" fillId="0" borderId="0"/>
    <xf numFmtId="175" fontId="3" fillId="0" borderId="0"/>
    <xf numFmtId="3" fontId="3" fillId="0" borderId="0" applyFont="0" applyFill="0" applyBorder="0" applyAlignment="0" applyProtection="0"/>
    <xf numFmtId="5" fontId="3" fillId="0" borderId="0" applyFont="0" applyFill="0" applyBorder="0" applyAlignment="0" applyProtection="0"/>
    <xf numFmtId="14" fontId="3" fillId="0" borderId="0" applyFont="0" applyFill="0" applyBorder="0" applyAlignment="0" applyProtection="0"/>
    <xf numFmtId="2" fontId="3" fillId="0" borderId="0" applyFont="0" applyFill="0" applyBorder="0" applyAlignment="0" applyProtection="0"/>
    <xf numFmtId="38" fontId="24" fillId="34" borderId="0" applyNumberFormat="0" applyBorder="0" applyAlignment="0" applyProtection="0"/>
    <xf numFmtId="10" fontId="24" fillId="35" borderId="1" applyNumberFormat="0" applyBorder="0" applyAlignment="0" applyProtection="0"/>
    <xf numFmtId="176" fontId="3" fillId="0" borderId="0"/>
    <xf numFmtId="167" fontId="3" fillId="0" borderId="0"/>
    <xf numFmtId="177" fontId="3" fillId="0" borderId="0"/>
    <xf numFmtId="10" fontId="3" fillId="0" borderId="0" applyFont="0" applyFill="0" applyBorder="0" applyAlignment="0" applyProtection="0"/>
    <xf numFmtId="171" fontId="3" fillId="0" borderId="0"/>
    <xf numFmtId="176" fontId="3" fillId="0" borderId="0"/>
    <xf numFmtId="171" fontId="3" fillId="0" borderId="0"/>
    <xf numFmtId="176" fontId="3" fillId="0" borderId="0"/>
    <xf numFmtId="171" fontId="3" fillId="0" borderId="0"/>
    <xf numFmtId="174" fontId="3" fillId="0" borderId="0"/>
    <xf numFmtId="176" fontId="3" fillId="0" borderId="0"/>
    <xf numFmtId="171" fontId="3" fillId="0" borderId="0"/>
    <xf numFmtId="176" fontId="3" fillId="0" borderId="0"/>
    <xf numFmtId="44" fontId="3" fillId="0" borderId="0" applyFont="0" applyFill="0" applyBorder="0" applyAlignment="0" applyProtection="0"/>
    <xf numFmtId="9" fontId="3" fillId="0" borderId="0" applyFont="0" applyFill="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23" fillId="13" borderId="0" applyNumberFormat="0" applyBorder="0" applyAlignment="0" applyProtection="0"/>
    <xf numFmtId="0" fontId="23" fillId="17" borderId="0" applyNumberFormat="0" applyBorder="0" applyAlignment="0" applyProtection="0"/>
    <xf numFmtId="0" fontId="23" fillId="21" borderId="0" applyNumberFormat="0" applyBorder="0" applyAlignment="0" applyProtection="0"/>
    <xf numFmtId="0" fontId="23" fillId="25" borderId="0" applyNumberFormat="0" applyBorder="0" applyAlignment="0" applyProtection="0"/>
    <xf numFmtId="0" fontId="23" fillId="29" borderId="0" applyNumberFormat="0" applyBorder="0" applyAlignment="0" applyProtection="0"/>
    <xf numFmtId="0" fontId="23" fillId="33" borderId="0" applyNumberFormat="0" applyBorder="0" applyAlignment="0" applyProtection="0"/>
    <xf numFmtId="0" fontId="23" fillId="10" borderId="0" applyNumberFormat="0" applyBorder="0" applyAlignment="0" applyProtection="0"/>
    <xf numFmtId="0" fontId="23" fillId="14" borderId="0" applyNumberFormat="0" applyBorder="0" applyAlignment="0" applyProtection="0"/>
    <xf numFmtId="0" fontId="23" fillId="18" borderId="0" applyNumberFormat="0" applyBorder="0" applyAlignment="0" applyProtection="0"/>
    <xf numFmtId="0" fontId="23" fillId="22" borderId="0" applyNumberFormat="0" applyBorder="0" applyAlignment="0" applyProtection="0"/>
    <xf numFmtId="0" fontId="23" fillId="26" borderId="0" applyNumberFormat="0" applyBorder="0" applyAlignment="0" applyProtection="0"/>
    <xf numFmtId="0" fontId="23" fillId="30" borderId="0" applyNumberFormat="0" applyBorder="0" applyAlignment="0" applyProtection="0"/>
    <xf numFmtId="0" fontId="14" fillId="4" borderId="0" applyNumberFormat="0" applyBorder="0" applyAlignment="0" applyProtection="0"/>
    <xf numFmtId="0" fontId="18" fillId="7" borderId="11" applyNumberFormat="0" applyAlignment="0" applyProtection="0"/>
    <xf numFmtId="0" fontId="20" fillId="8" borderId="14" applyNumberFormat="0" applyAlignment="0" applyProtection="0"/>
    <xf numFmtId="43" fontId="1" fillId="0" borderId="0" applyFont="0" applyFill="0" applyBorder="0" applyAlignment="0" applyProtection="0"/>
    <xf numFmtId="43" fontId="1" fillId="0" borderId="0" applyFont="0" applyFill="0" applyBorder="0" applyAlignment="0" applyProtection="0"/>
    <xf numFmtId="0" fontId="22" fillId="0" borderId="0" applyNumberFormat="0" applyFill="0" applyBorder="0" applyAlignment="0" applyProtection="0"/>
    <xf numFmtId="0" fontId="13" fillId="3" borderId="0" applyNumberFormat="0" applyBorder="0" applyAlignment="0" applyProtection="0"/>
    <xf numFmtId="0" fontId="10" fillId="0" borderId="8" applyNumberFormat="0" applyFill="0" applyAlignment="0" applyProtection="0"/>
    <xf numFmtId="0" fontId="11" fillId="0" borderId="9" applyNumberFormat="0" applyFill="0" applyAlignment="0" applyProtection="0"/>
    <xf numFmtId="0" fontId="12" fillId="0" borderId="10" applyNumberFormat="0" applyFill="0" applyAlignment="0" applyProtection="0"/>
    <xf numFmtId="0" fontId="12" fillId="0" borderId="0" applyNumberFormat="0" applyFill="0" applyBorder="0" applyAlignment="0" applyProtection="0"/>
    <xf numFmtId="0" fontId="16" fillId="6" borderId="11" applyNumberFormat="0" applyAlignment="0" applyProtection="0"/>
    <xf numFmtId="0" fontId="19" fillId="0" borderId="13" applyNumberFormat="0" applyFill="0" applyAlignment="0" applyProtection="0"/>
    <xf numFmtId="0" fontId="15" fillId="5" borderId="0" applyNumberFormat="0" applyBorder="0" applyAlignment="0" applyProtection="0"/>
    <xf numFmtId="0" fontId="1" fillId="0" borderId="0"/>
    <xf numFmtId="0" fontId="1" fillId="0" borderId="0"/>
    <xf numFmtId="0" fontId="1" fillId="0" borderId="0"/>
    <xf numFmtId="0" fontId="1" fillId="9" borderId="15" applyNumberFormat="0" applyFont="0" applyAlignment="0" applyProtection="0"/>
    <xf numFmtId="0" fontId="17" fillId="7" borderId="12" applyNumberFormat="0" applyAlignment="0" applyProtection="0"/>
    <xf numFmtId="9" fontId="1" fillId="0" borderId="0" applyFont="0" applyFill="0" applyBorder="0" applyAlignment="0" applyProtection="0"/>
    <xf numFmtId="0" fontId="26" fillId="0" borderId="0" applyNumberFormat="0" applyFill="0" applyBorder="0" applyAlignment="0" applyProtection="0"/>
    <xf numFmtId="0" fontId="2" fillId="0" borderId="16" applyNumberFormat="0" applyFill="0" applyAlignment="0" applyProtection="0"/>
    <xf numFmtId="0" fontId="21" fillId="0" borderId="0" applyNumberFormat="0" applyFill="0" applyBorder="0" applyAlignment="0" applyProtection="0"/>
    <xf numFmtId="43" fontId="3" fillId="0" borderId="0" applyFont="0" applyFill="0" applyBorder="0" applyAlignment="0" applyProtection="0"/>
    <xf numFmtId="171" fontId="3" fillId="0" borderId="0"/>
    <xf numFmtId="176" fontId="3" fillId="0" borderId="0"/>
    <xf numFmtId="171" fontId="3" fillId="0" borderId="0"/>
    <xf numFmtId="176" fontId="3" fillId="0" borderId="0"/>
    <xf numFmtId="171" fontId="3" fillId="0" borderId="0"/>
    <xf numFmtId="176" fontId="3" fillId="0" borderId="0"/>
    <xf numFmtId="0" fontId="1" fillId="0" borderId="0"/>
    <xf numFmtId="43" fontId="1" fillId="0" borderId="0" applyFont="0" applyFill="0" applyBorder="0" applyAlignment="0" applyProtection="0"/>
    <xf numFmtId="44" fontId="3"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6"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3" fillId="0" borderId="0"/>
    <xf numFmtId="44"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9" borderId="15" applyNumberFormat="0" applyFont="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9" borderId="15" applyNumberFormat="0" applyFont="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9" fontId="1" fillId="0" borderId="0" applyFont="0" applyFill="0" applyBorder="0" applyAlignment="0" applyProtection="0"/>
    <xf numFmtId="172" fontId="1" fillId="0" borderId="0" applyFont="0" applyFill="0" applyBorder="0" applyAlignment="0" applyProtection="0"/>
    <xf numFmtId="9" fontId="1" fillId="0" borderId="0" applyFont="0" applyFill="0" applyBorder="0" applyAlignment="0" applyProtection="0"/>
    <xf numFmtId="172"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71" fontId="3" fillId="0" borderId="0"/>
    <xf numFmtId="171" fontId="3" fillId="0" borderId="0"/>
    <xf numFmtId="171" fontId="3" fillId="0" borderId="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176" fontId="3" fillId="0" borderId="0"/>
    <xf numFmtId="176" fontId="3" fillId="0" borderId="0"/>
    <xf numFmtId="176"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3" fillId="0" borderId="0"/>
    <xf numFmtId="171" fontId="3" fillId="0" borderId="0"/>
    <xf numFmtId="171" fontId="3" fillId="0" borderId="0"/>
    <xf numFmtId="176" fontId="3" fillId="0" borderId="0"/>
    <xf numFmtId="176" fontId="3" fillId="0" borderId="0"/>
    <xf numFmtId="176" fontId="3"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25" fillId="0" borderId="0"/>
    <xf numFmtId="0" fontId="1" fillId="0" borderId="0"/>
    <xf numFmtId="0" fontId="3" fillId="0" borderId="0"/>
    <xf numFmtId="172" fontId="1" fillId="0" borderId="0" applyFont="0" applyFill="0" applyBorder="0" applyAlignment="0" applyProtection="0"/>
    <xf numFmtId="9" fontId="1" fillId="0" borderId="0" applyFont="0" applyFill="0" applyBorder="0" applyAlignment="0" applyProtection="0"/>
    <xf numFmtId="44" fontId="25" fillId="0" borderId="0" applyFont="0" applyFill="0" applyBorder="0" applyAlignment="0" applyProtection="0"/>
    <xf numFmtId="164"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64" fontId="1" fillId="0" borderId="0" applyFont="0" applyFill="0" applyBorder="0" applyAlignment="0" applyProtection="0"/>
    <xf numFmtId="164" fontId="3" fillId="0" borderId="0" applyFont="0" applyFill="0" applyBorder="0" applyAlignment="0" applyProtection="0"/>
    <xf numFmtId="172" fontId="3" fillId="0" borderId="0" applyFont="0" applyFill="0" applyBorder="0" applyAlignment="0" applyProtection="0"/>
    <xf numFmtId="172" fontId="1" fillId="0" borderId="0" applyFont="0" applyFill="0" applyBorder="0" applyAlignment="0" applyProtection="0"/>
    <xf numFmtId="164" fontId="25" fillId="0" borderId="0" applyFont="0" applyFill="0" applyBorder="0" applyAlignment="0" applyProtection="0"/>
    <xf numFmtId="164" fontId="1" fillId="0" borderId="0" applyFont="0" applyFill="0" applyBorder="0" applyAlignment="0" applyProtection="0"/>
    <xf numFmtId="172" fontId="1" fillId="0" borderId="0" applyFont="0" applyFill="0" applyBorder="0" applyAlignment="0" applyProtection="0"/>
    <xf numFmtId="164" fontId="1" fillId="0" borderId="0" applyFont="0" applyFill="0" applyBorder="0" applyAlignment="0" applyProtection="0"/>
    <xf numFmtId="164" fontId="3" fillId="0" borderId="0" applyFont="0" applyFill="0" applyBorder="0" applyAlignment="0" applyProtection="0"/>
    <xf numFmtId="172" fontId="3" fillId="0" borderId="0" applyFont="0" applyFill="0" applyBorder="0" applyAlignment="0" applyProtection="0"/>
    <xf numFmtId="172" fontId="1" fillId="0" borderId="0" applyFont="0" applyFill="0" applyBorder="0" applyAlignment="0" applyProtection="0"/>
    <xf numFmtId="164" fontId="25" fillId="0" borderId="0" applyFont="0" applyFill="0" applyBorder="0" applyAlignment="0" applyProtection="0"/>
    <xf numFmtId="164" fontId="1" fillId="0" borderId="0" applyFont="0" applyFill="0" applyBorder="0" applyAlignment="0" applyProtection="0"/>
    <xf numFmtId="0" fontId="1" fillId="0" borderId="0"/>
    <xf numFmtId="164"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64" fontId="1" fillId="0" borderId="0" applyFont="0" applyFill="0" applyBorder="0" applyAlignment="0" applyProtection="0"/>
    <xf numFmtId="172" fontId="1" fillId="0" borderId="0" applyFont="0" applyFill="0" applyBorder="0" applyAlignment="0" applyProtection="0"/>
    <xf numFmtId="164"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64"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64" fontId="1" fillId="0" borderId="0" applyFont="0" applyFill="0" applyBorder="0" applyAlignment="0" applyProtection="0"/>
    <xf numFmtId="172"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72" fontId="1" fillId="0" borderId="0" applyFont="0" applyFill="0" applyBorder="0" applyAlignment="0" applyProtection="0"/>
    <xf numFmtId="0" fontId="1" fillId="0" borderId="0"/>
  </cellStyleXfs>
  <cellXfs count="372">
    <xf numFmtId="0" fontId="0" fillId="0" borderId="0" xfId="0"/>
    <xf numFmtId="0" fontId="2" fillId="0" borderId="0" xfId="0" applyFont="1"/>
    <xf numFmtId="0" fontId="2" fillId="0" borderId="2" xfId="0" applyFont="1" applyBorder="1" applyAlignment="1">
      <alignment horizontal="center"/>
    </xf>
    <xf numFmtId="170" fontId="0" fillId="0" borderId="0" xfId="1" applyNumberFormat="1" applyFont="1"/>
    <xf numFmtId="0" fontId="2" fillId="0" borderId="6" xfId="0" applyFont="1" applyBorder="1" applyAlignment="1">
      <alignment horizontal="center"/>
    </xf>
    <xf numFmtId="43" fontId="0" fillId="0" borderId="2" xfId="1" applyFont="1" applyBorder="1"/>
    <xf numFmtId="43" fontId="0" fillId="0" borderId="0" xfId="0" applyNumberFormat="1"/>
    <xf numFmtId="0" fontId="2" fillId="0" borderId="0" xfId="0" applyFont="1" applyAlignment="1">
      <alignment horizontal="center"/>
    </xf>
    <xf numFmtId="43" fontId="0" fillId="0" borderId="0" xfId="1" applyNumberFormat="1" applyFont="1"/>
    <xf numFmtId="43" fontId="0" fillId="0" borderId="2" xfId="1" applyNumberFormat="1" applyFont="1" applyBorder="1"/>
    <xf numFmtId="0" fontId="2" fillId="0" borderId="7" xfId="0" applyFont="1" applyBorder="1" applyAlignment="1">
      <alignment horizontal="center"/>
    </xf>
    <xf numFmtId="0" fontId="0" fillId="0" borderId="0" xfId="0" applyFont="1"/>
    <xf numFmtId="168" fontId="0" fillId="0" borderId="0" xfId="0" applyNumberFormat="1" applyFont="1" applyBorder="1"/>
    <xf numFmtId="168" fontId="0" fillId="0" borderId="6" xfId="0" applyNumberFormat="1" applyFont="1" applyBorder="1"/>
    <xf numFmtId="43" fontId="0" fillId="0" borderId="6" xfId="0" applyNumberFormat="1" applyFont="1" applyBorder="1"/>
    <xf numFmtId="0" fontId="8" fillId="0" borderId="0" xfId="4" applyFont="1" applyBorder="1"/>
    <xf numFmtId="0" fontId="7" fillId="0" borderId="0" xfId="4" applyFont="1" applyFill="1" applyBorder="1" applyAlignment="1" applyProtection="1">
      <alignment vertical="center"/>
    </xf>
    <xf numFmtId="0" fontId="9" fillId="0" borderId="0" xfId="4" applyFont="1" applyFill="1" applyBorder="1" applyAlignment="1" applyProtection="1">
      <alignment vertical="center"/>
    </xf>
    <xf numFmtId="169" fontId="0" fillId="0" borderId="0" xfId="1" applyNumberFormat="1" applyFont="1" applyAlignment="1">
      <alignment horizontal="center"/>
    </xf>
    <xf numFmtId="167" fontId="2" fillId="0" borderId="6" xfId="0" applyNumberFormat="1" applyFont="1" applyBorder="1"/>
    <xf numFmtId="0" fontId="2" fillId="0" borderId="0" xfId="0" applyFont="1" applyBorder="1" applyAlignment="1">
      <alignment horizontal="center"/>
    </xf>
    <xf numFmtId="0" fontId="2" fillId="0" borderId="0" xfId="0" applyFont="1" applyBorder="1" applyAlignment="1"/>
    <xf numFmtId="170" fontId="0" fillId="0" borderId="0" xfId="1" applyNumberFormat="1" applyFont="1" applyFill="1"/>
    <xf numFmtId="167" fontId="0" fillId="2" borderId="0" xfId="1" applyNumberFormat="1" applyFont="1" applyFill="1"/>
    <xf numFmtId="167" fontId="0" fillId="2" borderId="2" xfId="1" applyNumberFormat="1" applyFont="1" applyFill="1" applyBorder="1"/>
    <xf numFmtId="170" fontId="0" fillId="2" borderId="0" xfId="1" applyNumberFormat="1" applyFont="1" applyFill="1"/>
    <xf numFmtId="168" fontId="0" fillId="2" borderId="2" xfId="2" applyNumberFormat="1" applyFont="1" applyFill="1" applyBorder="1"/>
    <xf numFmtId="43" fontId="0" fillId="2" borderId="0" xfId="1" applyFont="1" applyFill="1" applyBorder="1"/>
    <xf numFmtId="43" fontId="0" fillId="2" borderId="2" xfId="1" applyFont="1" applyFill="1" applyBorder="1"/>
    <xf numFmtId="0" fontId="4" fillId="0" borderId="6" xfId="4" applyFont="1" applyBorder="1"/>
    <xf numFmtId="15" fontId="2" fillId="0" borderId="6" xfId="0" applyNumberFormat="1" applyFont="1" applyBorder="1" applyAlignment="1">
      <alignment horizontal="center"/>
    </xf>
    <xf numFmtId="0" fontId="0" fillId="0" borderId="0" xfId="0" applyAlignment="1">
      <alignment horizontal="center"/>
    </xf>
    <xf numFmtId="170" fontId="0" fillId="0" borderId="0" xfId="1" applyNumberFormat="1" applyFont="1" applyAlignment="1">
      <alignment horizontal="center"/>
    </xf>
    <xf numFmtId="43" fontId="0" fillId="0" borderId="0" xfId="1" applyFont="1"/>
    <xf numFmtId="43" fontId="0" fillId="0" borderId="0" xfId="1" applyFont="1" applyFill="1"/>
    <xf numFmtId="43" fontId="0" fillId="0" borderId="6" xfId="0" applyNumberFormat="1" applyBorder="1"/>
    <xf numFmtId="10" fontId="0" fillId="0" borderId="4" xfId="3" applyNumberFormat="1" applyFont="1" applyBorder="1"/>
    <xf numFmtId="43" fontId="0" fillId="0" borderId="2" xfId="0" applyNumberFormat="1" applyBorder="1"/>
    <xf numFmtId="0" fontId="3" fillId="0" borderId="0" xfId="4" applyFont="1" applyFill="1" applyBorder="1" applyAlignment="1" applyProtection="1">
      <alignment horizontal="center"/>
    </xf>
    <xf numFmtId="0" fontId="0" fillId="0" borderId="0" xfId="0"/>
    <xf numFmtId="0" fontId="2" fillId="0" borderId="6" xfId="0" applyFont="1" applyFill="1" applyBorder="1" applyAlignment="1">
      <alignment horizontal="center"/>
    </xf>
    <xf numFmtId="43" fontId="0" fillId="0" borderId="18" xfId="0" applyNumberFormat="1" applyBorder="1"/>
    <xf numFmtId="0" fontId="2" fillId="0" borderId="0" xfId="0" applyFont="1"/>
    <xf numFmtId="15" fontId="2" fillId="0" borderId="0" xfId="0" applyNumberFormat="1" applyFont="1" applyBorder="1" applyAlignment="1">
      <alignment horizontal="center"/>
    </xf>
    <xf numFmtId="170" fontId="7" fillId="0" borderId="0" xfId="1" applyNumberFormat="1" applyFont="1" applyFill="1" applyBorder="1" applyAlignment="1" applyProtection="1">
      <alignment vertical="center"/>
    </xf>
    <xf numFmtId="170" fontId="0" fillId="0" borderId="0" xfId="1" applyNumberFormat="1" applyFont="1" applyFill="1" applyBorder="1"/>
    <xf numFmtId="0" fontId="2" fillId="0" borderId="18" xfId="0" applyFont="1" applyBorder="1" applyAlignment="1">
      <alignment horizontal="center"/>
    </xf>
    <xf numFmtId="43" fontId="0" fillId="0" borderId="0" xfId="1" applyFont="1" applyFill="1" applyBorder="1"/>
    <xf numFmtId="15" fontId="2" fillId="0" borderId="0" xfId="0" applyNumberFormat="1" applyFont="1" applyFill="1" applyBorder="1" applyAlignment="1">
      <alignment horizontal="center"/>
    </xf>
    <xf numFmtId="0" fontId="2" fillId="0" borderId="0" xfId="0" applyFont="1" applyAlignment="1"/>
    <xf numFmtId="0" fontId="2" fillId="0" borderId="0" xfId="0" applyFont="1" applyFill="1" applyBorder="1" applyAlignment="1">
      <alignment horizontal="center"/>
    </xf>
    <xf numFmtId="43" fontId="0" fillId="0" borderId="0" xfId="0" applyNumberFormat="1" applyFill="1" applyBorder="1"/>
    <xf numFmtId="0" fontId="0" fillId="0" borderId="0" xfId="0" applyFill="1" applyBorder="1"/>
    <xf numFmtId="10" fontId="0" fillId="0" borderId="0" xfId="3" applyNumberFormat="1" applyFont="1" applyFill="1" applyBorder="1"/>
    <xf numFmtId="0" fontId="0" fillId="0" borderId="0" xfId="0" applyAlignment="1">
      <alignment wrapText="1"/>
    </xf>
    <xf numFmtId="0" fontId="8" fillId="0" borderId="0" xfId="4" applyFont="1" applyFill="1" applyBorder="1"/>
    <xf numFmtId="0" fontId="0" fillId="0" borderId="0" xfId="0" applyFont="1" applyFill="1"/>
    <xf numFmtId="167" fontId="0" fillId="0" borderId="0" xfId="1" applyNumberFormat="1" applyFont="1" applyFill="1" applyBorder="1"/>
    <xf numFmtId="0" fontId="0" fillId="0" borderId="0" xfId="0" applyFont="1" applyFill="1" applyBorder="1"/>
    <xf numFmtId="167" fontId="2" fillId="0" borderId="0" xfId="0" applyNumberFormat="1" applyFont="1" applyFill="1" applyBorder="1"/>
    <xf numFmtId="43" fontId="0" fillId="0" borderId="0" xfId="1" applyNumberFormat="1" applyFont="1" applyBorder="1"/>
    <xf numFmtId="0" fontId="0" fillId="0" borderId="0" xfId="0" applyFont="1" applyBorder="1"/>
    <xf numFmtId="168" fontId="0" fillId="0" borderId="0" xfId="2" applyNumberFormat="1" applyFont="1" applyBorder="1"/>
    <xf numFmtId="168" fontId="0" fillId="0" borderId="0" xfId="2" applyNumberFormat="1" applyFont="1" applyFill="1" applyBorder="1"/>
    <xf numFmtId="168" fontId="0" fillId="0" borderId="0" xfId="0" applyNumberFormat="1" applyFont="1" applyFill="1" applyBorder="1"/>
    <xf numFmtId="167" fontId="0" fillId="0" borderId="0" xfId="1" applyNumberFormat="1" applyFont="1" applyBorder="1"/>
    <xf numFmtId="10" fontId="1" fillId="0" borderId="0" xfId="3" applyNumberFormat="1" applyFont="1" applyBorder="1"/>
    <xf numFmtId="43" fontId="0" fillId="2" borderId="6" xfId="0" applyNumberFormat="1" applyFont="1" applyFill="1" applyBorder="1"/>
    <xf numFmtId="0" fontId="0" fillId="0" borderId="0" xfId="0" applyBorder="1"/>
    <xf numFmtId="43" fontId="0" fillId="0" borderId="0" xfId="1" applyFont="1" applyBorder="1"/>
    <xf numFmtId="43" fontId="3" fillId="2" borderId="0" xfId="1" applyFont="1" applyFill="1" applyProtection="1"/>
    <xf numFmtId="43" fontId="3" fillId="2" borderId="2" xfId="1" applyFont="1" applyFill="1" applyBorder="1" applyProtection="1"/>
    <xf numFmtId="43" fontId="0" fillId="2" borderId="0" xfId="1" applyFont="1" applyFill="1"/>
    <xf numFmtId="170" fontId="7" fillId="2" borderId="0" xfId="1" applyNumberFormat="1" applyFont="1" applyFill="1" applyBorder="1" applyAlignment="1" applyProtection="1">
      <alignment vertical="center"/>
    </xf>
    <xf numFmtId="0" fontId="0" fillId="2" borderId="0" xfId="1" applyNumberFormat="1" applyFont="1" applyFill="1" applyAlignment="1">
      <alignment horizontal="center"/>
    </xf>
    <xf numFmtId="0" fontId="2" fillId="0" borderId="0" xfId="0" applyFont="1" applyFill="1" applyBorder="1" applyAlignment="1"/>
    <xf numFmtId="43" fontId="0" fillId="0" borderId="0" xfId="0" applyNumberFormat="1" applyBorder="1"/>
    <xf numFmtId="10" fontId="0" fillId="0" borderId="0" xfId="3" applyNumberFormat="1" applyFont="1" applyBorder="1"/>
    <xf numFmtId="39" fontId="7" fillId="2" borderId="0" xfId="318" applyNumberFormat="1" applyFont="1" applyFill="1"/>
    <xf numFmtId="39" fontId="7" fillId="2" borderId="0" xfId="319" applyNumberFormat="1" applyFont="1" applyFill="1"/>
    <xf numFmtId="39" fontId="7" fillId="2" borderId="2" xfId="319" applyNumberFormat="1" applyFont="1" applyFill="1" applyBorder="1"/>
    <xf numFmtId="43" fontId="0" fillId="2" borderId="17" xfId="1" applyFont="1" applyFill="1" applyBorder="1"/>
    <xf numFmtId="0" fontId="0" fillId="0" borderId="0" xfId="1" applyNumberFormat="1" applyFont="1" applyFill="1" applyBorder="1" applyAlignment="1">
      <alignment horizontal="center"/>
    </xf>
    <xf numFmtId="0" fontId="25" fillId="0" borderId="0" xfId="0" applyFont="1"/>
    <xf numFmtId="0" fontId="29" fillId="0" borderId="0" xfId="0" applyFont="1"/>
    <xf numFmtId="0" fontId="31" fillId="0" borderId="0" xfId="0" applyFont="1"/>
    <xf numFmtId="0" fontId="30" fillId="0" borderId="0" xfId="0" applyFont="1"/>
    <xf numFmtId="0" fontId="32" fillId="0" borderId="19" xfId="0" applyFont="1" applyBorder="1" applyAlignment="1">
      <alignment horizontal="center"/>
    </xf>
    <xf numFmtId="0" fontId="25" fillId="0" borderId="0" xfId="0" applyFont="1" applyAlignment="1">
      <alignment wrapText="1"/>
    </xf>
    <xf numFmtId="0" fontId="32" fillId="0" borderId="22" xfId="0" applyFont="1" applyBorder="1" applyAlignment="1">
      <alignment horizontal="center" wrapText="1"/>
    </xf>
    <xf numFmtId="0" fontId="32" fillId="0" borderId="23" xfId="0" applyFont="1" applyBorder="1" applyAlignment="1">
      <alignment horizontal="center" wrapText="1"/>
    </xf>
    <xf numFmtId="0" fontId="32" fillId="0" borderId="24" xfId="0" applyFont="1" applyBorder="1" applyAlignment="1">
      <alignment horizontal="center" wrapText="1"/>
    </xf>
    <xf numFmtId="0" fontId="32" fillId="0" borderId="25" xfId="0" applyFont="1" applyBorder="1" applyAlignment="1">
      <alignment horizontal="center" wrapText="1"/>
    </xf>
    <xf numFmtId="0" fontId="25" fillId="0" borderId="27" xfId="0" applyFont="1" applyBorder="1" applyAlignment="1">
      <alignment horizontal="center"/>
    </xf>
    <xf numFmtId="178" fontId="25" fillId="36" borderId="1" xfId="286" applyNumberFormat="1" applyFont="1" applyFill="1" applyBorder="1" applyAlignment="1" applyProtection="1">
      <alignment horizontal="center"/>
      <protection locked="0"/>
    </xf>
    <xf numFmtId="178" fontId="25" fillId="0" borderId="1" xfId="286" applyNumberFormat="1" applyFont="1" applyFill="1" applyBorder="1" applyAlignment="1">
      <alignment horizontal="center"/>
    </xf>
    <xf numFmtId="179" fontId="25" fillId="0" borderId="28" xfId="3" applyNumberFormat="1" applyFont="1" applyFill="1" applyBorder="1" applyAlignment="1">
      <alignment horizontal="center"/>
    </xf>
    <xf numFmtId="0" fontId="30" fillId="0" borderId="0" xfId="0" applyFont="1" applyAlignment="1">
      <alignment wrapText="1"/>
    </xf>
    <xf numFmtId="0" fontId="30" fillId="0" borderId="0" xfId="0" applyFont="1" applyAlignment="1">
      <alignment horizontal="left" wrapText="1"/>
    </xf>
    <xf numFmtId="0" fontId="25" fillId="0" borderId="29" xfId="0" applyFont="1" applyBorder="1"/>
    <xf numFmtId="0" fontId="25" fillId="0" borderId="25" xfId="0" applyFont="1" applyBorder="1" applyAlignment="1">
      <alignment horizontal="center"/>
    </xf>
    <xf numFmtId="0" fontId="32" fillId="0" borderId="30" xfId="0" applyFont="1" applyBorder="1" applyAlignment="1">
      <alignment horizontal="center"/>
    </xf>
    <xf numFmtId="178" fontId="32" fillId="0" borderId="31" xfId="286" applyNumberFormat="1" applyFont="1" applyFill="1" applyBorder="1" applyAlignment="1">
      <alignment horizontal="center"/>
    </xf>
    <xf numFmtId="179" fontId="32" fillId="0" borderId="32" xfId="3" applyNumberFormat="1" applyFont="1" applyFill="1" applyBorder="1" applyAlignment="1">
      <alignment horizontal="center"/>
    </xf>
    <xf numFmtId="0" fontId="32" fillId="0" borderId="0" xfId="0" applyFont="1" applyAlignment="1">
      <alignment horizontal="center"/>
    </xf>
    <xf numFmtId="178" fontId="32" fillId="0" borderId="0" xfId="286" applyNumberFormat="1" applyFont="1" applyFill="1" applyBorder="1" applyAlignment="1">
      <alignment horizontal="center"/>
    </xf>
    <xf numFmtId="179" fontId="32" fillId="0" borderId="0" xfId="3" applyNumberFormat="1" applyFont="1" applyFill="1" applyBorder="1" applyAlignment="1">
      <alignment horizontal="center"/>
    </xf>
    <xf numFmtId="0" fontId="25" fillId="0" borderId="0" xfId="0" applyFont="1" applyAlignment="1">
      <alignment horizontal="center"/>
    </xf>
    <xf numFmtId="178" fontId="25" fillId="0" borderId="0" xfId="286" applyNumberFormat="1" applyFont="1" applyFill="1" applyBorder="1" applyAlignment="1">
      <alignment horizontal="center"/>
    </xf>
    <xf numFmtId="0" fontId="32" fillId="0" borderId="0" xfId="0" applyFont="1"/>
    <xf numFmtId="0" fontId="35" fillId="0" borderId="0" xfId="0" applyFont="1"/>
    <xf numFmtId="0" fontId="31" fillId="0" borderId="0" xfId="0" applyFont="1" applyAlignment="1">
      <alignment horizontal="center"/>
    </xf>
    <xf numFmtId="181" fontId="25" fillId="0" borderId="0" xfId="2" applyNumberFormat="1" applyFont="1" applyFill="1"/>
    <xf numFmtId="0" fontId="36" fillId="0" borderId="1" xfId="0" applyFont="1" applyBorder="1" applyAlignment="1">
      <alignment horizontal="center" vertical="center" wrapText="1"/>
    </xf>
    <xf numFmtId="0" fontId="37" fillId="0" borderId="1" xfId="0" applyFont="1" applyBorder="1" applyAlignment="1">
      <alignment horizontal="left" vertical="center"/>
    </xf>
    <xf numFmtId="0" fontId="37" fillId="0" borderId="0" xfId="0" applyFont="1"/>
    <xf numFmtId="0" fontId="36" fillId="0" borderId="1" xfId="0" applyFont="1" applyBorder="1" applyAlignment="1">
      <alignment horizontal="center" vertical="center"/>
    </xf>
    <xf numFmtId="0" fontId="36" fillId="0" borderId="0" xfId="0" applyFont="1" applyAlignment="1">
      <alignment vertical="center"/>
    </xf>
    <xf numFmtId="0" fontId="35" fillId="0" borderId="0" xfId="0" applyFont="1" applyAlignment="1">
      <alignment vertical="center"/>
    </xf>
    <xf numFmtId="183" fontId="25" fillId="0" borderId="0" xfId="0" applyNumberFormat="1" applyFont="1"/>
    <xf numFmtId="0" fontId="36" fillId="0" borderId="0" xfId="0" applyFont="1"/>
    <xf numFmtId="9" fontId="25" fillId="0" borderId="0" xfId="3" applyFont="1" applyBorder="1"/>
    <xf numFmtId="44" fontId="25" fillId="0" borderId="0" xfId="2" applyFont="1" applyBorder="1"/>
    <xf numFmtId="9" fontId="30" fillId="0" borderId="0" xfId="3" applyFont="1" applyBorder="1"/>
    <xf numFmtId="179" fontId="25" fillId="0" borderId="40" xfId="3" applyNumberFormat="1" applyFont="1" applyBorder="1"/>
    <xf numFmtId="0" fontId="36" fillId="0" borderId="0" xfId="0" applyFont="1" applyAlignment="1">
      <alignment wrapText="1"/>
    </xf>
    <xf numFmtId="185" fontId="25" fillId="0" borderId="0" xfId="2" applyNumberFormat="1" applyFont="1" applyBorder="1"/>
    <xf numFmtId="44" fontId="25" fillId="0" borderId="0" xfId="2" applyFont="1"/>
    <xf numFmtId="185" fontId="25" fillId="0" borderId="0" xfId="2" applyNumberFormat="1" applyFont="1"/>
    <xf numFmtId="185" fontId="25" fillId="0" borderId="39" xfId="2" applyNumberFormat="1" applyFont="1" applyBorder="1"/>
    <xf numFmtId="0" fontId="32" fillId="0" borderId="0" xfId="0" applyFont="1" applyAlignment="1">
      <alignment wrapText="1"/>
    </xf>
    <xf numFmtId="0" fontId="25" fillId="0" borderId="0" xfId="0" applyFont="1" applyAlignment="1">
      <alignment horizontal="right"/>
    </xf>
    <xf numFmtId="0" fontId="25" fillId="37" borderId="1" xfId="0" applyFont="1" applyFill="1" applyBorder="1" applyProtection="1">
      <protection locked="0"/>
    </xf>
    <xf numFmtId="44" fontId="25" fillId="36" borderId="23" xfId="2" applyFont="1" applyFill="1" applyBorder="1" applyAlignment="1" applyProtection="1">
      <alignment horizontal="center"/>
      <protection locked="0"/>
    </xf>
    <xf numFmtId="0" fontId="25" fillId="36" borderId="1" xfId="0" applyFont="1" applyFill="1" applyBorder="1" applyAlignment="1" applyProtection="1">
      <alignment wrapText="1"/>
      <protection locked="0"/>
    </xf>
    <xf numFmtId="0" fontId="25" fillId="0" borderId="1" xfId="0" applyFont="1" applyBorder="1" applyAlignment="1">
      <alignment horizontal="right"/>
    </xf>
    <xf numFmtId="0" fontId="25" fillId="0" borderId="1" xfId="0" applyFont="1" applyBorder="1" applyAlignment="1">
      <alignment wrapText="1"/>
    </xf>
    <xf numFmtId="0" fontId="37" fillId="38" borderId="1" xfId="0" applyFont="1" applyFill="1" applyBorder="1" applyAlignment="1">
      <alignment wrapText="1"/>
    </xf>
    <xf numFmtId="0" fontId="37" fillId="0" borderId="1" xfId="0" applyFont="1" applyBorder="1" applyAlignment="1">
      <alignment wrapText="1"/>
    </xf>
    <xf numFmtId="0" fontId="37" fillId="0" borderId="1" xfId="0" applyFont="1" applyBorder="1" applyAlignment="1">
      <alignment horizontal="right"/>
    </xf>
    <xf numFmtId="0" fontId="36" fillId="0" borderId="23" xfId="0" applyFont="1" applyBorder="1" applyAlignment="1">
      <alignment horizontal="center" wrapText="1"/>
    </xf>
    <xf numFmtId="0" fontId="32" fillId="0" borderId="1" xfId="0" applyFont="1" applyBorder="1" applyAlignment="1">
      <alignment horizontal="center"/>
    </xf>
    <xf numFmtId="0" fontId="25" fillId="0" borderId="1" xfId="0" applyFont="1" applyBorder="1"/>
    <xf numFmtId="164" fontId="25" fillId="0" borderId="0" xfId="0" applyNumberFormat="1" applyFont="1"/>
    <xf numFmtId="43" fontId="25" fillId="0" borderId="0" xfId="1" applyFont="1"/>
    <xf numFmtId="0" fontId="25" fillId="0" borderId="0" xfId="0" applyFont="1" applyAlignment="1">
      <alignment horizontal="left"/>
    </xf>
    <xf numFmtId="186" fontId="32" fillId="0" borderId="0" xfId="3" applyNumberFormat="1" applyFont="1" applyFill="1"/>
    <xf numFmtId="181" fontId="32" fillId="0" borderId="0" xfId="10" applyNumberFormat="1" applyFont="1" applyBorder="1" applyAlignment="1">
      <alignment horizontal="left" wrapText="1"/>
    </xf>
    <xf numFmtId="0" fontId="25" fillId="36" borderId="2" xfId="0" applyFont="1" applyFill="1" applyBorder="1" applyAlignment="1" applyProtection="1">
      <alignment horizontal="center"/>
      <protection locked="0"/>
    </xf>
    <xf numFmtId="181" fontId="32" fillId="0" borderId="0" xfId="2" applyNumberFormat="1" applyFont="1" applyBorder="1"/>
    <xf numFmtId="185" fontId="36" fillId="0" borderId="7" xfId="10" applyNumberFormat="1" applyFont="1" applyBorder="1"/>
    <xf numFmtId="185" fontId="36" fillId="0" borderId="4" xfId="10" applyNumberFormat="1" applyFont="1" applyBorder="1" applyAlignment="1">
      <alignment horizontal="right"/>
    </xf>
    <xf numFmtId="0" fontId="38" fillId="0" borderId="3" xfId="0" applyFont="1" applyBorder="1"/>
    <xf numFmtId="185" fontId="38" fillId="0" borderId="0" xfId="10" applyNumberFormat="1" applyFont="1" applyBorder="1"/>
    <xf numFmtId="0" fontId="38" fillId="0" borderId="0" xfId="0" applyFont="1"/>
    <xf numFmtId="185" fontId="37" fillId="0" borderId="41" xfId="10" applyNumberFormat="1" applyFont="1" applyBorder="1"/>
    <xf numFmtId="183" fontId="37" fillId="36" borderId="42" xfId="0" applyNumberFormat="1" applyFont="1" applyFill="1" applyBorder="1" applyAlignment="1" applyProtection="1">
      <alignment wrapText="1"/>
      <protection locked="0"/>
    </xf>
    <xf numFmtId="178" fontId="37" fillId="0" borderId="42" xfId="1" applyNumberFormat="1" applyFont="1" applyBorder="1"/>
    <xf numFmtId="178" fontId="37" fillId="36" borderId="43" xfId="1" applyNumberFormat="1" applyFont="1" applyFill="1" applyBorder="1" applyProtection="1">
      <protection locked="0"/>
    </xf>
    <xf numFmtId="185" fontId="36" fillId="0" borderId="28" xfId="10" quotePrefix="1" applyNumberFormat="1" applyFont="1" applyBorder="1" applyAlignment="1">
      <alignment horizontal="center"/>
    </xf>
    <xf numFmtId="185" fontId="36" fillId="0" borderId="1" xfId="10" applyNumberFormat="1" applyFont="1" applyBorder="1" applyAlignment="1">
      <alignment horizontal="center"/>
    </xf>
    <xf numFmtId="0" fontId="36" fillId="0" borderId="1" xfId="0" quotePrefix="1" applyFont="1" applyBorder="1" applyAlignment="1">
      <alignment horizontal="center"/>
    </xf>
    <xf numFmtId="187" fontId="36" fillId="0" borderId="1" xfId="1" applyNumberFormat="1" applyFont="1" applyBorder="1" applyAlignment="1">
      <alignment horizontal="center"/>
    </xf>
    <xf numFmtId="187" fontId="36" fillId="0" borderId="27" xfId="1" applyNumberFormat="1" applyFont="1" applyBorder="1" applyAlignment="1">
      <alignment horizontal="center"/>
    </xf>
    <xf numFmtId="185" fontId="36" fillId="0" borderId="44" xfId="10" applyNumberFormat="1" applyFont="1" applyBorder="1" applyAlignment="1">
      <alignment horizontal="center" wrapText="1"/>
    </xf>
    <xf numFmtId="185" fontId="36" fillId="0" borderId="45" xfId="10" applyNumberFormat="1" applyFont="1" applyBorder="1" applyAlignment="1">
      <alignment horizontal="center" wrapText="1"/>
    </xf>
    <xf numFmtId="0" fontId="36" fillId="0" borderId="45" xfId="0" applyFont="1" applyBorder="1" applyAlignment="1">
      <alignment horizontal="center" wrapText="1"/>
    </xf>
    <xf numFmtId="187" fontId="36" fillId="0" borderId="45" xfId="1" applyNumberFormat="1" applyFont="1" applyBorder="1" applyAlignment="1">
      <alignment horizontal="center" wrapText="1"/>
    </xf>
    <xf numFmtId="187" fontId="36" fillId="0" borderId="46" xfId="1" applyNumberFormat="1" applyFont="1" applyBorder="1" applyAlignment="1">
      <alignment horizontal="center" wrapText="1"/>
    </xf>
    <xf numFmtId="187" fontId="32" fillId="0" borderId="0" xfId="1" applyNumberFormat="1" applyFont="1" applyBorder="1"/>
    <xf numFmtId="0" fontId="37" fillId="0" borderId="0" xfId="0" applyFont="1" applyAlignment="1">
      <alignment horizontal="right"/>
    </xf>
    <xf numFmtId="185" fontId="32" fillId="0" borderId="41" xfId="2" applyNumberFormat="1" applyFont="1" applyBorder="1"/>
    <xf numFmtId="185" fontId="32" fillId="0" borderId="42" xfId="2" applyNumberFormat="1" applyFont="1" applyBorder="1"/>
    <xf numFmtId="0" fontId="32" fillId="0" borderId="42" xfId="0" applyFont="1" applyBorder="1"/>
    <xf numFmtId="187" fontId="32" fillId="0" borderId="42" xfId="1" applyNumberFormat="1" applyFont="1" applyBorder="1"/>
    <xf numFmtId="0" fontId="36" fillId="0" borderId="43" xfId="0" applyFont="1" applyBorder="1" applyAlignment="1">
      <alignment wrapText="1"/>
    </xf>
    <xf numFmtId="185" fontId="25" fillId="0" borderId="28" xfId="2" applyNumberFormat="1" applyFont="1" applyBorder="1"/>
    <xf numFmtId="185" fontId="25" fillId="0" borderId="1" xfId="2" applyNumberFormat="1" applyFont="1" applyBorder="1"/>
    <xf numFmtId="183" fontId="25" fillId="0" borderId="1" xfId="0" applyNumberFormat="1" applyFont="1" applyBorder="1"/>
    <xf numFmtId="185" fontId="25" fillId="0" borderId="1" xfId="2" applyNumberFormat="1" applyFont="1" applyFill="1" applyBorder="1"/>
    <xf numFmtId="187" fontId="25" fillId="0" borderId="1" xfId="1" applyNumberFormat="1" applyFont="1" applyFill="1" applyBorder="1"/>
    <xf numFmtId="178" fontId="25" fillId="36" borderId="1" xfId="1" applyNumberFormat="1" applyFont="1" applyFill="1" applyBorder="1" applyProtection="1">
      <protection locked="0"/>
    </xf>
    <xf numFmtId="178" fontId="25" fillId="36" borderId="25" xfId="1" applyNumberFormat="1" applyFont="1" applyFill="1" applyBorder="1" applyProtection="1">
      <protection locked="0"/>
    </xf>
    <xf numFmtId="178" fontId="25" fillId="36" borderId="38" xfId="1" applyNumberFormat="1" applyFont="1" applyFill="1" applyBorder="1" applyProtection="1">
      <protection locked="0"/>
    </xf>
    <xf numFmtId="0" fontId="25" fillId="0" borderId="27" xfId="0" applyFont="1" applyBorder="1"/>
    <xf numFmtId="0" fontId="36" fillId="0" borderId="44" xfId="0" quotePrefix="1" applyFont="1" applyBorder="1" applyAlignment="1">
      <alignment horizontal="center" wrapText="1"/>
    </xf>
    <xf numFmtId="0" fontId="36" fillId="0" borderId="45" xfId="0" quotePrefix="1" applyFont="1" applyBorder="1" applyAlignment="1">
      <alignment horizontal="center" wrapText="1"/>
    </xf>
    <xf numFmtId="0" fontId="36" fillId="0" borderId="47" xfId="0" applyFont="1" applyBorder="1" applyAlignment="1">
      <alignment horizontal="center" wrapText="1"/>
    </xf>
    <xf numFmtId="0" fontId="32" fillId="0" borderId="46" xfId="0" applyFont="1" applyBorder="1" applyAlignment="1">
      <alignment horizontal="center" wrapText="1"/>
    </xf>
    <xf numFmtId="0" fontId="36" fillId="0" borderId="48" xfId="0" applyFont="1" applyBorder="1" applyAlignment="1">
      <alignment horizontal="center" wrapText="1"/>
    </xf>
    <xf numFmtId="0" fontId="32" fillId="0" borderId="49" xfId="0" applyFont="1" applyBorder="1" applyAlignment="1">
      <alignment horizontal="center" wrapText="1"/>
    </xf>
    <xf numFmtId="0" fontId="36" fillId="0" borderId="49" xfId="0" applyFont="1" applyBorder="1" applyAlignment="1">
      <alignment horizontal="center" wrapText="1"/>
    </xf>
    <xf numFmtId="0" fontId="36" fillId="0" borderId="4" xfId="0" applyFont="1" applyBorder="1" applyAlignment="1">
      <alignment horizontal="center" wrapText="1"/>
    </xf>
    <xf numFmtId="0" fontId="36" fillId="0" borderId="50" xfId="0" applyFont="1" applyBorder="1" applyAlignment="1">
      <alignment horizontal="center" wrapText="1"/>
    </xf>
    <xf numFmtId="0" fontId="36" fillId="0" borderId="51" xfId="0" applyFont="1" applyBorder="1" applyAlignment="1">
      <alignment horizontal="center" wrapText="1"/>
    </xf>
    <xf numFmtId="0" fontId="32" fillId="0" borderId="3" xfId="0" applyFont="1" applyBorder="1" applyAlignment="1">
      <alignment wrapText="1"/>
    </xf>
    <xf numFmtId="0" fontId="37" fillId="0" borderId="18" xfId="0" applyFont="1" applyBorder="1"/>
    <xf numFmtId="178" fontId="25" fillId="0" borderId="0" xfId="0" applyNumberFormat="1" applyFont="1"/>
    <xf numFmtId="179" fontId="37" fillId="0" borderId="1" xfId="75" applyNumberFormat="1" applyFont="1" applyBorder="1" applyAlignment="1">
      <alignment horizontal="right" vertical="center"/>
    </xf>
    <xf numFmtId="0" fontId="37" fillId="0" borderId="1" xfId="0" applyFont="1" applyBorder="1" applyAlignment="1">
      <alignment horizontal="center" vertical="center"/>
    </xf>
    <xf numFmtId="178" fontId="37" fillId="36" borderId="1" xfId="1" applyNumberFormat="1" applyFont="1" applyFill="1" applyBorder="1" applyAlignment="1" applyProtection="1">
      <alignment vertical="center"/>
      <protection locked="0"/>
    </xf>
    <xf numFmtId="187" fontId="37" fillId="36" borderId="52" xfId="1" applyNumberFormat="1" applyFont="1" applyFill="1" applyBorder="1" applyAlignment="1" applyProtection="1">
      <alignment vertical="center"/>
      <protection locked="0"/>
    </xf>
    <xf numFmtId="187" fontId="37" fillId="0" borderId="42" xfId="1" applyNumberFormat="1" applyFont="1" applyFill="1" applyBorder="1" applyAlignment="1">
      <alignment vertical="center"/>
    </xf>
    <xf numFmtId="178" fontId="37" fillId="36" borderId="52" xfId="1" applyNumberFormat="1" applyFont="1" applyFill="1" applyBorder="1" applyAlignment="1" applyProtection="1">
      <alignment vertical="center"/>
      <protection locked="0"/>
    </xf>
    <xf numFmtId="9" fontId="37" fillId="0" borderId="1" xfId="75" applyFont="1" applyBorder="1" applyAlignment="1">
      <alignment horizontal="right" vertical="center"/>
    </xf>
    <xf numFmtId="164" fontId="25" fillId="0" borderId="0" xfId="10" applyFont="1" applyBorder="1"/>
    <xf numFmtId="185" fontId="25" fillId="0" borderId="0" xfId="10" applyNumberFormat="1" applyFont="1" applyBorder="1"/>
    <xf numFmtId="164" fontId="25" fillId="0" borderId="0" xfId="10" applyFont="1"/>
    <xf numFmtId="185" fontId="25" fillId="0" borderId="0" xfId="10" applyNumberFormat="1" applyFont="1"/>
    <xf numFmtId="185" fontId="25" fillId="0" borderId="39" xfId="10" applyNumberFormat="1" applyFont="1" applyBorder="1"/>
    <xf numFmtId="181" fontId="32" fillId="0" borderId="0" xfId="10" applyNumberFormat="1" applyFont="1" applyBorder="1"/>
    <xf numFmtId="181" fontId="25" fillId="0" borderId="0" xfId="10" applyNumberFormat="1" applyFont="1" applyFill="1"/>
    <xf numFmtId="185" fontId="32" fillId="0" borderId="41" xfId="10" applyNumberFormat="1" applyFont="1" applyBorder="1"/>
    <xf numFmtId="185" fontId="32" fillId="0" borderId="42" xfId="10" applyNumberFormat="1" applyFont="1" applyBorder="1"/>
    <xf numFmtId="185" fontId="25" fillId="0" borderId="28" xfId="10" applyNumberFormat="1" applyFont="1" applyBorder="1"/>
    <xf numFmtId="185" fontId="25" fillId="0" borderId="1" xfId="10" applyNumberFormat="1" applyFont="1" applyBorder="1"/>
    <xf numFmtId="185" fontId="25" fillId="0" borderId="1" xfId="10" applyNumberFormat="1" applyFont="1" applyFill="1" applyBorder="1"/>
    <xf numFmtId="44" fontId="0" fillId="0" borderId="0" xfId="2" applyFont="1"/>
    <xf numFmtId="44" fontId="2" fillId="0" borderId="18" xfId="0" applyNumberFormat="1" applyFont="1" applyBorder="1"/>
    <xf numFmtId="44" fontId="0" fillId="0" borderId="2" xfId="0" applyNumberFormat="1" applyBorder="1"/>
    <xf numFmtId="44" fontId="0" fillId="0" borderId="0" xfId="0" applyNumberFormat="1"/>
    <xf numFmtId="10" fontId="0" fillId="0" borderId="0" xfId="3" applyNumberFormat="1" applyFont="1"/>
    <xf numFmtId="44" fontId="0" fillId="2" borderId="0" xfId="2" applyFont="1" applyFill="1"/>
    <xf numFmtId="43" fontId="0" fillId="0" borderId="0" xfId="1" applyFont="1" applyFill="1" applyAlignment="1">
      <alignment vertical="center"/>
    </xf>
    <xf numFmtId="43" fontId="0" fillId="2" borderId="0" xfId="1" applyFont="1" applyFill="1" applyAlignment="1">
      <alignment vertical="center"/>
    </xf>
    <xf numFmtId="43" fontId="0" fillId="0" borderId="0" xfId="1" applyFont="1" applyFill="1" applyBorder="1" applyAlignment="1">
      <alignment vertical="center"/>
    </xf>
    <xf numFmtId="43" fontId="0" fillId="2" borderId="0" xfId="1" applyFont="1" applyFill="1" applyBorder="1" applyAlignment="1">
      <alignment vertical="center"/>
    </xf>
    <xf numFmtId="0" fontId="2" fillId="0" borderId="18" xfId="0" applyFont="1" applyBorder="1" applyAlignment="1">
      <alignment horizontal="center" wrapText="1"/>
    </xf>
    <xf numFmtId="8" fontId="0" fillId="0" borderId="0" xfId="0" applyNumberFormat="1"/>
    <xf numFmtId="0" fontId="3" fillId="0" borderId="0" xfId="4"/>
    <xf numFmtId="8" fontId="0" fillId="0" borderId="0" xfId="0" applyNumberFormat="1" applyProtection="1">
      <protection locked="0"/>
    </xf>
    <xf numFmtId="0" fontId="39" fillId="0" borderId="0" xfId="4" applyFont="1" applyAlignment="1">
      <alignment horizontal="left" vertical="top" wrapText="1"/>
    </xf>
    <xf numFmtId="0" fontId="40" fillId="0" borderId="0" xfId="4" applyFont="1" applyAlignment="1">
      <alignment vertical="top"/>
    </xf>
    <xf numFmtId="0" fontId="3" fillId="0" borderId="0" xfId="4" applyAlignment="1">
      <alignment vertical="top" wrapText="1"/>
    </xf>
    <xf numFmtId="8" fontId="0" fillId="0" borderId="0" xfId="0" applyNumberFormat="1" applyAlignment="1" applyProtection="1">
      <alignment vertical="top"/>
      <protection locked="0"/>
    </xf>
    <xf numFmtId="0" fontId="3" fillId="0" borderId="0" xfId="0" applyFont="1" applyAlignment="1" applyProtection="1">
      <alignment horizontal="left" vertical="top" wrapText="1"/>
      <protection locked="0"/>
    </xf>
    <xf numFmtId="0" fontId="41" fillId="0" borderId="0" xfId="4" applyFont="1"/>
    <xf numFmtId="0" fontId="40" fillId="0" borderId="0" xfId="4" applyFont="1" applyAlignment="1">
      <alignment horizontal="right"/>
    </xf>
    <xf numFmtId="0" fontId="40" fillId="0" borderId="0" xfId="4" applyFont="1"/>
    <xf numFmtId="0" fontId="42" fillId="0" borderId="0" xfId="4" applyFont="1"/>
    <xf numFmtId="6" fontId="37" fillId="0" borderId="0" xfId="0" applyNumberFormat="1" applyFont="1" applyProtection="1">
      <protection locked="0"/>
    </xf>
    <xf numFmtId="188" fontId="37" fillId="0" borderId="37" xfId="0" applyNumberFormat="1" applyFont="1" applyBorder="1"/>
    <xf numFmtId="188" fontId="37" fillId="0" borderId="18" xfId="0" applyNumberFormat="1" applyFont="1" applyBorder="1"/>
    <xf numFmtId="0" fontId="37" fillId="0" borderId="37" xfId="0" applyFont="1" applyBorder="1"/>
    <xf numFmtId="0" fontId="36" fillId="0" borderId="36" xfId="0" applyFont="1" applyBorder="1"/>
    <xf numFmtId="0" fontId="0" fillId="0" borderId="18" xfId="0" applyBorder="1"/>
    <xf numFmtId="6" fontId="0" fillId="0" borderId="29" xfId="0" applyNumberFormat="1" applyBorder="1" applyProtection="1">
      <protection locked="0"/>
    </xf>
    <xf numFmtId="6" fontId="0" fillId="0" borderId="0" xfId="0" applyNumberFormat="1" applyProtection="1">
      <protection locked="0"/>
    </xf>
    <xf numFmtId="0" fontId="43" fillId="0" borderId="29" xfId="4" applyFont="1" applyBorder="1" applyAlignment="1">
      <alignment horizontal="center"/>
    </xf>
    <xf numFmtId="0" fontId="43" fillId="0" borderId="35" xfId="4" applyFont="1" applyBorder="1"/>
    <xf numFmtId="6" fontId="7" fillId="34" borderId="29" xfId="0" applyNumberFormat="1" applyFont="1" applyFill="1" applyBorder="1" applyProtection="1">
      <protection locked="0"/>
    </xf>
    <xf numFmtId="6" fontId="7" fillId="34" borderId="0" xfId="0" applyNumberFormat="1" applyFont="1" applyFill="1" applyProtection="1">
      <protection locked="0"/>
    </xf>
    <xf numFmtId="188" fontId="37" fillId="0" borderId="29" xfId="0" applyNumberFormat="1" applyFont="1" applyBorder="1"/>
    <xf numFmtId="188" fontId="37" fillId="0" borderId="0" xfId="0" applyNumberFormat="1" applyFont="1"/>
    <xf numFmtId="0" fontId="37" fillId="0" borderId="29" xfId="0" applyFont="1" applyBorder="1"/>
    <xf numFmtId="0" fontId="36" fillId="0" borderId="35" xfId="0" applyFont="1" applyBorder="1"/>
    <xf numFmtId="0" fontId="36" fillId="0" borderId="35" xfId="0" applyFont="1" applyBorder="1" applyAlignment="1">
      <alignment horizontal="left"/>
    </xf>
    <xf numFmtId="6" fontId="0" fillId="0" borderId="29" xfId="0" applyNumberFormat="1" applyBorder="1"/>
    <xf numFmtId="0" fontId="36" fillId="0" borderId="29" xfId="0" applyFont="1" applyBorder="1" applyAlignment="1">
      <alignment horizontal="center"/>
    </xf>
    <xf numFmtId="6" fontId="37" fillId="0" borderId="29" xfId="0" applyNumberFormat="1" applyFont="1" applyBorder="1" applyProtection="1">
      <protection locked="0"/>
    </xf>
    <xf numFmtId="0" fontId="37" fillId="0" borderId="29" xfId="0" applyFont="1" applyBorder="1" applyAlignment="1">
      <alignment horizontal="center"/>
    </xf>
    <xf numFmtId="0" fontId="37" fillId="0" borderId="35" xfId="0" applyFont="1" applyBorder="1" applyAlignment="1">
      <alignment horizontal="left"/>
    </xf>
    <xf numFmtId="188" fontId="37" fillId="40" borderId="53" xfId="0" applyNumberFormat="1" applyFont="1" applyFill="1" applyBorder="1"/>
    <xf numFmtId="188" fontId="37" fillId="40" borderId="54" xfId="0" applyNumberFormat="1" applyFont="1" applyFill="1" applyBorder="1"/>
    <xf numFmtId="0" fontId="37" fillId="0" borderId="29" xfId="0" applyFont="1" applyBorder="1" applyAlignment="1">
      <alignment horizontal="center" vertical="center"/>
    </xf>
    <xf numFmtId="0" fontId="37" fillId="0" borderId="35" xfId="4" applyFont="1" applyBorder="1" applyAlignment="1">
      <alignment horizontal="left" wrapText="1"/>
    </xf>
    <xf numFmtId="0" fontId="37" fillId="0" borderId="35" xfId="0" applyFont="1" applyBorder="1" applyAlignment="1">
      <alignment horizontal="left" vertical="top" wrapText="1"/>
    </xf>
    <xf numFmtId="188" fontId="37" fillId="36" borderId="53" xfId="0" applyNumberFormat="1" applyFont="1" applyFill="1" applyBorder="1" applyProtection="1">
      <protection locked="0"/>
    </xf>
    <xf numFmtId="188" fontId="37" fillId="36" borderId="54" xfId="0" applyNumberFormat="1" applyFont="1" applyFill="1" applyBorder="1" applyProtection="1">
      <protection locked="0"/>
    </xf>
    <xf numFmtId="188" fontId="37" fillId="41" borderId="53" xfId="0" applyNumberFormat="1" applyFont="1" applyFill="1" applyBorder="1" applyProtection="1">
      <protection locked="0"/>
    </xf>
    <xf numFmtId="188" fontId="37" fillId="41" borderId="54" xfId="0" applyNumberFormat="1" applyFont="1" applyFill="1" applyBorder="1" applyProtection="1">
      <protection locked="0"/>
    </xf>
    <xf numFmtId="189" fontId="37" fillId="0" borderId="35" xfId="0" applyNumberFormat="1" applyFont="1" applyBorder="1"/>
    <xf numFmtId="0" fontId="37" fillId="0" borderId="35" xfId="0" applyFont="1" applyBorder="1"/>
    <xf numFmtId="188" fontId="36" fillId="0" borderId="29" xfId="0" applyNumberFormat="1" applyFont="1" applyBorder="1" applyAlignment="1">
      <alignment horizontal="center" vertical="center" wrapText="1"/>
    </xf>
    <xf numFmtId="188" fontId="0" fillId="0" borderId="0" xfId="0" applyNumberFormat="1" applyAlignment="1">
      <alignment wrapText="1"/>
    </xf>
    <xf numFmtId="6" fontId="37" fillId="0" borderId="0" xfId="0" applyNumberFormat="1" applyFont="1"/>
    <xf numFmtId="6" fontId="37" fillId="0" borderId="55" xfId="0" applyNumberFormat="1" applyFont="1" applyBorder="1"/>
    <xf numFmtId="0" fontId="37" fillId="0" borderId="34" xfId="0" applyFont="1" applyBorder="1"/>
    <xf numFmtId="0" fontId="45" fillId="0" borderId="33" xfId="0" applyFont="1" applyBorder="1" applyAlignment="1">
      <alignment vertical="center"/>
    </xf>
    <xf numFmtId="0" fontId="51" fillId="0" borderId="0" xfId="0" applyFont="1"/>
    <xf numFmtId="0" fontId="3" fillId="0" borderId="0" xfId="4" applyProtection="1">
      <protection locked="0"/>
    </xf>
    <xf numFmtId="43" fontId="0" fillId="2" borderId="0" xfId="1" applyFont="1" applyFill="1" applyBorder="1" applyAlignment="1">
      <alignment horizontal="center" vertical="center"/>
    </xf>
    <xf numFmtId="43" fontId="0" fillId="2" borderId="17" xfId="1" applyFont="1" applyFill="1" applyBorder="1" applyAlignment="1">
      <alignment horizontal="center" vertical="center"/>
    </xf>
    <xf numFmtId="43" fontId="0" fillId="2" borderId="0" xfId="1" applyFont="1" applyFill="1" applyAlignment="1">
      <alignment horizontal="center" vertical="center"/>
    </xf>
    <xf numFmtId="0" fontId="2" fillId="0" borderId="0" xfId="0" applyFont="1" applyAlignment="1">
      <alignment horizontal="center"/>
    </xf>
    <xf numFmtId="0" fontId="25" fillId="36" borderId="1" xfId="0" applyFont="1" applyFill="1" applyBorder="1" applyAlignment="1" applyProtection="1">
      <alignment horizontal="left" wrapText="1"/>
      <protection locked="0"/>
    </xf>
    <xf numFmtId="181" fontId="25" fillId="36" borderId="1" xfId="0" applyNumberFormat="1" applyFont="1" applyFill="1" applyBorder="1" applyAlignment="1" applyProtection="1">
      <alignment horizontal="right"/>
      <protection locked="0"/>
    </xf>
    <xf numFmtId="0" fontId="32" fillId="0" borderId="39" xfId="0" applyFont="1" applyBorder="1" applyAlignment="1">
      <alignment horizontal="center" vertical="center"/>
    </xf>
    <xf numFmtId="0" fontId="32" fillId="0" borderId="0" xfId="0" applyFont="1" applyAlignment="1">
      <alignment horizontal="center" vertical="center"/>
    </xf>
    <xf numFmtId="0" fontId="25" fillId="36" borderId="23" xfId="0" applyFont="1" applyFill="1" applyBorder="1" applyAlignment="1" applyProtection="1">
      <alignment horizontal="left" wrapText="1"/>
      <protection locked="0"/>
    </xf>
    <xf numFmtId="0" fontId="25" fillId="36" borderId="24" xfId="0" applyFont="1" applyFill="1" applyBorder="1" applyAlignment="1" applyProtection="1">
      <alignment horizontal="left" wrapText="1"/>
      <protection locked="0"/>
    </xf>
    <xf numFmtId="0" fontId="25" fillId="36" borderId="25" xfId="0" applyFont="1" applyFill="1" applyBorder="1" applyAlignment="1" applyProtection="1">
      <alignment horizontal="left" wrapText="1"/>
      <protection locked="0"/>
    </xf>
    <xf numFmtId="0" fontId="36" fillId="0" borderId="23" xfId="0" applyFont="1" applyBorder="1" applyAlignment="1">
      <alignment horizontal="center"/>
    </xf>
    <xf numFmtId="0" fontId="36" fillId="0" borderId="24" xfId="0" applyFont="1" applyBorder="1" applyAlignment="1">
      <alignment horizontal="center"/>
    </xf>
    <xf numFmtId="0" fontId="36" fillId="0" borderId="25" xfId="0" applyFont="1" applyBorder="1" applyAlignment="1">
      <alignment horizontal="center"/>
    </xf>
    <xf numFmtId="0" fontId="36" fillId="0" borderId="1" xfId="0" applyFont="1" applyBorder="1" applyAlignment="1">
      <alignment horizontal="center" vertical="center" wrapText="1"/>
    </xf>
    <xf numFmtId="0" fontId="36" fillId="0" borderId="1" xfId="0" applyFont="1" applyBorder="1" applyAlignment="1">
      <alignment horizontal="center"/>
    </xf>
    <xf numFmtId="0" fontId="36" fillId="0" borderId="1" xfId="0" applyFont="1" applyBorder="1" applyAlignment="1">
      <alignment horizontal="center" wrapText="1"/>
    </xf>
    <xf numFmtId="0" fontId="32" fillId="0" borderId="23" xfId="0" applyFont="1" applyBorder="1" applyAlignment="1">
      <alignment horizontal="center" wrapText="1"/>
    </xf>
    <xf numFmtId="0" fontId="32" fillId="0" borderId="24" xfId="0" applyFont="1" applyBorder="1" applyAlignment="1">
      <alignment horizontal="center" wrapText="1"/>
    </xf>
    <xf numFmtId="181" fontId="32" fillId="0" borderId="0" xfId="10" applyNumberFormat="1" applyFont="1" applyBorder="1" applyAlignment="1">
      <alignment horizontal="left" wrapText="1"/>
    </xf>
    <xf numFmtId="0" fontId="36" fillId="0" borderId="1" xfId="0" applyFont="1" applyBorder="1" applyAlignment="1">
      <alignment horizontal="left" vertical="center"/>
    </xf>
    <xf numFmtId="0" fontId="25" fillId="0" borderId="23" xfId="0" applyFont="1" applyBorder="1" applyAlignment="1">
      <alignment horizontal="center"/>
    </xf>
    <xf numFmtId="0" fontId="25" fillId="0" borderId="25" xfId="0" applyFont="1" applyBorder="1" applyAlignment="1">
      <alignment horizontal="center"/>
    </xf>
    <xf numFmtId="0" fontId="37" fillId="0" borderId="39" xfId="0" applyFont="1" applyBorder="1" applyAlignment="1">
      <alignment horizontal="left" vertical="center" wrapText="1"/>
    </xf>
    <xf numFmtId="0" fontId="37" fillId="0" borderId="0" xfId="0" applyFont="1" applyAlignment="1">
      <alignment horizontal="left" vertical="center" wrapText="1"/>
    </xf>
    <xf numFmtId="0" fontId="32" fillId="0" borderId="0" xfId="0" applyFont="1"/>
    <xf numFmtId="0" fontId="0" fillId="0" borderId="0" xfId="0"/>
    <xf numFmtId="0" fontId="37" fillId="0" borderId="17" xfId="0" applyFont="1" applyBorder="1" applyAlignment="1">
      <alignment horizontal="left" wrapText="1"/>
    </xf>
    <xf numFmtId="0" fontId="37" fillId="0" borderId="0" xfId="0" applyFont="1" applyAlignment="1">
      <alignment horizontal="left" vertical="top" wrapText="1"/>
    </xf>
    <xf numFmtId="181" fontId="32" fillId="0" borderId="0" xfId="10" applyNumberFormat="1" applyFont="1" applyBorder="1" applyAlignment="1">
      <alignment horizontal="right" wrapText="1"/>
    </xf>
    <xf numFmtId="0" fontId="25" fillId="36" borderId="33" xfId="0" applyFont="1" applyFill="1" applyBorder="1" applyAlignment="1" applyProtection="1">
      <alignment horizontal="left"/>
      <protection locked="0"/>
    </xf>
    <xf numFmtId="0" fontId="25" fillId="36" borderId="17" xfId="0" applyFont="1" applyFill="1" applyBorder="1" applyAlignment="1" applyProtection="1">
      <alignment horizontal="left"/>
      <protection locked="0"/>
    </xf>
    <xf numFmtId="0" fontId="25" fillId="36" borderId="34" xfId="0" applyFont="1" applyFill="1" applyBorder="1" applyAlignment="1" applyProtection="1">
      <alignment horizontal="left"/>
      <protection locked="0"/>
    </xf>
    <xf numFmtId="0" fontId="25" fillId="36" borderId="35" xfId="0" applyFont="1" applyFill="1" applyBorder="1" applyAlignment="1" applyProtection="1">
      <alignment horizontal="left"/>
      <protection locked="0"/>
    </xf>
    <xf numFmtId="0" fontId="25" fillId="36" borderId="0" xfId="0" applyFont="1" applyFill="1" applyAlignment="1" applyProtection="1">
      <alignment horizontal="left"/>
      <protection locked="0"/>
    </xf>
    <xf numFmtId="0" fontId="25" fillId="36" borderId="29" xfId="0" applyFont="1" applyFill="1" applyBorder="1" applyAlignment="1" applyProtection="1">
      <alignment horizontal="left"/>
      <protection locked="0"/>
    </xf>
    <xf numFmtId="0" fontId="25" fillId="36" borderId="36" xfId="0" applyFont="1" applyFill="1" applyBorder="1" applyAlignment="1" applyProtection="1">
      <alignment horizontal="left"/>
      <protection locked="0"/>
    </xf>
    <xf numFmtId="0" fontId="25" fillId="36" borderId="18" xfId="0" applyFont="1" applyFill="1" applyBorder="1" applyAlignment="1" applyProtection="1">
      <alignment horizontal="left"/>
      <protection locked="0"/>
    </xf>
    <xf numFmtId="0" fontId="25" fillId="36" borderId="37" xfId="0" applyFont="1" applyFill="1" applyBorder="1" applyAlignment="1" applyProtection="1">
      <alignment horizontal="left"/>
      <protection locked="0"/>
    </xf>
    <xf numFmtId="0" fontId="2" fillId="0" borderId="3" xfId="0" applyFont="1" applyBorder="1" applyAlignment="1">
      <alignment horizontal="center"/>
    </xf>
    <xf numFmtId="0" fontId="2" fillId="0" borderId="5" xfId="0" applyFont="1" applyBorder="1" applyAlignment="1">
      <alignment horizontal="center"/>
    </xf>
    <xf numFmtId="0" fontId="9" fillId="0" borderId="3" xfId="4" applyFont="1" applyFill="1" applyBorder="1" applyAlignment="1" applyProtection="1">
      <alignment horizontal="center" vertical="center"/>
    </xf>
    <xf numFmtId="0" fontId="9" fillId="0" borderId="4" xfId="4" applyFont="1" applyFill="1" applyBorder="1" applyAlignment="1" applyProtection="1">
      <alignment horizontal="center" vertical="center"/>
    </xf>
    <xf numFmtId="0" fontId="9" fillId="0" borderId="5" xfId="4" applyFont="1" applyFill="1" applyBorder="1" applyAlignment="1" applyProtection="1">
      <alignment horizontal="center" vertical="center"/>
    </xf>
    <xf numFmtId="0" fontId="2" fillId="0" borderId="0" xfId="0" applyFont="1" applyBorder="1" applyAlignment="1">
      <alignment horizontal="center" vertical="center"/>
    </xf>
    <xf numFmtId="0" fontId="2" fillId="0" borderId="4" xfId="0" applyFont="1" applyBorder="1" applyAlignment="1">
      <alignment horizontal="center"/>
    </xf>
    <xf numFmtId="0" fontId="2" fillId="0" borderId="3" xfId="0" applyFont="1" applyBorder="1" applyAlignment="1">
      <alignment horizontal="center" wrapText="1"/>
    </xf>
    <xf numFmtId="0" fontId="2" fillId="0" borderId="5" xfId="0" applyFont="1" applyBorder="1" applyAlignment="1">
      <alignment horizontal="center" wrapText="1"/>
    </xf>
    <xf numFmtId="0" fontId="2" fillId="0" borderId="3" xfId="0" applyFont="1" applyFill="1" applyBorder="1" applyAlignment="1">
      <alignment horizontal="center"/>
    </xf>
    <xf numFmtId="0" fontId="2" fillId="0" borderId="4" xfId="0" applyFont="1" applyFill="1" applyBorder="1" applyAlignment="1">
      <alignment horizontal="center"/>
    </xf>
    <xf numFmtId="0" fontId="2" fillId="0" borderId="5" xfId="0" applyFont="1" applyFill="1" applyBorder="1" applyAlignment="1">
      <alignment horizontal="center"/>
    </xf>
    <xf numFmtId="0" fontId="36" fillId="36" borderId="33" xfId="0" applyFont="1" applyFill="1" applyBorder="1" applyAlignment="1" applyProtection="1">
      <alignment horizontal="center" wrapText="1"/>
      <protection locked="0"/>
    </xf>
    <xf numFmtId="0" fontId="36" fillId="36" borderId="17" xfId="0" applyFont="1" applyFill="1" applyBorder="1" applyAlignment="1" applyProtection="1">
      <alignment horizontal="center" wrapText="1"/>
      <protection locked="0"/>
    </xf>
    <xf numFmtId="0" fontId="36" fillId="36" borderId="34" xfId="0" applyFont="1" applyFill="1" applyBorder="1" applyAlignment="1" applyProtection="1">
      <alignment horizontal="center" wrapText="1"/>
      <protection locked="0"/>
    </xf>
    <xf numFmtId="0" fontId="36" fillId="36" borderId="35" xfId="0" applyFont="1" applyFill="1" applyBorder="1" applyAlignment="1" applyProtection="1">
      <alignment horizontal="center" wrapText="1"/>
      <protection locked="0"/>
    </xf>
    <xf numFmtId="0" fontId="36" fillId="36" borderId="0" xfId="0" applyFont="1" applyFill="1" applyAlignment="1" applyProtection="1">
      <alignment horizontal="center" wrapText="1"/>
      <protection locked="0"/>
    </xf>
    <xf numFmtId="0" fontId="36" fillId="36" borderId="29" xfId="0" applyFont="1" applyFill="1" applyBorder="1" applyAlignment="1" applyProtection="1">
      <alignment horizontal="center" wrapText="1"/>
      <protection locked="0"/>
    </xf>
    <xf numFmtId="0" fontId="36" fillId="36" borderId="36" xfId="0" applyFont="1" applyFill="1" applyBorder="1" applyAlignment="1" applyProtection="1">
      <alignment horizontal="center" wrapText="1"/>
      <protection locked="0"/>
    </xf>
    <xf numFmtId="0" fontId="36" fillId="36" borderId="18" xfId="0" applyFont="1" applyFill="1" applyBorder="1" applyAlignment="1" applyProtection="1">
      <alignment horizontal="center" wrapText="1"/>
      <protection locked="0"/>
    </xf>
    <xf numFmtId="0" fontId="36" fillId="36" borderId="37" xfId="0" applyFont="1" applyFill="1" applyBorder="1" applyAlignment="1" applyProtection="1">
      <alignment horizontal="center" wrapText="1"/>
      <protection locked="0"/>
    </xf>
    <xf numFmtId="0" fontId="30" fillId="0" borderId="0" xfId="0" applyFont="1" applyAlignment="1">
      <alignment horizontal="left" wrapText="1"/>
    </xf>
    <xf numFmtId="0" fontId="32" fillId="0" borderId="17" xfId="0" applyFont="1" applyBorder="1" applyAlignment="1">
      <alignment horizontal="center"/>
    </xf>
    <xf numFmtId="0" fontId="32" fillId="0" borderId="20" xfId="0" applyFont="1" applyBorder="1" applyAlignment="1">
      <alignment horizontal="center"/>
    </xf>
    <xf numFmtId="0" fontId="32" fillId="0" borderId="17" xfId="0" applyFont="1" applyBorder="1" applyAlignment="1">
      <alignment horizontal="center" wrapText="1"/>
    </xf>
    <xf numFmtId="0" fontId="32" fillId="0" borderId="2" xfId="0" applyFont="1" applyBorder="1" applyAlignment="1">
      <alignment horizontal="center" wrapText="1"/>
    </xf>
    <xf numFmtId="0" fontId="32" fillId="0" borderId="21" xfId="0" applyFont="1" applyBorder="1" applyAlignment="1">
      <alignment horizontal="center" wrapText="1"/>
    </xf>
    <xf numFmtId="0" fontId="32" fillId="0" borderId="26" xfId="0" applyFont="1" applyBorder="1" applyAlignment="1">
      <alignment horizontal="center" wrapText="1"/>
    </xf>
    <xf numFmtId="0" fontId="25" fillId="0" borderId="0" xfId="0" applyFont="1" applyAlignment="1">
      <alignment horizontal="left" wrapText="1"/>
    </xf>
    <xf numFmtId="188" fontId="46" fillId="0" borderId="34" xfId="0" applyNumberFormat="1" applyFont="1" applyBorder="1" applyAlignment="1">
      <alignment horizontal="center" vertical="center" wrapText="1"/>
    </xf>
    <xf numFmtId="188" fontId="46" fillId="0" borderId="29" xfId="0" applyNumberFormat="1" applyFont="1" applyBorder="1" applyAlignment="1">
      <alignment horizontal="center" vertical="center" wrapText="1"/>
    </xf>
    <xf numFmtId="188" fontId="46" fillId="0" borderId="56" xfId="0" applyNumberFormat="1" applyFont="1" applyBorder="1" applyAlignment="1">
      <alignment horizontal="center" vertical="center" wrapText="1"/>
    </xf>
    <xf numFmtId="0" fontId="36" fillId="0" borderId="0" xfId="4" applyFont="1" applyAlignment="1">
      <alignment horizontal="left" vertical="top" wrapText="1"/>
    </xf>
    <xf numFmtId="0" fontId="48" fillId="0" borderId="33" xfId="0" applyFont="1" applyBorder="1" applyAlignment="1">
      <alignment horizontal="left" vertical="center"/>
    </xf>
    <xf numFmtId="0" fontId="48" fillId="0" borderId="35" xfId="0" applyFont="1" applyBorder="1" applyAlignment="1">
      <alignment horizontal="left" vertical="center"/>
    </xf>
    <xf numFmtId="0" fontId="46" fillId="0" borderId="34" xfId="0" applyFont="1" applyBorder="1" applyAlignment="1">
      <alignment horizontal="center" vertical="center" wrapText="1"/>
    </xf>
    <xf numFmtId="0" fontId="46" fillId="0" borderId="29" xfId="0" applyFont="1" applyBorder="1" applyAlignment="1">
      <alignment horizontal="center" vertical="center" wrapText="1"/>
    </xf>
    <xf numFmtId="0" fontId="36" fillId="39" borderId="0" xfId="4" applyFont="1" applyFill="1" applyAlignment="1">
      <alignment horizontal="left" vertical="top" wrapText="1"/>
    </xf>
    <xf numFmtId="0" fontId="50" fillId="0" borderId="3" xfId="0" applyFont="1" applyBorder="1" applyAlignment="1">
      <alignment horizontal="center" vertical="center"/>
    </xf>
    <xf numFmtId="0" fontId="50" fillId="0" borderId="4" xfId="0" applyFont="1" applyBorder="1" applyAlignment="1">
      <alignment horizontal="center" vertical="center"/>
    </xf>
    <xf numFmtId="0" fontId="50" fillId="0" borderId="5" xfId="0" applyFont="1" applyBorder="1" applyAlignment="1">
      <alignment horizontal="center" vertical="center"/>
    </xf>
    <xf numFmtId="8" fontId="46" fillId="0" borderId="33" xfId="0" applyNumberFormat="1" applyFont="1" applyBorder="1" applyAlignment="1">
      <alignment horizontal="center" vertical="center" wrapText="1"/>
    </xf>
    <xf numFmtId="8" fontId="46" fillId="0" borderId="35" xfId="0" applyNumberFormat="1" applyFont="1" applyBorder="1" applyAlignment="1">
      <alignment horizontal="center" vertical="center" wrapText="1"/>
    </xf>
    <xf numFmtId="8" fontId="46" fillId="0" borderId="58" xfId="0" applyNumberFormat="1" applyFont="1" applyBorder="1" applyAlignment="1">
      <alignment horizontal="center" vertical="center" wrapText="1"/>
    </xf>
    <xf numFmtId="8" fontId="46" fillId="0" borderId="59" xfId="0" applyNumberFormat="1" applyFont="1" applyBorder="1" applyAlignment="1">
      <alignment horizontal="center" vertical="center" wrapText="1"/>
    </xf>
    <xf numFmtId="8" fontId="46" fillId="0" borderId="0" xfId="0" applyNumberFormat="1" applyFont="1" applyAlignment="1">
      <alignment horizontal="center" vertical="center" wrapText="1"/>
    </xf>
    <xf numFmtId="8" fontId="46" fillId="0" borderId="57" xfId="0" applyNumberFormat="1" applyFont="1" applyBorder="1" applyAlignment="1">
      <alignment horizontal="center" vertical="center" wrapText="1"/>
    </xf>
    <xf numFmtId="188" fontId="46" fillId="0" borderId="59" xfId="0" applyNumberFormat="1" applyFont="1" applyBorder="1" applyAlignment="1">
      <alignment horizontal="center" vertical="center" wrapText="1"/>
    </xf>
    <xf numFmtId="188" fontId="47" fillId="0" borderId="0" xfId="0" applyNumberFormat="1" applyFont="1" applyAlignment="1">
      <alignment horizontal="center" vertical="center" wrapText="1"/>
    </xf>
    <xf numFmtId="188" fontId="47" fillId="0" borderId="57" xfId="0" applyNumberFormat="1" applyFont="1" applyBorder="1" applyAlignment="1">
      <alignment horizontal="center" vertical="center" wrapText="1"/>
    </xf>
    <xf numFmtId="188" fontId="46" fillId="0" borderId="0" xfId="0" applyNumberFormat="1" applyFont="1" applyAlignment="1">
      <alignment horizontal="center" vertical="center" wrapText="1"/>
    </xf>
    <xf numFmtId="188" fontId="46" fillId="0" borderId="57" xfId="0" applyNumberFormat="1" applyFont="1" applyBorder="1" applyAlignment="1">
      <alignment horizontal="center" vertical="center" wrapText="1"/>
    </xf>
  </cellXfs>
  <cellStyles count="320">
    <cellStyle name="$" xfId="51" xr:uid="{00000000-0005-0000-0000-000000000000}"/>
    <cellStyle name="$.00" xfId="52" xr:uid="{00000000-0005-0000-0000-000001000000}"/>
    <cellStyle name="$_9. Rev2Cost_GDPIPI" xfId="69" xr:uid="{00000000-0005-0000-0000-000002000000}"/>
    <cellStyle name="$_9. Rev2Cost_GDPIPI 2" xfId="126" xr:uid="{00000000-0005-0000-0000-000003000000}"/>
    <cellStyle name="$_9. Rev2Cost_GDPIPI_6.2 CBR B" xfId="234" xr:uid="{00000000-0005-0000-0000-000004000000}"/>
    <cellStyle name="$_9. Rev2Cost_GDPIPI_9. Shared Tax - Rate Rider" xfId="262" xr:uid="{00000000-0005-0000-0000-000005000000}"/>
    <cellStyle name="$_lists" xfId="65" xr:uid="{00000000-0005-0000-0000-000006000000}"/>
    <cellStyle name="$_lists 2" xfId="124" xr:uid="{00000000-0005-0000-0000-000007000000}"/>
    <cellStyle name="$_lists_4. Current Monthly Fixed Charge" xfId="67" xr:uid="{00000000-0005-0000-0000-000008000000}"/>
    <cellStyle name="$_lists_6.2 CBR B" xfId="235" xr:uid="{00000000-0005-0000-0000-000009000000}"/>
    <cellStyle name="$_lists_9. Shared Tax - Rate Rider" xfId="263" xr:uid="{00000000-0005-0000-0000-00000A000000}"/>
    <cellStyle name="$_Sheet4" xfId="72" xr:uid="{00000000-0005-0000-0000-00000B000000}"/>
    <cellStyle name="$_Sheet4 2" xfId="128" xr:uid="{00000000-0005-0000-0000-00000C000000}"/>
    <cellStyle name="$_Sheet4_6.2 CBR B" xfId="236" xr:uid="{00000000-0005-0000-0000-00000D000000}"/>
    <cellStyle name="$_Sheet4_9. Shared Tax - Rate Rider" xfId="264" xr:uid="{00000000-0005-0000-0000-00000E000000}"/>
    <cellStyle name="$M" xfId="53" xr:uid="{00000000-0005-0000-0000-00000F000000}"/>
    <cellStyle name="$M.00" xfId="54" xr:uid="{00000000-0005-0000-0000-000010000000}"/>
    <cellStyle name="$M_9. Rev2Cost_GDPIPI" xfId="70" xr:uid="{00000000-0005-0000-0000-000011000000}"/>
    <cellStyle name="20% - Accent1" xfId="28" builtinId="30" customBuiltin="1"/>
    <cellStyle name="20% - Accent1 2" xfId="76" xr:uid="{00000000-0005-0000-0000-000013000000}"/>
    <cellStyle name="20% - Accent1 2 2" xfId="179" xr:uid="{00000000-0005-0000-0000-000014000000}"/>
    <cellStyle name="20% - Accent1 2_6.2 CBR B" xfId="237" xr:uid="{00000000-0005-0000-0000-000015000000}"/>
    <cellStyle name="20% - Accent1 3" xfId="208" xr:uid="{00000000-0005-0000-0000-000016000000}"/>
    <cellStyle name="20% - Accent2" xfId="32" builtinId="34" customBuiltin="1"/>
    <cellStyle name="20% - Accent2 2" xfId="77" xr:uid="{00000000-0005-0000-0000-000018000000}"/>
    <cellStyle name="20% - Accent2 2 2" xfId="180" xr:uid="{00000000-0005-0000-0000-000019000000}"/>
    <cellStyle name="20% - Accent2 2_6.2 CBR B" xfId="238" xr:uid="{00000000-0005-0000-0000-00001A000000}"/>
    <cellStyle name="20% - Accent2 3" xfId="210" xr:uid="{00000000-0005-0000-0000-00001B000000}"/>
    <cellStyle name="20% - Accent3" xfId="36" builtinId="38" customBuiltin="1"/>
    <cellStyle name="20% - Accent3 2" xfId="78" xr:uid="{00000000-0005-0000-0000-00001D000000}"/>
    <cellStyle name="20% - Accent3 2 2" xfId="181" xr:uid="{00000000-0005-0000-0000-00001E000000}"/>
    <cellStyle name="20% - Accent3 2_6.2 CBR B" xfId="239" xr:uid="{00000000-0005-0000-0000-00001F000000}"/>
    <cellStyle name="20% - Accent3 3" xfId="212" xr:uid="{00000000-0005-0000-0000-000020000000}"/>
    <cellStyle name="20% - Accent4" xfId="40" builtinId="42" customBuiltin="1"/>
    <cellStyle name="20% - Accent4 2" xfId="79" xr:uid="{00000000-0005-0000-0000-000022000000}"/>
    <cellStyle name="20% - Accent4 2 2" xfId="182" xr:uid="{00000000-0005-0000-0000-000023000000}"/>
    <cellStyle name="20% - Accent4 2_6.2 CBR B" xfId="240" xr:uid="{00000000-0005-0000-0000-000024000000}"/>
    <cellStyle name="20% - Accent4 3" xfId="214" xr:uid="{00000000-0005-0000-0000-000025000000}"/>
    <cellStyle name="20% - Accent5" xfId="44" builtinId="46" customBuiltin="1"/>
    <cellStyle name="20% - Accent5 2" xfId="80" xr:uid="{00000000-0005-0000-0000-000027000000}"/>
    <cellStyle name="20% - Accent5 2 2" xfId="183" xr:uid="{00000000-0005-0000-0000-000028000000}"/>
    <cellStyle name="20% - Accent5 2_6.2 CBR B" xfId="241" xr:uid="{00000000-0005-0000-0000-000029000000}"/>
    <cellStyle name="20% - Accent5 3" xfId="216" xr:uid="{00000000-0005-0000-0000-00002A000000}"/>
    <cellStyle name="20% - Accent6" xfId="48" builtinId="50" customBuiltin="1"/>
    <cellStyle name="20% - Accent6 2" xfId="81" xr:uid="{00000000-0005-0000-0000-00002C000000}"/>
    <cellStyle name="20% - Accent6 2 2" xfId="184" xr:uid="{00000000-0005-0000-0000-00002D000000}"/>
    <cellStyle name="20% - Accent6 2_6.2 CBR B" xfId="242" xr:uid="{00000000-0005-0000-0000-00002E000000}"/>
    <cellStyle name="20% - Accent6 3" xfId="218" xr:uid="{00000000-0005-0000-0000-00002F000000}"/>
    <cellStyle name="40% - Accent1" xfId="29" builtinId="31" customBuiltin="1"/>
    <cellStyle name="40% - Accent1 2" xfId="82" xr:uid="{00000000-0005-0000-0000-000031000000}"/>
    <cellStyle name="40% - Accent1 2 2" xfId="185" xr:uid="{00000000-0005-0000-0000-000032000000}"/>
    <cellStyle name="40% - Accent1 2_6.2 CBR B" xfId="243" xr:uid="{00000000-0005-0000-0000-000033000000}"/>
    <cellStyle name="40% - Accent1 3" xfId="209" xr:uid="{00000000-0005-0000-0000-000034000000}"/>
    <cellStyle name="40% - Accent2" xfId="33" builtinId="35" customBuiltin="1"/>
    <cellStyle name="40% - Accent2 2" xfId="83" xr:uid="{00000000-0005-0000-0000-000036000000}"/>
    <cellStyle name="40% - Accent2 2 2" xfId="186" xr:uid="{00000000-0005-0000-0000-000037000000}"/>
    <cellStyle name="40% - Accent2 2_6.2 CBR B" xfId="244" xr:uid="{00000000-0005-0000-0000-000038000000}"/>
    <cellStyle name="40% - Accent2 3" xfId="211" xr:uid="{00000000-0005-0000-0000-000039000000}"/>
    <cellStyle name="40% - Accent3" xfId="37" builtinId="39" customBuiltin="1"/>
    <cellStyle name="40% - Accent3 2" xfId="84" xr:uid="{00000000-0005-0000-0000-00003B000000}"/>
    <cellStyle name="40% - Accent3 2 2" xfId="187" xr:uid="{00000000-0005-0000-0000-00003C000000}"/>
    <cellStyle name="40% - Accent3 2_6.2 CBR B" xfId="245" xr:uid="{00000000-0005-0000-0000-00003D000000}"/>
    <cellStyle name="40% - Accent3 3" xfId="213" xr:uid="{00000000-0005-0000-0000-00003E000000}"/>
    <cellStyle name="40% - Accent4" xfId="41" builtinId="43" customBuiltin="1"/>
    <cellStyle name="40% - Accent4 2" xfId="85" xr:uid="{00000000-0005-0000-0000-000040000000}"/>
    <cellStyle name="40% - Accent4 2 2" xfId="188" xr:uid="{00000000-0005-0000-0000-000041000000}"/>
    <cellStyle name="40% - Accent4 2_6.2 CBR B" xfId="246" xr:uid="{00000000-0005-0000-0000-000042000000}"/>
    <cellStyle name="40% - Accent4 3" xfId="215" xr:uid="{00000000-0005-0000-0000-000043000000}"/>
    <cellStyle name="40% - Accent5" xfId="45" builtinId="47" customBuiltin="1"/>
    <cellStyle name="40% - Accent5 2" xfId="86" xr:uid="{00000000-0005-0000-0000-000045000000}"/>
    <cellStyle name="40% - Accent5 2 2" xfId="189" xr:uid="{00000000-0005-0000-0000-000046000000}"/>
    <cellStyle name="40% - Accent5 2_6.2 CBR B" xfId="247" xr:uid="{00000000-0005-0000-0000-000047000000}"/>
    <cellStyle name="40% - Accent5 3" xfId="217" xr:uid="{00000000-0005-0000-0000-000048000000}"/>
    <cellStyle name="40% - Accent6" xfId="49" builtinId="51" customBuiltin="1"/>
    <cellStyle name="40% - Accent6 2" xfId="87" xr:uid="{00000000-0005-0000-0000-00004A000000}"/>
    <cellStyle name="40% - Accent6 2 2" xfId="190" xr:uid="{00000000-0005-0000-0000-00004B000000}"/>
    <cellStyle name="40% - Accent6 2_6.2 CBR B" xfId="248" xr:uid="{00000000-0005-0000-0000-00004C000000}"/>
    <cellStyle name="40% - Accent6 3" xfId="219" xr:uid="{00000000-0005-0000-0000-00004D000000}"/>
    <cellStyle name="60% - Accent1" xfId="30" builtinId="32" customBuiltin="1"/>
    <cellStyle name="60% - Accent1 2" xfId="88" xr:uid="{00000000-0005-0000-0000-00004F000000}"/>
    <cellStyle name="60% - Accent2" xfId="34" builtinId="36" customBuiltin="1"/>
    <cellStyle name="60% - Accent2 2" xfId="89" xr:uid="{00000000-0005-0000-0000-000051000000}"/>
    <cellStyle name="60% - Accent3" xfId="38" builtinId="40" customBuiltin="1"/>
    <cellStyle name="60% - Accent3 2" xfId="90" xr:uid="{00000000-0005-0000-0000-000053000000}"/>
    <cellStyle name="60% - Accent4" xfId="42" builtinId="44" customBuiltin="1"/>
    <cellStyle name="60% - Accent4 2" xfId="91" xr:uid="{00000000-0005-0000-0000-000055000000}"/>
    <cellStyle name="60% - Accent5" xfId="46" builtinId="48" customBuiltin="1"/>
    <cellStyle name="60% - Accent5 2" xfId="92" xr:uid="{00000000-0005-0000-0000-000057000000}"/>
    <cellStyle name="60% - Accent6" xfId="50" builtinId="52" customBuiltin="1"/>
    <cellStyle name="60% - Accent6 2" xfId="93" xr:uid="{00000000-0005-0000-0000-000059000000}"/>
    <cellStyle name="Accent1" xfId="27" builtinId="29" customBuiltin="1"/>
    <cellStyle name="Accent1 2" xfId="94" xr:uid="{00000000-0005-0000-0000-00005B000000}"/>
    <cellStyle name="Accent2" xfId="31" builtinId="33" customBuiltin="1"/>
    <cellStyle name="Accent2 2" xfId="95" xr:uid="{00000000-0005-0000-0000-00005D000000}"/>
    <cellStyle name="Accent3" xfId="35" builtinId="37" customBuiltin="1"/>
    <cellStyle name="Accent3 2" xfId="96" xr:uid="{00000000-0005-0000-0000-00005F000000}"/>
    <cellStyle name="Accent4" xfId="39" builtinId="41" customBuiltin="1"/>
    <cellStyle name="Accent4 2" xfId="97" xr:uid="{00000000-0005-0000-0000-000061000000}"/>
    <cellStyle name="Accent5" xfId="43" builtinId="45" customBuiltin="1"/>
    <cellStyle name="Accent5 2" xfId="98" xr:uid="{00000000-0005-0000-0000-000063000000}"/>
    <cellStyle name="Accent6" xfId="47" builtinId="49" customBuiltin="1"/>
    <cellStyle name="Accent6 2" xfId="99" xr:uid="{00000000-0005-0000-0000-000065000000}"/>
    <cellStyle name="Bad" xfId="16" builtinId="27" customBuiltin="1"/>
    <cellStyle name="Bad 2" xfId="100" xr:uid="{00000000-0005-0000-0000-000067000000}"/>
    <cellStyle name="Calculation" xfId="20" builtinId="22" customBuiltin="1"/>
    <cellStyle name="Calculation 2" xfId="101" xr:uid="{00000000-0005-0000-0000-000069000000}"/>
    <cellStyle name="Check Cell" xfId="22" builtinId="23" customBuiltin="1"/>
    <cellStyle name="Check Cell 2" xfId="102" xr:uid="{00000000-0005-0000-0000-00006B000000}"/>
    <cellStyle name="Comma" xfId="1" builtinId="3"/>
    <cellStyle name="Comma 2" xfId="8" xr:uid="{00000000-0005-0000-0000-00006D000000}"/>
    <cellStyle name="Comma 2 2" xfId="155" xr:uid="{00000000-0005-0000-0000-00006E000000}"/>
    <cellStyle name="Comma 2 2 2" xfId="161" xr:uid="{00000000-0005-0000-0000-00006F000000}"/>
    <cellStyle name="Comma 2 2 2 2" xfId="286" xr:uid="{00000000-0005-0000-0000-000070000000}"/>
    <cellStyle name="Comma 2 2 3" xfId="166" xr:uid="{00000000-0005-0000-0000-000071000000}"/>
    <cellStyle name="Comma 2 2 3 2" xfId="296" xr:uid="{00000000-0005-0000-0000-000072000000}"/>
    <cellStyle name="Comma 2 2 4" xfId="223" xr:uid="{00000000-0005-0000-0000-000073000000}"/>
    <cellStyle name="Comma 2 2 5" xfId="279" xr:uid="{00000000-0005-0000-0000-000074000000}"/>
    <cellStyle name="Comma 2 2 6" xfId="304" xr:uid="{00000000-0005-0000-0000-000075000000}"/>
    <cellStyle name="Comma 2 2_Database" xfId="221" xr:uid="{00000000-0005-0000-0000-000076000000}"/>
    <cellStyle name="Comma 2 3" xfId="103" xr:uid="{00000000-0005-0000-0000-000077000000}"/>
    <cellStyle name="Comma 23" xfId="318" xr:uid="{C0704FDB-B3E1-4FD8-A360-1C93202FCDDF}"/>
    <cellStyle name="Comma 3" xfId="104" xr:uid="{00000000-0005-0000-0000-000078000000}"/>
    <cellStyle name="Comma 3 2" xfId="131" xr:uid="{00000000-0005-0000-0000-000079000000}"/>
    <cellStyle name="Comma 3 2 2" xfId="198" xr:uid="{00000000-0005-0000-0000-00007A000000}"/>
    <cellStyle name="Comma 3 3" xfId="191" xr:uid="{00000000-0005-0000-0000-00007B000000}"/>
    <cellStyle name="Comma 3 4" xfId="295" xr:uid="{00000000-0005-0000-0000-00007C000000}"/>
    <cellStyle name="Comma 4" xfId="123" xr:uid="{00000000-0005-0000-0000-00007D000000}"/>
    <cellStyle name="Comma 4 2" xfId="289" xr:uid="{00000000-0005-0000-0000-00007E000000}"/>
    <cellStyle name="Comma 4 3" xfId="282" xr:uid="{00000000-0005-0000-0000-00007F000000}"/>
    <cellStyle name="Comma 4 6" xfId="274" xr:uid="{00000000-0005-0000-0000-000080000000}"/>
    <cellStyle name="Comma 4 6 2" xfId="290" xr:uid="{00000000-0005-0000-0000-000081000000}"/>
    <cellStyle name="Comma 4 6 3" xfId="298" xr:uid="{00000000-0005-0000-0000-000082000000}"/>
    <cellStyle name="Comma 4 6 4" xfId="301" xr:uid="{00000000-0005-0000-0000-000083000000}"/>
    <cellStyle name="Comma 4 6 5" xfId="283" xr:uid="{00000000-0005-0000-0000-000084000000}"/>
    <cellStyle name="Comma 4 6 6" xfId="306" xr:uid="{00000000-0005-0000-0000-000085000000}"/>
    <cellStyle name="Comma 5" xfId="169" xr:uid="{00000000-0005-0000-0000-000086000000}"/>
    <cellStyle name="Comma 5 2" xfId="300" xr:uid="{00000000-0005-0000-0000-000087000000}"/>
    <cellStyle name="Comma 6" xfId="278" xr:uid="{00000000-0005-0000-0000-000088000000}"/>
    <cellStyle name="Comma 7" xfId="303" xr:uid="{00000000-0005-0000-0000-000089000000}"/>
    <cellStyle name="Comma0" xfId="55" xr:uid="{00000000-0005-0000-0000-00008A000000}"/>
    <cellStyle name="Currency" xfId="2" builtinId="4"/>
    <cellStyle name="Currency 11" xfId="292" xr:uid="{00000000-0005-0000-0000-00008C000000}"/>
    <cellStyle name="Currency 2" xfId="10" xr:uid="{00000000-0005-0000-0000-00008D000000}"/>
    <cellStyle name="Currency 2 2" xfId="288" xr:uid="{00000000-0005-0000-0000-00008E000000}"/>
    <cellStyle name="Currency 2 3" xfId="281" xr:uid="{00000000-0005-0000-0000-00008F000000}"/>
    <cellStyle name="Currency 2 4" xfId="74" xr:uid="{00000000-0005-0000-0000-000090000000}"/>
    <cellStyle name="Currency 3" xfId="132" xr:uid="{00000000-0005-0000-0000-000091000000}"/>
    <cellStyle name="Currency 3 2" xfId="291" xr:uid="{00000000-0005-0000-0000-000092000000}"/>
    <cellStyle name="Currency 3 3" xfId="284" xr:uid="{00000000-0005-0000-0000-000093000000}"/>
    <cellStyle name="Currency 3 4" xfId="276" xr:uid="{00000000-0005-0000-0000-000094000000}"/>
    <cellStyle name="Currency 4" xfId="156" xr:uid="{00000000-0005-0000-0000-000095000000}"/>
    <cellStyle name="Currency 4 2" xfId="160" xr:uid="{00000000-0005-0000-0000-000096000000}"/>
    <cellStyle name="Currency 4 2 2" xfId="287" xr:uid="{00000000-0005-0000-0000-000097000000}"/>
    <cellStyle name="Currency 4 3" xfId="167" xr:uid="{00000000-0005-0000-0000-000098000000}"/>
    <cellStyle name="Currency 4 3 2" xfId="297" xr:uid="{00000000-0005-0000-0000-000099000000}"/>
    <cellStyle name="Currency 4 4" xfId="224" xr:uid="{00000000-0005-0000-0000-00009A000000}"/>
    <cellStyle name="Currency 4 5" xfId="280" xr:uid="{00000000-0005-0000-0000-00009B000000}"/>
    <cellStyle name="Currency 4 6" xfId="305" xr:uid="{00000000-0005-0000-0000-00009C000000}"/>
    <cellStyle name="Currency 5" xfId="6" xr:uid="{00000000-0005-0000-0000-00009D000000}"/>
    <cellStyle name="Currency 5 2" xfId="285" xr:uid="{00000000-0005-0000-0000-00009E000000}"/>
    <cellStyle name="Currency 5 3" xfId="158" xr:uid="{00000000-0005-0000-0000-00009F000000}"/>
    <cellStyle name="Currency 6" xfId="163" xr:uid="{00000000-0005-0000-0000-0000A0000000}"/>
    <cellStyle name="Currency 6 2" xfId="294" xr:uid="{00000000-0005-0000-0000-0000A1000000}"/>
    <cellStyle name="Currency 7" xfId="299" xr:uid="{00000000-0005-0000-0000-0000A2000000}"/>
    <cellStyle name="Currency 8" xfId="277" xr:uid="{00000000-0005-0000-0000-0000A3000000}"/>
    <cellStyle name="Currency 9" xfId="302" xr:uid="{00000000-0005-0000-0000-0000A4000000}"/>
    <cellStyle name="Currency0" xfId="56" xr:uid="{00000000-0005-0000-0000-0000A5000000}"/>
    <cellStyle name="Date" xfId="57" xr:uid="{00000000-0005-0000-0000-0000A6000000}"/>
    <cellStyle name="Explanatory Text" xfId="25" builtinId="53" customBuiltin="1"/>
    <cellStyle name="Explanatory Text 2" xfId="105" xr:uid="{00000000-0005-0000-0000-0000A8000000}"/>
    <cellStyle name="Fixed" xfId="58" xr:uid="{00000000-0005-0000-0000-0000A9000000}"/>
    <cellStyle name="Followed Hyperlink" xfId="154" builtinId="9" customBuiltin="1"/>
    <cellStyle name="Good" xfId="15" builtinId="26" customBuiltin="1"/>
    <cellStyle name="Good 2" xfId="106" xr:uid="{00000000-0005-0000-0000-0000AC000000}"/>
    <cellStyle name="Grey" xfId="59" xr:uid="{00000000-0005-0000-0000-0000AD000000}"/>
    <cellStyle name="Heading 1" xfId="11" builtinId="16" customBuiltin="1"/>
    <cellStyle name="Heading 1 2" xfId="107" xr:uid="{00000000-0005-0000-0000-0000AF000000}"/>
    <cellStyle name="Heading 2" xfId="12" builtinId="17" customBuiltin="1"/>
    <cellStyle name="Heading 2 2" xfId="108" xr:uid="{00000000-0005-0000-0000-0000B1000000}"/>
    <cellStyle name="Heading 3" xfId="13" builtinId="18" customBuiltin="1"/>
    <cellStyle name="Heading 3 2" xfId="109" xr:uid="{00000000-0005-0000-0000-0000B3000000}"/>
    <cellStyle name="Heading 4" xfId="14" builtinId="19" customBuiltin="1"/>
    <cellStyle name="Heading 4 2" xfId="110" xr:uid="{00000000-0005-0000-0000-0000B5000000}"/>
    <cellStyle name="Hyperlink 2" xfId="153" xr:uid="{00000000-0005-0000-0000-0000B6000000}"/>
    <cellStyle name="Input" xfId="18" builtinId="20" customBuiltin="1"/>
    <cellStyle name="Input [yellow]" xfId="60" xr:uid="{00000000-0005-0000-0000-0000B8000000}"/>
    <cellStyle name="Input 2" xfId="111" xr:uid="{00000000-0005-0000-0000-0000B9000000}"/>
    <cellStyle name="Linked Cell" xfId="21" builtinId="24" customBuiltin="1"/>
    <cellStyle name="Linked Cell 2" xfId="112" xr:uid="{00000000-0005-0000-0000-0000BB000000}"/>
    <cellStyle name="M" xfId="61" xr:uid="{00000000-0005-0000-0000-0000BC000000}"/>
    <cellStyle name="M.00" xfId="62" xr:uid="{00000000-0005-0000-0000-0000BD000000}"/>
    <cellStyle name="M_9. Rev2Cost_GDPIPI" xfId="71" xr:uid="{00000000-0005-0000-0000-0000BE000000}"/>
    <cellStyle name="M_9. Rev2Cost_GDPIPI 2" xfId="127" xr:uid="{00000000-0005-0000-0000-0000BF000000}"/>
    <cellStyle name="M_9. Rev2Cost_GDPIPI_6.2 CBR B" xfId="249" xr:uid="{00000000-0005-0000-0000-0000C0000000}"/>
    <cellStyle name="M_9. Rev2Cost_GDPIPI_9. Shared Tax - Rate Rider" xfId="265" xr:uid="{00000000-0005-0000-0000-0000C1000000}"/>
    <cellStyle name="M_lists" xfId="66" xr:uid="{00000000-0005-0000-0000-0000C2000000}"/>
    <cellStyle name="M_lists 2" xfId="125" xr:uid="{00000000-0005-0000-0000-0000C3000000}"/>
    <cellStyle name="M_lists_4. Current Monthly Fixed Charge" xfId="68" xr:uid="{00000000-0005-0000-0000-0000C4000000}"/>
    <cellStyle name="M_lists_6.2 CBR B" xfId="250" xr:uid="{00000000-0005-0000-0000-0000C5000000}"/>
    <cellStyle name="M_lists_9. Shared Tax - Rate Rider" xfId="266" xr:uid="{00000000-0005-0000-0000-0000C6000000}"/>
    <cellStyle name="M_Sheet4" xfId="73" xr:uid="{00000000-0005-0000-0000-0000C7000000}"/>
    <cellStyle name="M_Sheet4 2" xfId="129" xr:uid="{00000000-0005-0000-0000-0000C8000000}"/>
    <cellStyle name="M_Sheet4_6.2 CBR B" xfId="251" xr:uid="{00000000-0005-0000-0000-0000C9000000}"/>
    <cellStyle name="M_Sheet4_9. Shared Tax - Rate Rider" xfId="267" xr:uid="{00000000-0005-0000-0000-0000CA000000}"/>
    <cellStyle name="Neutral" xfId="17" builtinId="28" customBuiltin="1"/>
    <cellStyle name="Neutral 2" xfId="113" xr:uid="{00000000-0005-0000-0000-0000CC000000}"/>
    <cellStyle name="Normal" xfId="0" builtinId="0"/>
    <cellStyle name="Normal - Style1" xfId="63" xr:uid="{00000000-0005-0000-0000-0000CE000000}"/>
    <cellStyle name="Normal 10 12" xfId="157" xr:uid="{00000000-0005-0000-0000-0000CF000000}"/>
    <cellStyle name="Normal 11" xfId="268" xr:uid="{00000000-0005-0000-0000-0000D0000000}"/>
    <cellStyle name="Normal 12" xfId="7" xr:uid="{00000000-0005-0000-0000-0000D1000000}"/>
    <cellStyle name="Normal 13 6" xfId="272" xr:uid="{00000000-0005-0000-0000-0000D2000000}"/>
    <cellStyle name="Normal 15" xfId="273" xr:uid="{00000000-0005-0000-0000-0000D3000000}"/>
    <cellStyle name="Normal 167" xfId="136" xr:uid="{00000000-0005-0000-0000-0000D4000000}"/>
    <cellStyle name="Normal 167 2" xfId="202" xr:uid="{00000000-0005-0000-0000-0000D5000000}"/>
    <cellStyle name="Normal 167_6.2 CBR B" xfId="252" xr:uid="{00000000-0005-0000-0000-0000D6000000}"/>
    <cellStyle name="Normal 168" xfId="137" xr:uid="{00000000-0005-0000-0000-0000D7000000}"/>
    <cellStyle name="Normal 168 2" xfId="203" xr:uid="{00000000-0005-0000-0000-0000D8000000}"/>
    <cellStyle name="Normal 168_6.2 CBR B" xfId="253" xr:uid="{00000000-0005-0000-0000-0000D9000000}"/>
    <cellStyle name="Normal 169" xfId="138" xr:uid="{00000000-0005-0000-0000-0000DA000000}"/>
    <cellStyle name="Normal 169 2" xfId="204" xr:uid="{00000000-0005-0000-0000-0000DB000000}"/>
    <cellStyle name="Normal 169_6.2 CBR B" xfId="254" xr:uid="{00000000-0005-0000-0000-0000DC000000}"/>
    <cellStyle name="Normal 170" xfId="139" xr:uid="{00000000-0005-0000-0000-0000DD000000}"/>
    <cellStyle name="Normal 170 2" xfId="205" xr:uid="{00000000-0005-0000-0000-0000DE000000}"/>
    <cellStyle name="Normal 170_6.2 CBR B" xfId="255" xr:uid="{00000000-0005-0000-0000-0000DF000000}"/>
    <cellStyle name="Normal 171" xfId="140" xr:uid="{00000000-0005-0000-0000-0000E0000000}"/>
    <cellStyle name="Normal 171 2" xfId="206" xr:uid="{00000000-0005-0000-0000-0000E1000000}"/>
    <cellStyle name="Normal 171_6.2 CBR B" xfId="256" xr:uid="{00000000-0005-0000-0000-0000E2000000}"/>
    <cellStyle name="Normal 19" xfId="141" xr:uid="{00000000-0005-0000-0000-0000E3000000}"/>
    <cellStyle name="Normal 2" xfId="4" xr:uid="{00000000-0005-0000-0000-0000E4000000}"/>
    <cellStyle name="Normal 25" xfId="142" xr:uid="{00000000-0005-0000-0000-0000E5000000}"/>
    <cellStyle name="Normal 3" xfId="114" xr:uid="{00000000-0005-0000-0000-0000E6000000}"/>
    <cellStyle name="Normal 3 2" xfId="192" xr:uid="{00000000-0005-0000-0000-0000E7000000}"/>
    <cellStyle name="Normal 3_6.2 CBR B" xfId="257" xr:uid="{00000000-0005-0000-0000-0000E8000000}"/>
    <cellStyle name="Normal 30" xfId="143" xr:uid="{00000000-0005-0000-0000-0000E9000000}"/>
    <cellStyle name="Normal 31" xfId="148" xr:uid="{00000000-0005-0000-0000-0000EA000000}"/>
    <cellStyle name="Normal 34" xfId="319" xr:uid="{841E452F-DC39-4B99-ADC8-31FAEFB12AA7}"/>
    <cellStyle name="Normal 4" xfId="115" xr:uid="{00000000-0005-0000-0000-0000EB000000}"/>
    <cellStyle name="Normal 4 2" xfId="193" xr:uid="{00000000-0005-0000-0000-0000EC000000}"/>
    <cellStyle name="Normal 4_6.2 CBR B" xfId="258" xr:uid="{00000000-0005-0000-0000-0000ED000000}"/>
    <cellStyle name="Normal 41" xfId="144" xr:uid="{00000000-0005-0000-0000-0000EE000000}"/>
    <cellStyle name="Normal 42" xfId="149" xr:uid="{00000000-0005-0000-0000-0000EF000000}"/>
    <cellStyle name="Normal 5" xfId="116" xr:uid="{00000000-0005-0000-0000-0000F0000000}"/>
    <cellStyle name="Normal 5 2" xfId="133" xr:uid="{00000000-0005-0000-0000-0000F1000000}"/>
    <cellStyle name="Normal 5 2 2" xfId="199" xr:uid="{00000000-0005-0000-0000-0000F2000000}"/>
    <cellStyle name="Normal 5 2_6.2 CBR B" xfId="260" xr:uid="{00000000-0005-0000-0000-0000F3000000}"/>
    <cellStyle name="Normal 5 3" xfId="194" xr:uid="{00000000-0005-0000-0000-0000F4000000}"/>
    <cellStyle name="Normal 5_6.2 CBR B" xfId="259" xr:uid="{00000000-0005-0000-0000-0000F5000000}"/>
    <cellStyle name="Normal 50" xfId="145" xr:uid="{00000000-0005-0000-0000-0000F6000000}"/>
    <cellStyle name="Normal 51" xfId="147" xr:uid="{00000000-0005-0000-0000-0000F7000000}"/>
    <cellStyle name="Normal 52" xfId="150" xr:uid="{00000000-0005-0000-0000-0000F8000000}"/>
    <cellStyle name="Normal 6" xfId="130" xr:uid="{00000000-0005-0000-0000-0000F9000000}"/>
    <cellStyle name="Normal 6 2" xfId="197" xr:uid="{00000000-0005-0000-0000-0000FA000000}"/>
    <cellStyle name="Normal 6 3" xfId="293" xr:uid="{00000000-0005-0000-0000-0000FB000000}"/>
    <cellStyle name="Normal 6 4" xfId="271" xr:uid="{00000000-0005-0000-0000-0000FC000000}"/>
    <cellStyle name="Normal 6_6.2 CBR B" xfId="261" xr:uid="{00000000-0005-0000-0000-0000FD000000}"/>
    <cellStyle name="Normal 60" xfId="146" xr:uid="{00000000-0005-0000-0000-0000FE000000}"/>
    <cellStyle name="Normal 61" xfId="151" xr:uid="{00000000-0005-0000-0000-0000FF000000}"/>
    <cellStyle name="Note" xfId="24" builtinId="10" customBuiltin="1"/>
    <cellStyle name="Note 2" xfId="117" xr:uid="{00000000-0005-0000-0000-000001010000}"/>
    <cellStyle name="Note 2 2" xfId="195" xr:uid="{00000000-0005-0000-0000-000002010000}"/>
    <cellStyle name="Note 3" xfId="207" xr:uid="{00000000-0005-0000-0000-000003010000}"/>
    <cellStyle name="Output" xfId="19" builtinId="21" customBuiltin="1"/>
    <cellStyle name="Output 2" xfId="118" xr:uid="{00000000-0005-0000-0000-000005010000}"/>
    <cellStyle name="Percent" xfId="3" builtinId="5"/>
    <cellStyle name="Percent [2]" xfId="64" xr:uid="{00000000-0005-0000-0000-000007010000}"/>
    <cellStyle name="Percent 10" xfId="170" xr:uid="{00000000-0005-0000-0000-000008010000}"/>
    <cellStyle name="Percent 11" xfId="171" xr:uid="{00000000-0005-0000-0000-000009010000}"/>
    <cellStyle name="Percent 12" xfId="172" xr:uid="{00000000-0005-0000-0000-00000A010000}"/>
    <cellStyle name="Percent 13" xfId="173" xr:uid="{00000000-0005-0000-0000-00000B010000}"/>
    <cellStyle name="Percent 13 6" xfId="275" xr:uid="{00000000-0005-0000-0000-00000C010000}"/>
    <cellStyle name="Percent 14" xfId="174" xr:uid="{00000000-0005-0000-0000-00000D010000}"/>
    <cellStyle name="Percent 15" xfId="175" xr:uid="{00000000-0005-0000-0000-00000E010000}"/>
    <cellStyle name="Percent 16" xfId="176" xr:uid="{00000000-0005-0000-0000-00000F010000}"/>
    <cellStyle name="Percent 17" xfId="178" xr:uid="{00000000-0005-0000-0000-000010010000}"/>
    <cellStyle name="Percent 18" xfId="177" xr:uid="{00000000-0005-0000-0000-000011010000}"/>
    <cellStyle name="Percent 19" xfId="220" xr:uid="{00000000-0005-0000-0000-000012010000}"/>
    <cellStyle name="Percent 2" xfId="9" xr:uid="{00000000-0005-0000-0000-000013010000}"/>
    <cellStyle name="Percent 2 2" xfId="75" xr:uid="{00000000-0005-0000-0000-000014010000}"/>
    <cellStyle name="Percent 20" xfId="222" xr:uid="{00000000-0005-0000-0000-000015010000}"/>
    <cellStyle name="Percent 21" xfId="225" xr:uid="{00000000-0005-0000-0000-000016010000}"/>
    <cellStyle name="Percent 22" xfId="226" xr:uid="{00000000-0005-0000-0000-000017010000}"/>
    <cellStyle name="Percent 23" xfId="227" xr:uid="{00000000-0005-0000-0000-000018010000}"/>
    <cellStyle name="Percent 24" xfId="228" xr:uid="{00000000-0005-0000-0000-000019010000}"/>
    <cellStyle name="Percent 25" xfId="229" xr:uid="{00000000-0005-0000-0000-00001A010000}"/>
    <cellStyle name="Percent 26" xfId="230" xr:uid="{00000000-0005-0000-0000-00001B010000}"/>
    <cellStyle name="Percent 27" xfId="231" xr:uid="{00000000-0005-0000-0000-00001C010000}"/>
    <cellStyle name="Percent 28" xfId="232" xr:uid="{00000000-0005-0000-0000-00001D010000}"/>
    <cellStyle name="Percent 29" xfId="233" xr:uid="{00000000-0005-0000-0000-00001E010000}"/>
    <cellStyle name="Percent 3" xfId="119" xr:uid="{00000000-0005-0000-0000-00001F010000}"/>
    <cellStyle name="Percent 3 2" xfId="134" xr:uid="{00000000-0005-0000-0000-000020010000}"/>
    <cellStyle name="Percent 3 2 2" xfId="200" xr:uid="{00000000-0005-0000-0000-000021010000}"/>
    <cellStyle name="Percent 3 3" xfId="196" xr:uid="{00000000-0005-0000-0000-000022010000}"/>
    <cellStyle name="Percent 30" xfId="270" xr:uid="{00000000-0005-0000-0000-000023010000}"/>
    <cellStyle name="Percent 31" xfId="307" xr:uid="{00000000-0005-0000-0000-000024010000}"/>
    <cellStyle name="Percent 32" xfId="5" xr:uid="{00000000-0005-0000-0000-000025010000}"/>
    <cellStyle name="Percent 32 2" xfId="308" xr:uid="{00000000-0005-0000-0000-000026010000}"/>
    <cellStyle name="Percent 33" xfId="309" xr:uid="{00000000-0005-0000-0000-000027010000}"/>
    <cellStyle name="Percent 34" xfId="317" xr:uid="{00000000-0005-0000-0000-000028010000}"/>
    <cellStyle name="Percent 35" xfId="315" xr:uid="{00000000-0005-0000-0000-000029010000}"/>
    <cellStyle name="Percent 36" xfId="314" xr:uid="{00000000-0005-0000-0000-00002A010000}"/>
    <cellStyle name="Percent 37" xfId="310" xr:uid="{00000000-0005-0000-0000-00002B010000}"/>
    <cellStyle name="Percent 38" xfId="316" xr:uid="{00000000-0005-0000-0000-00002C010000}"/>
    <cellStyle name="Percent 39" xfId="311" xr:uid="{00000000-0005-0000-0000-00002D010000}"/>
    <cellStyle name="Percent 4" xfId="135" xr:uid="{00000000-0005-0000-0000-00002E010000}"/>
    <cellStyle name="Percent 4 2" xfId="201" xr:uid="{00000000-0005-0000-0000-00002F010000}"/>
    <cellStyle name="Percent 40" xfId="313" xr:uid="{00000000-0005-0000-0000-000030010000}"/>
    <cellStyle name="Percent 41" xfId="312" xr:uid="{00000000-0005-0000-0000-000031010000}"/>
    <cellStyle name="Percent 5" xfId="159" xr:uid="{00000000-0005-0000-0000-000032010000}"/>
    <cellStyle name="Percent 54" xfId="269" xr:uid="{00000000-0005-0000-0000-000033010000}"/>
    <cellStyle name="Percent 6" xfId="164" xr:uid="{00000000-0005-0000-0000-000034010000}"/>
    <cellStyle name="Percent 7" xfId="165" xr:uid="{00000000-0005-0000-0000-000035010000}"/>
    <cellStyle name="Percent 8" xfId="162" xr:uid="{00000000-0005-0000-0000-000036010000}"/>
    <cellStyle name="Percent 9" xfId="168" xr:uid="{00000000-0005-0000-0000-000037010000}"/>
    <cellStyle name="Title 2" xfId="120" xr:uid="{00000000-0005-0000-0000-000038010000}"/>
    <cellStyle name="Title 3" xfId="152" xr:uid="{00000000-0005-0000-0000-000039010000}"/>
    <cellStyle name="Total" xfId="26" builtinId="25" customBuiltin="1"/>
    <cellStyle name="Total 2" xfId="121" xr:uid="{00000000-0005-0000-0000-00003B010000}"/>
    <cellStyle name="Warning Text" xfId="23" builtinId="11" customBuiltin="1"/>
    <cellStyle name="Warning Text 2" xfId="122" xr:uid="{00000000-0005-0000-0000-00003D010000}"/>
  </cellStyles>
  <dxfs count="0"/>
  <tableStyles count="0" defaultTableStyle="TableStyleMedium2" defaultPivotStyle="PivotStyleLight16"/>
  <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85725</xdr:rowOff>
    </xdr:from>
    <xdr:to>
      <xdr:col>4</xdr:col>
      <xdr:colOff>1161220</xdr:colOff>
      <xdr:row>9</xdr:row>
      <xdr:rowOff>0</xdr:rowOff>
    </xdr:to>
    <xdr:pic>
      <xdr:nvPicPr>
        <xdr:cNvPr id="2" name="Picture 1">
          <a:extLst>
            <a:ext uri="{FF2B5EF4-FFF2-40B4-BE49-F238E27FC236}">
              <a16:creationId xmlns:a16="http://schemas.microsoft.com/office/drawing/2014/main" id="{F8649098-88A0-4C32-B017-18652D00702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85725"/>
          <a:ext cx="3089080" cy="1560195"/>
        </a:xfrm>
        <a:prstGeom prst="rect">
          <a:avLst/>
        </a:prstGeom>
        <a:ln>
          <a:noFill/>
        </a:ln>
        <a:effectLst>
          <a:softEdge rad="112500"/>
        </a:effectLst>
      </xdr:spPr>
    </xdr:pic>
    <xdr:clientData/>
  </xdr:twoCellAnchor>
  <xdr:twoCellAnchor>
    <xdr:from>
      <xdr:col>0</xdr:col>
      <xdr:colOff>28575</xdr:colOff>
      <xdr:row>4</xdr:row>
      <xdr:rowOff>19050</xdr:rowOff>
    </xdr:from>
    <xdr:to>
      <xdr:col>4</xdr:col>
      <xdr:colOff>952500</xdr:colOff>
      <xdr:row>7</xdr:row>
      <xdr:rowOff>180975</xdr:rowOff>
    </xdr:to>
    <xdr:sp macro="" textlink="">
      <xdr:nvSpPr>
        <xdr:cNvPr id="3" name="Rectangle 2">
          <a:extLst>
            <a:ext uri="{FF2B5EF4-FFF2-40B4-BE49-F238E27FC236}">
              <a16:creationId xmlns:a16="http://schemas.microsoft.com/office/drawing/2014/main" id="{F04ED3A5-8345-4A6F-A721-E3D5C2F52FAD}"/>
            </a:ext>
          </a:extLst>
        </xdr:cNvPr>
        <xdr:cNvSpPr/>
      </xdr:nvSpPr>
      <xdr:spPr>
        <a:xfrm>
          <a:off x="28575" y="750570"/>
          <a:ext cx="3057525" cy="710565"/>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GA Analysis Workform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0</xdr:col>
      <xdr:colOff>638175</xdr:colOff>
      <xdr:row>1</xdr:row>
      <xdr:rowOff>19050</xdr:rowOff>
    </xdr:from>
    <xdr:to>
      <xdr:col>2</xdr:col>
      <xdr:colOff>920906</xdr:colOff>
      <xdr:row>2</xdr:row>
      <xdr:rowOff>79501</xdr:rowOff>
    </xdr:to>
    <xdr:sp macro="" textlink="">
      <xdr:nvSpPr>
        <xdr:cNvPr id="4" name="Rectangle 3">
          <a:extLst>
            <a:ext uri="{FF2B5EF4-FFF2-40B4-BE49-F238E27FC236}">
              <a16:creationId xmlns:a16="http://schemas.microsoft.com/office/drawing/2014/main" id="{AE1F16E9-6194-4CD6-ADE6-92BC00B3E664}"/>
            </a:ext>
          </a:extLst>
        </xdr:cNvPr>
        <xdr:cNvSpPr/>
      </xdr:nvSpPr>
      <xdr:spPr>
        <a:xfrm>
          <a:off x="615315" y="201930"/>
          <a:ext cx="1235231" cy="24333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0</xdr:col>
      <xdr:colOff>209550</xdr:colOff>
      <xdr:row>1</xdr:row>
      <xdr:rowOff>38100</xdr:rowOff>
    </xdr:from>
    <xdr:to>
      <xdr:col>0</xdr:col>
      <xdr:colOff>598832</xdr:colOff>
      <xdr:row>2</xdr:row>
      <xdr:rowOff>143113</xdr:rowOff>
    </xdr:to>
    <xdr:pic>
      <xdr:nvPicPr>
        <xdr:cNvPr id="5" name="Picture 4">
          <a:extLst>
            <a:ext uri="{FF2B5EF4-FFF2-40B4-BE49-F238E27FC236}">
              <a16:creationId xmlns:a16="http://schemas.microsoft.com/office/drawing/2014/main" id="{F0048FAB-9502-48E6-B6C9-6E72915642EA}"/>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209550" y="220980"/>
          <a:ext cx="389282" cy="2878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85725</xdr:rowOff>
    </xdr:from>
    <xdr:to>
      <xdr:col>4</xdr:col>
      <xdr:colOff>1161220</xdr:colOff>
      <xdr:row>9</xdr:row>
      <xdr:rowOff>0</xdr:rowOff>
    </xdr:to>
    <xdr:pic>
      <xdr:nvPicPr>
        <xdr:cNvPr id="2" name="Picture 1">
          <a:extLst>
            <a:ext uri="{FF2B5EF4-FFF2-40B4-BE49-F238E27FC236}">
              <a16:creationId xmlns:a16="http://schemas.microsoft.com/office/drawing/2014/main" id="{328E0284-349C-4281-9ABC-68787781AD76}"/>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85725"/>
          <a:ext cx="3089080" cy="1560195"/>
        </a:xfrm>
        <a:prstGeom prst="rect">
          <a:avLst/>
        </a:prstGeom>
        <a:ln>
          <a:noFill/>
        </a:ln>
        <a:effectLst>
          <a:softEdge rad="112500"/>
        </a:effectLst>
      </xdr:spPr>
    </xdr:pic>
    <xdr:clientData/>
  </xdr:twoCellAnchor>
  <xdr:twoCellAnchor>
    <xdr:from>
      <xdr:col>0</xdr:col>
      <xdr:colOff>28575</xdr:colOff>
      <xdr:row>4</xdr:row>
      <xdr:rowOff>19050</xdr:rowOff>
    </xdr:from>
    <xdr:to>
      <xdr:col>4</xdr:col>
      <xdr:colOff>952500</xdr:colOff>
      <xdr:row>7</xdr:row>
      <xdr:rowOff>180975</xdr:rowOff>
    </xdr:to>
    <xdr:sp macro="" textlink="">
      <xdr:nvSpPr>
        <xdr:cNvPr id="3" name="Rectangle 2">
          <a:extLst>
            <a:ext uri="{FF2B5EF4-FFF2-40B4-BE49-F238E27FC236}">
              <a16:creationId xmlns:a16="http://schemas.microsoft.com/office/drawing/2014/main" id="{62CEE1F6-94E8-4086-92B3-C3B2C4941E00}"/>
            </a:ext>
          </a:extLst>
        </xdr:cNvPr>
        <xdr:cNvSpPr/>
      </xdr:nvSpPr>
      <xdr:spPr>
        <a:xfrm>
          <a:off x="28575" y="750570"/>
          <a:ext cx="3057525" cy="710565"/>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GA Analysis Workform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0</xdr:col>
      <xdr:colOff>638175</xdr:colOff>
      <xdr:row>1</xdr:row>
      <xdr:rowOff>19050</xdr:rowOff>
    </xdr:from>
    <xdr:to>
      <xdr:col>2</xdr:col>
      <xdr:colOff>920906</xdr:colOff>
      <xdr:row>2</xdr:row>
      <xdr:rowOff>79501</xdr:rowOff>
    </xdr:to>
    <xdr:sp macro="" textlink="">
      <xdr:nvSpPr>
        <xdr:cNvPr id="4" name="Rectangle 3">
          <a:extLst>
            <a:ext uri="{FF2B5EF4-FFF2-40B4-BE49-F238E27FC236}">
              <a16:creationId xmlns:a16="http://schemas.microsoft.com/office/drawing/2014/main" id="{68B97EA5-DAA2-4404-B596-101EE56081BB}"/>
            </a:ext>
          </a:extLst>
        </xdr:cNvPr>
        <xdr:cNvSpPr/>
      </xdr:nvSpPr>
      <xdr:spPr>
        <a:xfrm>
          <a:off x="615315" y="201930"/>
          <a:ext cx="1235231" cy="24333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0</xdr:col>
      <xdr:colOff>209550</xdr:colOff>
      <xdr:row>1</xdr:row>
      <xdr:rowOff>38100</xdr:rowOff>
    </xdr:from>
    <xdr:to>
      <xdr:col>0</xdr:col>
      <xdr:colOff>598832</xdr:colOff>
      <xdr:row>2</xdr:row>
      <xdr:rowOff>143113</xdr:rowOff>
    </xdr:to>
    <xdr:pic>
      <xdr:nvPicPr>
        <xdr:cNvPr id="5" name="Picture 4">
          <a:extLst>
            <a:ext uri="{FF2B5EF4-FFF2-40B4-BE49-F238E27FC236}">
              <a16:creationId xmlns:a16="http://schemas.microsoft.com/office/drawing/2014/main" id="{99345D2A-378C-4D57-9B52-9F908300B947}"/>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209550" y="220980"/>
          <a:ext cx="389282" cy="2878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15240</xdr:rowOff>
    </xdr:from>
    <xdr:to>
      <xdr:col>11</xdr:col>
      <xdr:colOff>528760</xdr:colOff>
      <xdr:row>8</xdr:row>
      <xdr:rowOff>112395</xdr:rowOff>
    </xdr:to>
    <xdr:pic>
      <xdr:nvPicPr>
        <xdr:cNvPr id="2" name="Picture 1">
          <a:extLst>
            <a:ext uri="{FF2B5EF4-FFF2-40B4-BE49-F238E27FC236}">
              <a16:creationId xmlns:a16="http://schemas.microsoft.com/office/drawing/2014/main" id="{B4170756-7B52-4B82-A265-A6D242206142}"/>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15240"/>
          <a:ext cx="13040800" cy="1499235"/>
        </a:xfrm>
        <a:prstGeom prst="rect">
          <a:avLst/>
        </a:prstGeom>
        <a:ln>
          <a:noFill/>
        </a:ln>
        <a:effectLst>
          <a:softEdge rad="112500"/>
        </a:effectLst>
      </xdr:spPr>
    </xdr:pic>
    <xdr:clientData/>
  </xdr:twoCellAnchor>
  <xdr:twoCellAnchor>
    <xdr:from>
      <xdr:col>0</xdr:col>
      <xdr:colOff>28575</xdr:colOff>
      <xdr:row>3</xdr:row>
      <xdr:rowOff>116205</xdr:rowOff>
    </xdr:from>
    <xdr:to>
      <xdr:col>11</xdr:col>
      <xdr:colOff>320040</xdr:colOff>
      <xdr:row>7</xdr:row>
      <xdr:rowOff>95250</xdr:rowOff>
    </xdr:to>
    <xdr:sp macro="" textlink="">
      <xdr:nvSpPr>
        <xdr:cNvPr id="3" name="Rectangle 2">
          <a:extLst>
            <a:ext uri="{FF2B5EF4-FFF2-40B4-BE49-F238E27FC236}">
              <a16:creationId xmlns:a16="http://schemas.microsoft.com/office/drawing/2014/main" id="{92333172-29CD-429B-B1A6-FEFBEF33F6F1}"/>
            </a:ext>
          </a:extLst>
        </xdr:cNvPr>
        <xdr:cNvSpPr/>
      </xdr:nvSpPr>
      <xdr:spPr>
        <a:xfrm>
          <a:off x="28575" y="641985"/>
          <a:ext cx="12803505" cy="680085"/>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Account 1588 Reasonability</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1</xdr:col>
      <xdr:colOff>28575</xdr:colOff>
      <xdr:row>0</xdr:row>
      <xdr:rowOff>116205</xdr:rowOff>
    </xdr:from>
    <xdr:to>
      <xdr:col>8</xdr:col>
      <xdr:colOff>448466</xdr:colOff>
      <xdr:row>1</xdr:row>
      <xdr:rowOff>176656</xdr:rowOff>
    </xdr:to>
    <xdr:sp macro="" textlink="">
      <xdr:nvSpPr>
        <xdr:cNvPr id="4" name="Rectangle 3">
          <a:extLst>
            <a:ext uri="{FF2B5EF4-FFF2-40B4-BE49-F238E27FC236}">
              <a16:creationId xmlns:a16="http://schemas.microsoft.com/office/drawing/2014/main" id="{9187F58C-4497-403A-992D-AEA6E87D231C}"/>
            </a:ext>
          </a:extLst>
        </xdr:cNvPr>
        <xdr:cNvSpPr/>
      </xdr:nvSpPr>
      <xdr:spPr>
        <a:xfrm>
          <a:off x="638175" y="116205"/>
          <a:ext cx="10493531" cy="23571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0</xdr:col>
      <xdr:colOff>198120</xdr:colOff>
      <xdr:row>1</xdr:row>
      <xdr:rowOff>15240</xdr:rowOff>
    </xdr:from>
    <xdr:to>
      <xdr:col>0</xdr:col>
      <xdr:colOff>587402</xdr:colOff>
      <xdr:row>2</xdr:row>
      <xdr:rowOff>120253</xdr:rowOff>
    </xdr:to>
    <xdr:pic>
      <xdr:nvPicPr>
        <xdr:cNvPr id="5" name="Picture 4">
          <a:extLst>
            <a:ext uri="{FF2B5EF4-FFF2-40B4-BE49-F238E27FC236}">
              <a16:creationId xmlns:a16="http://schemas.microsoft.com/office/drawing/2014/main" id="{CC23E036-5D9A-4C1A-8F7C-ED709A17B8A1}"/>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98120" y="190500"/>
          <a:ext cx="389282" cy="2802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126996</xdr:colOff>
      <xdr:row>0</xdr:row>
      <xdr:rowOff>0</xdr:rowOff>
    </xdr:from>
    <xdr:to>
      <xdr:col>2</xdr:col>
      <xdr:colOff>1057276</xdr:colOff>
      <xdr:row>10</xdr:row>
      <xdr:rowOff>164059</xdr:rowOff>
    </xdr:to>
    <xdr:pic>
      <xdr:nvPicPr>
        <xdr:cNvPr id="2" name="Picture 1">
          <a:extLst>
            <a:ext uri="{FF2B5EF4-FFF2-40B4-BE49-F238E27FC236}">
              <a16:creationId xmlns:a16="http://schemas.microsoft.com/office/drawing/2014/main" id="{C4325628-028D-4786-BDB9-A598EF393D1B}"/>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26996" y="0"/>
          <a:ext cx="1699900" cy="1992859"/>
        </a:xfrm>
        <a:prstGeom prst="rect">
          <a:avLst/>
        </a:prstGeom>
        <a:ln>
          <a:noFill/>
        </a:ln>
        <a:effectLst>
          <a:softEdge rad="112500"/>
        </a:effectLst>
      </xdr:spPr>
    </xdr:pic>
    <xdr:clientData/>
  </xdr:twoCellAnchor>
  <xdr:twoCellAnchor>
    <xdr:from>
      <xdr:col>0</xdr:col>
      <xdr:colOff>71158</xdr:colOff>
      <xdr:row>4</xdr:row>
      <xdr:rowOff>14078</xdr:rowOff>
    </xdr:from>
    <xdr:to>
      <xdr:col>2</xdr:col>
      <xdr:colOff>400050</xdr:colOff>
      <xdr:row>7</xdr:row>
      <xdr:rowOff>12327</xdr:rowOff>
    </xdr:to>
    <xdr:sp macro="" textlink="">
      <xdr:nvSpPr>
        <xdr:cNvPr id="3" name="Rectangle 2">
          <a:extLst>
            <a:ext uri="{FF2B5EF4-FFF2-40B4-BE49-F238E27FC236}">
              <a16:creationId xmlns:a16="http://schemas.microsoft.com/office/drawing/2014/main" id="{9099D365-78FA-4898-A42A-D090FDCE78A4}"/>
            </a:ext>
          </a:extLst>
        </xdr:cNvPr>
        <xdr:cNvSpPr/>
      </xdr:nvSpPr>
      <xdr:spPr>
        <a:xfrm>
          <a:off x="71158" y="745598"/>
          <a:ext cx="1548092" cy="546889"/>
        </a:xfrm>
        <a:prstGeom prst="rect">
          <a:avLst/>
        </a:prstGeom>
        <a:noFill/>
      </xdr:spPr>
      <xdr:txBody>
        <a:bodyPr wrap="none" lIns="91440" tIns="45720" rIns="91440" bIns="45720" anchor="ctr">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800" b="1" i="0" baseline="0">
              <a:effectLst>
                <a:outerShdw blurRad="50800" dist="38100" algn="tr" rotWithShape="0">
                  <a:prstClr val="black">
                    <a:alpha val="40000"/>
                  </a:prstClr>
                </a:outerShdw>
              </a:effectLst>
              <a:latin typeface="+mn-lt"/>
              <a:ea typeface="+mn-ea"/>
              <a:cs typeface="+mn-cs"/>
            </a:rPr>
            <a:t>Incentive Rate-setting Mechanism Rate </a:t>
          </a:r>
        </a:p>
        <a:p>
          <a:pPr algn="ctr" rtl="0"/>
          <a:r>
            <a:rPr lang="en-CA" sz="2800" b="1" i="0" baseline="0">
              <a:effectLst>
                <a:outerShdw blurRad="50800" dist="38100" algn="tr" rotWithShape="0">
                  <a:prstClr val="black">
                    <a:alpha val="40000"/>
                  </a:prstClr>
                </a:outerShdw>
              </a:effectLst>
              <a:latin typeface="+mn-lt"/>
              <a:ea typeface="+mn-ea"/>
              <a:cs typeface="+mn-cs"/>
            </a:rPr>
            <a:t>Generator for 2023 Filers</a:t>
          </a:r>
          <a:endParaRPr lang="en-CA" sz="2800" b="1">
            <a:effectLst>
              <a:outerShdw blurRad="50800" dist="38100" algn="tr" rotWithShape="0">
                <a:prstClr val="black">
                  <a:alpha val="40000"/>
                </a:prstClr>
              </a:outerShdw>
            </a:effectLst>
            <a:latin typeface="+mn-lt"/>
            <a:ea typeface="+mn-ea"/>
            <a:cs typeface="+mn-cs"/>
          </a:endParaRPr>
        </a:p>
      </xdr:txBody>
    </xdr:sp>
    <xdr:clientData/>
  </xdr:twoCellAnchor>
  <xdr:twoCellAnchor>
    <xdr:from>
      <xdr:col>0</xdr:col>
      <xdr:colOff>129624</xdr:colOff>
      <xdr:row>0</xdr:row>
      <xdr:rowOff>153177</xdr:rowOff>
    </xdr:from>
    <xdr:to>
      <xdr:col>1</xdr:col>
      <xdr:colOff>328406</xdr:colOff>
      <xdr:row>3</xdr:row>
      <xdr:rowOff>45547</xdr:rowOff>
    </xdr:to>
    <xdr:pic>
      <xdr:nvPicPr>
        <xdr:cNvPr id="4" name="Picture 3">
          <a:extLst>
            <a:ext uri="{FF2B5EF4-FFF2-40B4-BE49-F238E27FC236}">
              <a16:creationId xmlns:a16="http://schemas.microsoft.com/office/drawing/2014/main" id="{C944755C-DD4B-4C91-BE3E-C4EAE34A141B}"/>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29624" y="153177"/>
          <a:ext cx="808382" cy="4410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279671</xdr:colOff>
      <xdr:row>0</xdr:row>
      <xdr:rowOff>122923</xdr:rowOff>
    </xdr:from>
    <xdr:to>
      <xdr:col>1</xdr:col>
      <xdr:colOff>2862885</xdr:colOff>
      <xdr:row>2</xdr:row>
      <xdr:rowOff>144848</xdr:rowOff>
    </xdr:to>
    <xdr:sp macro="" textlink="">
      <xdr:nvSpPr>
        <xdr:cNvPr id="5" name="Rectangle 4">
          <a:extLst>
            <a:ext uri="{FF2B5EF4-FFF2-40B4-BE49-F238E27FC236}">
              <a16:creationId xmlns:a16="http://schemas.microsoft.com/office/drawing/2014/main" id="{6613D5CF-C3C8-4CF1-A26B-0BF57BE47639}"/>
            </a:ext>
          </a:extLst>
        </xdr:cNvPr>
        <xdr:cNvSpPr/>
      </xdr:nvSpPr>
      <xdr:spPr>
        <a:xfrm>
          <a:off x="889271" y="122923"/>
          <a:ext cx="327694" cy="387685"/>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ORPC%20Files/Management/Accounting/Rate%20Applications/2021%20Rates/IRM/2021_IRM_OttawaRiverPower_GAAnalysisWorkform_EB-2020-049.xlsb"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EB-2022-0058_IRM_2023-GA-Analysis-Workform.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rmation Sheet"/>
      <sheetName val="List"/>
      <sheetName val="GA Analysis "/>
      <sheetName val="GA 2015"/>
      <sheetName val="GA 2016"/>
      <sheetName val="GA 2017"/>
      <sheetName val="GA 2018"/>
      <sheetName val="GA 2019"/>
      <sheetName val="Principal Adjustments"/>
      <sheetName val="GA Rates"/>
      <sheetName val="RRR_2017"/>
      <sheetName val="RRR_2018"/>
      <sheetName val="RRR_2019"/>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4">
          <cell r="N4">
            <v>8.4229999999999999E-2</v>
          </cell>
          <cell r="O4">
            <v>9.214E-2</v>
          </cell>
          <cell r="P4">
            <v>9.1789999999999997E-2</v>
          </cell>
          <cell r="R4">
            <v>5.5490000000000005E-2</v>
          </cell>
          <cell r="S4">
            <v>6.1609999999999998E-2</v>
          </cell>
          <cell r="T4">
            <v>5.0680000000000003E-2</v>
          </cell>
        </row>
        <row r="5">
          <cell r="N5">
            <v>0.10384</v>
          </cell>
          <cell r="O5">
            <v>9.6780000000000005E-2</v>
          </cell>
          <cell r="P5">
            <v>9.851E-2</v>
          </cell>
          <cell r="R5">
            <v>6.9809999999999997E-2</v>
          </cell>
          <cell r="S5">
            <v>4.095E-2</v>
          </cell>
          <cell r="T5">
            <v>3.9609999999999999E-2</v>
          </cell>
        </row>
        <row r="6">
          <cell r="N6">
            <v>9.0219999999999995E-2</v>
          </cell>
          <cell r="O6">
            <v>0.10299</v>
          </cell>
          <cell r="P6">
            <v>0.1061</v>
          </cell>
          <cell r="R6">
            <v>3.6040000000000003E-2</v>
          </cell>
          <cell r="S6">
            <v>5.74E-2</v>
          </cell>
          <cell r="T6">
            <v>6.2899999999999998E-2</v>
          </cell>
        </row>
        <row r="7">
          <cell r="N7">
            <v>0.12114999999999999</v>
          </cell>
          <cell r="O7">
            <v>0.11176999999999999</v>
          </cell>
          <cell r="P7">
            <v>0.11132</v>
          </cell>
          <cell r="R7">
            <v>6.7049999999999998E-2</v>
          </cell>
          <cell r="S7">
            <v>9.2679999999999998E-2</v>
          </cell>
          <cell r="T7">
            <v>9.5590000000000008E-2</v>
          </cell>
        </row>
        <row r="8">
          <cell r="N8">
            <v>0.10405</v>
          </cell>
          <cell r="O8">
            <v>0.11493</v>
          </cell>
          <cell r="P8">
            <v>0.10749</v>
          </cell>
          <cell r="R8">
            <v>9.4159999999999994E-2</v>
          </cell>
          <cell r="S8">
            <v>9.7299999999999998E-2</v>
          </cell>
          <cell r="T8">
            <v>9.6680000000000002E-2</v>
          </cell>
        </row>
        <row r="9">
          <cell r="N9">
            <v>0.11650000000000001</v>
          </cell>
          <cell r="O9">
            <v>9.3600000000000003E-2</v>
          </cell>
          <cell r="P9">
            <v>9.5449999999999993E-2</v>
          </cell>
          <cell r="R9">
            <v>9.2280000000000001E-2</v>
          </cell>
          <cell r="S9">
            <v>9.7680000000000003E-2</v>
          </cell>
          <cell r="T9">
            <v>9.5400000000000013E-2</v>
          </cell>
        </row>
        <row r="10">
          <cell r="N10">
            <v>7.6670000000000002E-2</v>
          </cell>
          <cell r="O10">
            <v>8.412E-2</v>
          </cell>
          <cell r="P10">
            <v>8.3059999999999995E-2</v>
          </cell>
          <cell r="R10">
            <v>8.8880000000000001E-2</v>
          </cell>
          <cell r="S10">
            <v>8.4129999999999996E-2</v>
          </cell>
          <cell r="T10">
            <v>7.8829999999999997E-2</v>
          </cell>
        </row>
        <row r="11">
          <cell r="N11">
            <v>8.5690000000000002E-2</v>
          </cell>
          <cell r="O11">
            <v>7.0499999999999993E-2</v>
          </cell>
          <cell r="P11">
            <v>7.1029999999999996E-2</v>
          </cell>
          <cell r="R11">
            <v>8.8050000000000003E-2</v>
          </cell>
          <cell r="S11">
            <v>7.3550000000000004E-2</v>
          </cell>
          <cell r="T11">
            <v>8.0099999999999991E-2</v>
          </cell>
        </row>
        <row r="12">
          <cell r="N12">
            <v>7.0599999999999996E-2</v>
          </cell>
          <cell r="O12">
            <v>9.1480000000000006E-2</v>
          </cell>
          <cell r="P12">
            <v>9.5310000000000006E-2</v>
          </cell>
          <cell r="R12">
            <v>8.270000000000001E-2</v>
          </cell>
          <cell r="S12">
            <v>7.1910000000000002E-2</v>
          </cell>
          <cell r="T12">
            <v>6.7030000000000006E-2</v>
          </cell>
        </row>
        <row r="13">
          <cell r="N13">
            <v>9.7199999999999995E-2</v>
          </cell>
          <cell r="O13">
            <v>0.1178</v>
          </cell>
          <cell r="P13">
            <v>0.11226</v>
          </cell>
          <cell r="R13">
            <v>6.3710000000000003E-2</v>
          </cell>
          <cell r="S13">
            <v>7.1929999999999994E-2</v>
          </cell>
          <cell r="T13">
            <v>7.5439999999999993E-2</v>
          </cell>
        </row>
        <row r="14">
          <cell r="N14">
            <v>0.12271</v>
          </cell>
          <cell r="O14">
            <v>0.115</v>
          </cell>
          <cell r="P14">
            <v>0.11108999999999999</v>
          </cell>
          <cell r="R14">
            <v>7.6230000000000006E-2</v>
          </cell>
          <cell r="S14">
            <v>0.12447999999999999</v>
          </cell>
          <cell r="T14">
            <v>0.11320000000000001</v>
          </cell>
        </row>
        <row r="15">
          <cell r="N15">
            <v>0.10594000000000001</v>
          </cell>
          <cell r="O15">
            <v>7.8719999999999998E-2</v>
          </cell>
          <cell r="P15">
            <v>8.7080000000000005E-2</v>
          </cell>
          <cell r="R15">
            <v>0.11462</v>
          </cell>
          <cell r="S15">
            <v>8.8090000000000002E-2</v>
          </cell>
          <cell r="T15">
            <v>9.4709999999999989E-2</v>
          </cell>
        </row>
      </sheetData>
      <sheetData sheetId="10" refreshError="1"/>
      <sheetData sheetId="11" refreshError="1"/>
      <sheetData sheetId="1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rmation Sheet"/>
      <sheetName val="List"/>
      <sheetName val="GA Analysis "/>
      <sheetName val="GA 2016"/>
      <sheetName val="GA 2015"/>
      <sheetName val="GA 2017"/>
      <sheetName val="GA 2018"/>
      <sheetName val="GA 2019"/>
      <sheetName val="GA 2020"/>
      <sheetName val="GA 2021"/>
      <sheetName val="Account 1588"/>
      <sheetName val="Principal Adjustments"/>
      <sheetName val="GA Rates"/>
      <sheetName val="4705"/>
      <sheetName val="RRR_2017"/>
      <sheetName val="RRR_2018"/>
      <sheetName val="RRR_2019"/>
      <sheetName val="RRR_2020"/>
      <sheetName val="RRR_2021"/>
    </sheetNames>
    <sheetDataSet>
      <sheetData sheetId="0">
        <row r="17">
          <cell r="C17" t="str">
            <v>OTTAWA RIVER POWER CORPORATION</v>
          </cell>
        </row>
        <row r="21">
          <cell r="D21">
            <v>2016</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ow r="1">
          <cell r="A1" t="str">
            <v>Account 4705</v>
          </cell>
        </row>
        <row r="2">
          <cell r="A2" t="str">
            <v>Time run: 8/29/2022 8:44:42 AM</v>
          </cell>
        </row>
        <row r="4">
          <cell r="C4">
            <v>2017</v>
          </cell>
          <cell r="D4">
            <v>2018</v>
          </cell>
          <cell r="E4">
            <v>2019</v>
          </cell>
          <cell r="F4">
            <v>2020</v>
          </cell>
          <cell r="G4">
            <v>2021</v>
          </cell>
        </row>
        <row r="5">
          <cell r="A5" t="str">
            <v>Company Name</v>
          </cell>
          <cell r="B5" t="str">
            <v>Licence Number</v>
          </cell>
          <cell r="C5" t="str">
            <v>January 1, 2016 - December 31, 2016</v>
          </cell>
          <cell r="D5" t="str">
            <v>January 1, 2017 - December 31, 2017</v>
          </cell>
          <cell r="E5" t="str">
            <v>January 1, 2018 - December 31, 2018</v>
          </cell>
          <cell r="F5" t="str">
            <v>January 1, 2019 - December 31, 2019</v>
          </cell>
          <cell r="G5" t="str">
            <v>January 1, 2020 - December 31, 2020</v>
          </cell>
        </row>
        <row r="6">
          <cell r="A6" t="str">
            <v>Alectra Utilities Corporation</v>
          </cell>
          <cell r="B6" t="str">
            <v>ED-2016-0360</v>
          </cell>
          <cell r="D6">
            <v>1014890149</v>
          </cell>
          <cell r="E6">
            <v>1180134300</v>
          </cell>
          <cell r="F6">
            <v>1262398966.51</v>
          </cell>
          <cell r="G6">
            <v>1628605783.3699999</v>
          </cell>
        </row>
        <row r="7">
          <cell r="A7" t="str">
            <v>Algoma Power Inc.</v>
          </cell>
          <cell r="B7" t="str">
            <v>ED-2009-0072</v>
          </cell>
          <cell r="C7">
            <v>14259087</v>
          </cell>
          <cell r="D7">
            <v>12703182.199999999</v>
          </cell>
          <cell r="E7">
            <v>13063801.970000001</v>
          </cell>
          <cell r="F7">
            <v>13556749.18</v>
          </cell>
          <cell r="G7">
            <v>18497291.18</v>
          </cell>
        </row>
        <row r="8">
          <cell r="A8" t="str">
            <v>Atikokan Hydro Inc.</v>
          </cell>
          <cell r="B8" t="str">
            <v>ED-2003-0001</v>
          </cell>
          <cell r="C8">
            <v>569605.26</v>
          </cell>
          <cell r="D8">
            <v>397310.71</v>
          </cell>
          <cell r="E8">
            <v>329699.33</v>
          </cell>
          <cell r="F8">
            <v>89266.37</v>
          </cell>
          <cell r="G8">
            <v>385682.53</v>
          </cell>
        </row>
        <row r="9">
          <cell r="A9" t="str">
            <v>Bluewater Power Distribution Corporation</v>
          </cell>
          <cell r="B9" t="str">
            <v>ED-2002-0517</v>
          </cell>
          <cell r="C9">
            <v>51840362.549999997</v>
          </cell>
          <cell r="D9">
            <v>42563174.759999998</v>
          </cell>
          <cell r="E9">
            <v>45004208</v>
          </cell>
          <cell r="F9">
            <v>44193152</v>
          </cell>
          <cell r="G9">
            <v>56514280</v>
          </cell>
        </row>
        <row r="10">
          <cell r="A10" t="str">
            <v>Brantford Power Inc.</v>
          </cell>
          <cell r="B10" t="str">
            <v>ED-2003-0060</v>
          </cell>
          <cell r="C10">
            <v>55432733.780000001</v>
          </cell>
          <cell r="D10">
            <v>44881232.030000001</v>
          </cell>
          <cell r="E10">
            <v>47321659.149999999</v>
          </cell>
          <cell r="F10">
            <v>48265531.009999998</v>
          </cell>
          <cell r="G10">
            <v>59756414.990000002</v>
          </cell>
        </row>
        <row r="11">
          <cell r="A11" t="str">
            <v>Burlington Hydro Inc.</v>
          </cell>
          <cell r="B11" t="str">
            <v>ED-2003-0004</v>
          </cell>
          <cell r="C11">
            <v>106660608.55</v>
          </cell>
          <cell r="D11">
            <v>86580144.079999998</v>
          </cell>
          <cell r="E11">
            <v>89918883.590000004</v>
          </cell>
          <cell r="F11">
            <v>85146095.049999997</v>
          </cell>
          <cell r="G11">
            <v>114488823.8</v>
          </cell>
        </row>
        <row r="12">
          <cell r="A12" t="str">
            <v>Canadian Niagara Power Inc.</v>
          </cell>
          <cell r="B12" t="str">
            <v>ED-2002-0572</v>
          </cell>
          <cell r="C12">
            <v>34782403.700000003</v>
          </cell>
          <cell r="D12">
            <v>28867682.5</v>
          </cell>
          <cell r="E12">
            <v>29490087.379999999</v>
          </cell>
          <cell r="F12">
            <v>29561762.32</v>
          </cell>
          <cell r="G12">
            <v>39962506.689999998</v>
          </cell>
        </row>
        <row r="13">
          <cell r="A13" t="str">
            <v>Centre Wellington Hydro Ltd.</v>
          </cell>
          <cell r="B13" t="str">
            <v>ED-2002-0498</v>
          </cell>
          <cell r="C13">
            <v>8659823.7300000004</v>
          </cell>
          <cell r="D13">
            <v>7411980.1399999997</v>
          </cell>
          <cell r="E13">
            <v>7599130.8200000003</v>
          </cell>
          <cell r="F13">
            <v>7568699.6600000001</v>
          </cell>
          <cell r="G13">
            <v>10020335.300000001</v>
          </cell>
        </row>
        <row r="14">
          <cell r="A14" t="str">
            <v>Chapleau Public Utilities Corporation</v>
          </cell>
          <cell r="B14" t="str">
            <v>ED-2002-0528</v>
          </cell>
          <cell r="C14">
            <v>2161919.5699999998</v>
          </cell>
          <cell r="D14">
            <v>1704549.43</v>
          </cell>
          <cell r="E14">
            <v>1745868.6</v>
          </cell>
          <cell r="F14">
            <v>2042894.82</v>
          </cell>
          <cell r="G14">
            <v>2513469.4</v>
          </cell>
        </row>
        <row r="15">
          <cell r="A15" t="str">
            <v>Cooperative Hydro Embrun Inc.</v>
          </cell>
          <cell r="B15" t="str">
            <v>ED-2002-0493</v>
          </cell>
          <cell r="C15">
            <v>291428.18</v>
          </cell>
          <cell r="D15">
            <v>-272036.92</v>
          </cell>
          <cell r="E15">
            <v>2544543.5099999998</v>
          </cell>
          <cell r="F15">
            <v>2082241.89</v>
          </cell>
          <cell r="G15">
            <v>3456791</v>
          </cell>
        </row>
        <row r="16">
          <cell r="A16" t="str">
            <v>Cornwall Street Railway Light and Power Company Limited</v>
          </cell>
          <cell r="B16" t="str">
            <v>ED-2004-0405</v>
          </cell>
          <cell r="G16">
            <v>0</v>
          </cell>
        </row>
        <row r="17">
          <cell r="A17" t="str">
            <v>E.L.K. Energy Inc.</v>
          </cell>
          <cell r="B17" t="str">
            <v>ED-2003-0015</v>
          </cell>
          <cell r="C17">
            <v>15006345</v>
          </cell>
          <cell r="D17">
            <v>13936404.98</v>
          </cell>
          <cell r="E17">
            <v>12890539.93</v>
          </cell>
          <cell r="F17">
            <v>12777701.310000001</v>
          </cell>
          <cell r="G17">
            <v>17463622.809999999</v>
          </cell>
        </row>
        <row r="18">
          <cell r="A18" t="str">
            <v>ENWIN Utilities Ltd.</v>
          </cell>
          <cell r="B18" t="str">
            <v>ED-2002-0527</v>
          </cell>
          <cell r="C18">
            <v>130422810.31999999</v>
          </cell>
          <cell r="D18">
            <v>107796308.70999999</v>
          </cell>
          <cell r="E18">
            <v>112529652</v>
          </cell>
          <cell r="F18">
            <v>107355893.69</v>
          </cell>
          <cell r="G18">
            <v>138280156.55000001</v>
          </cell>
        </row>
        <row r="19">
          <cell r="A19" t="str">
            <v>EPCOR Electricity Distribution Ontario Inc.</v>
          </cell>
          <cell r="B19" t="str">
            <v>ED-2002-0518</v>
          </cell>
          <cell r="C19">
            <v>18556064.239999998</v>
          </cell>
          <cell r="D19">
            <v>17731802.379999999</v>
          </cell>
          <cell r="E19">
            <v>18275384.34</v>
          </cell>
          <cell r="F19">
            <v>18820762.620000001</v>
          </cell>
          <cell r="G19">
            <v>25073322.600000001</v>
          </cell>
        </row>
        <row r="20">
          <cell r="A20" t="str">
            <v>ERTH Power Corporation</v>
          </cell>
          <cell r="B20" t="str">
            <v>ED-2002-0516</v>
          </cell>
          <cell r="C20">
            <v>7584438.6100000003</v>
          </cell>
          <cell r="D20">
            <v>1111131.07</v>
          </cell>
          <cell r="E20">
            <v>5284996.4000000004</v>
          </cell>
          <cell r="F20">
            <v>1831305.86</v>
          </cell>
          <cell r="G20">
            <v>5239494</v>
          </cell>
        </row>
        <row r="21">
          <cell r="A21" t="str">
            <v>Elexicon Energy Inc.</v>
          </cell>
          <cell r="B21" t="str">
            <v>ED-2019-0128</v>
          </cell>
          <cell r="F21">
            <v>139698760.25</v>
          </cell>
          <cell r="G21">
            <v>261647627.69999999</v>
          </cell>
        </row>
        <row r="22">
          <cell r="A22" t="str">
            <v>Energy Plus Inc.</v>
          </cell>
          <cell r="B22" t="str">
            <v>ED-2002-0574</v>
          </cell>
          <cell r="C22">
            <v>79583441.879999995</v>
          </cell>
          <cell r="D22">
            <v>82040566.909999996</v>
          </cell>
          <cell r="E22">
            <v>75202638.019999996</v>
          </cell>
          <cell r="F22">
            <v>65605109.240000002</v>
          </cell>
          <cell r="G22">
            <v>98606054.680000007</v>
          </cell>
        </row>
        <row r="23">
          <cell r="A23" t="str">
            <v>Enersource Hydro Mississauga Inc.</v>
          </cell>
          <cell r="B23" t="str">
            <v>ED-2003-0017</v>
          </cell>
          <cell r="C23">
            <v>362584761.30000001</v>
          </cell>
        </row>
        <row r="24">
          <cell r="A24" t="str">
            <v>Entegrus Powerlines Inc.</v>
          </cell>
          <cell r="B24" t="str">
            <v>ED-2002-0563</v>
          </cell>
          <cell r="C24">
            <v>102491407.3</v>
          </cell>
          <cell r="D24">
            <v>94527381.709999993</v>
          </cell>
          <cell r="E24">
            <v>117578734.59999999</v>
          </cell>
          <cell r="F24">
            <v>123877363.59</v>
          </cell>
          <cell r="G24">
            <v>141975433.80000001</v>
          </cell>
        </row>
        <row r="25">
          <cell r="A25" t="str">
            <v>Espanola Regional Hydro Distribution Corporation</v>
          </cell>
          <cell r="B25" t="str">
            <v>ED-2002-0502</v>
          </cell>
          <cell r="C25">
            <v>6697626.8099999996</v>
          </cell>
          <cell r="D25">
            <v>6034566.2699999996</v>
          </cell>
          <cell r="E25">
            <v>5446767.7599999998</v>
          </cell>
          <cell r="F25">
            <v>5885076.6299999999</v>
          </cell>
          <cell r="G25">
            <v>7523773.7199999997</v>
          </cell>
        </row>
        <row r="26">
          <cell r="A26" t="str">
            <v>Essex Powerlines Corporation</v>
          </cell>
          <cell r="B26" t="str">
            <v>ED-2002-0499</v>
          </cell>
          <cell r="C26">
            <v>40684265.960000001</v>
          </cell>
          <cell r="D26">
            <v>31221321.559999999</v>
          </cell>
          <cell r="E26">
            <v>32410120.16</v>
          </cell>
          <cell r="F26">
            <v>32238763.390000001</v>
          </cell>
          <cell r="G26">
            <v>43869065.460000001</v>
          </cell>
        </row>
        <row r="27">
          <cell r="A27" t="str">
            <v>Festival Hydro Inc.</v>
          </cell>
          <cell r="B27" t="str">
            <v>ED-2002-0513</v>
          </cell>
          <cell r="C27">
            <v>28617753.789999999</v>
          </cell>
          <cell r="D27">
            <v>24576757.550000001</v>
          </cell>
          <cell r="E27">
            <v>26626313.629999999</v>
          </cell>
          <cell r="F27">
            <v>24752757.620000001</v>
          </cell>
          <cell r="G27">
            <v>29283484.32</v>
          </cell>
        </row>
        <row r="28">
          <cell r="A28" t="str">
            <v>Fort Frances Power Corporation</v>
          </cell>
          <cell r="B28" t="str">
            <v>ED-2003-0028</v>
          </cell>
          <cell r="C28">
            <v>6401085.8300000001</v>
          </cell>
          <cell r="D28">
            <v>5767375.4400000004</v>
          </cell>
          <cell r="E28">
            <v>5292599.45</v>
          </cell>
          <cell r="F28">
            <v>5754441.7400000002</v>
          </cell>
          <cell r="G28">
            <v>7434773.8300000001</v>
          </cell>
        </row>
        <row r="29">
          <cell r="A29" t="str">
            <v>Greater Sudbury Hydro Inc.</v>
          </cell>
          <cell r="B29" t="str">
            <v>ED-2002-0559</v>
          </cell>
          <cell r="C29">
            <v>66081128.299999997</v>
          </cell>
          <cell r="D29">
            <v>57062553.43</v>
          </cell>
          <cell r="E29">
            <v>54892983.539999999</v>
          </cell>
          <cell r="F29">
            <v>58048633.82</v>
          </cell>
          <cell r="G29">
            <v>74877687.870000005</v>
          </cell>
        </row>
        <row r="30">
          <cell r="A30" t="str">
            <v>Grimsby Power Incorporated</v>
          </cell>
          <cell r="B30" t="str">
            <v>ED-2002-0554</v>
          </cell>
          <cell r="C30">
            <v>13414873.9</v>
          </cell>
          <cell r="D30">
            <v>11387955.01</v>
          </cell>
          <cell r="E30">
            <v>12230205.51</v>
          </cell>
          <cell r="F30">
            <v>12576544.720000001</v>
          </cell>
          <cell r="G30">
            <v>16901949.109999999</v>
          </cell>
        </row>
        <row r="31">
          <cell r="A31" t="str">
            <v>Guelph Hydro Electric Systems Inc.</v>
          </cell>
          <cell r="B31" t="str">
            <v>ED-2002-0565</v>
          </cell>
          <cell r="C31">
            <v>76053027.069999993</v>
          </cell>
          <cell r="D31">
            <v>126442921.06</v>
          </cell>
          <cell r="E31">
            <v>93136363.629999995</v>
          </cell>
        </row>
        <row r="32">
          <cell r="A32" t="str">
            <v>Haldimand County Hydro Inc.</v>
          </cell>
          <cell r="B32" t="str">
            <v>ED-2002-0539</v>
          </cell>
          <cell r="C32">
            <v>18716674.559999999</v>
          </cell>
        </row>
        <row r="33">
          <cell r="A33" t="str">
            <v>Halton Hills Hydro Inc.</v>
          </cell>
          <cell r="B33" t="str">
            <v>ED-2002-0552</v>
          </cell>
          <cell r="C33">
            <v>33838200.609999999</v>
          </cell>
          <cell r="D33">
            <v>26372895.170000002</v>
          </cell>
          <cell r="E33">
            <v>25384688.260000002</v>
          </cell>
          <cell r="F33">
            <v>28559829.199999999</v>
          </cell>
          <cell r="G33">
            <v>36876214.270000003</v>
          </cell>
        </row>
        <row r="34">
          <cell r="A34" t="str">
            <v>Hearst Power Distribution Company Limited</v>
          </cell>
          <cell r="B34" t="str">
            <v>ED-2002-0533</v>
          </cell>
          <cell r="C34">
            <v>4726663.5199999996</v>
          </cell>
          <cell r="D34">
            <v>4174712.46</v>
          </cell>
          <cell r="E34">
            <v>4172913</v>
          </cell>
          <cell r="F34">
            <v>4277988.51</v>
          </cell>
          <cell r="G34">
            <v>4917885.74</v>
          </cell>
        </row>
        <row r="35">
          <cell r="A35" t="str">
            <v>Horizon Utilities Corporation</v>
          </cell>
          <cell r="B35" t="str">
            <v>ED-2006-0031</v>
          </cell>
          <cell r="C35">
            <v>299671146.68000001</v>
          </cell>
        </row>
        <row r="36">
          <cell r="A36" t="str">
            <v>Hydro 2000 Inc.</v>
          </cell>
          <cell r="B36" t="str">
            <v>ED-2002-0542</v>
          </cell>
          <cell r="C36">
            <v>2059344.15</v>
          </cell>
          <cell r="D36">
            <v>1688797.41</v>
          </cell>
          <cell r="E36">
            <v>621818.44999999995</v>
          </cell>
          <cell r="F36">
            <v>1068208.45</v>
          </cell>
          <cell r="G36">
            <v>2204989.6800000002</v>
          </cell>
        </row>
        <row r="37">
          <cell r="A37" t="str">
            <v>Hydro Hawkesbury Inc.</v>
          </cell>
          <cell r="B37" t="str">
            <v>ED-2003-0027</v>
          </cell>
          <cell r="C37">
            <v>8438022.2899999991</v>
          </cell>
          <cell r="D37">
            <v>7285143.2599999998</v>
          </cell>
          <cell r="E37">
            <v>7290411.3499999996</v>
          </cell>
          <cell r="F37">
            <v>6807619.5899999999</v>
          </cell>
          <cell r="G37">
            <v>7725953.8700000001</v>
          </cell>
        </row>
        <row r="38">
          <cell r="A38" t="str">
            <v>Hydro One Brampton Networks Inc.</v>
          </cell>
          <cell r="B38" t="str">
            <v>ED-2003-0038</v>
          </cell>
          <cell r="C38">
            <v>227593559.09999999</v>
          </cell>
        </row>
        <row r="39">
          <cell r="A39" t="str">
            <v>Hydro One Networks Inc.</v>
          </cell>
          <cell r="B39" t="str">
            <v>ED-2003-0043</v>
          </cell>
          <cell r="C39">
            <v>419390861.38999999</v>
          </cell>
          <cell r="D39">
            <v>388880263.69999999</v>
          </cell>
          <cell r="E39">
            <v>664302318.10000002</v>
          </cell>
          <cell r="F39">
            <v>512373616.77999997</v>
          </cell>
          <cell r="G39">
            <v>2339278786.5700002</v>
          </cell>
        </row>
        <row r="40">
          <cell r="A40" t="str">
            <v>Hydro One Networks Inc. (Orillia-Peterborough service areas)</v>
          </cell>
          <cell r="B40" t="str">
            <v>ED-2002-0530</v>
          </cell>
          <cell r="C40">
            <v>20422421</v>
          </cell>
          <cell r="D40">
            <v>17552161</v>
          </cell>
          <cell r="E40">
            <v>17981951</v>
          </cell>
          <cell r="F40">
            <v>18185635</v>
          </cell>
          <cell r="G40">
            <v>22845407</v>
          </cell>
        </row>
        <row r="41">
          <cell r="A41" t="str">
            <v>Hydro One Networks Inc. - 1937680 Ontario Inc. (Peterborough Distribution)</v>
          </cell>
          <cell r="B41" t="str">
            <v>ED-2002-0504</v>
          </cell>
          <cell r="C41">
            <v>52037697.880000003</v>
          </cell>
          <cell r="D41">
            <v>46080864.5</v>
          </cell>
          <cell r="E41">
            <v>44871359.960000001</v>
          </cell>
          <cell r="F41">
            <v>46242861.969999999</v>
          </cell>
          <cell r="G41">
            <v>61884632.210000001</v>
          </cell>
        </row>
        <row r="42">
          <cell r="A42" t="str">
            <v>Hydro One Remote Communities Inc.</v>
          </cell>
          <cell r="B42" t="str">
            <v>ED-2003-0037</v>
          </cell>
          <cell r="C42">
            <v>0</v>
          </cell>
          <cell r="D42">
            <v>25079.72</v>
          </cell>
          <cell r="E42">
            <v>14212.27</v>
          </cell>
          <cell r="F42">
            <v>1462979.54</v>
          </cell>
          <cell r="G42">
            <v>1778723.8400000001</v>
          </cell>
        </row>
        <row r="43">
          <cell r="A43" t="str">
            <v>Hydro Ottawa Limited</v>
          </cell>
          <cell r="B43" t="str">
            <v>ED-2002-0556</v>
          </cell>
          <cell r="C43">
            <v>838370426.61000001</v>
          </cell>
          <cell r="D43">
            <v>759072358.29999995</v>
          </cell>
          <cell r="E43">
            <v>378957228.50999999</v>
          </cell>
          <cell r="F43">
            <v>373128686.88999999</v>
          </cell>
          <cell r="G43">
            <v>479451463.51999998</v>
          </cell>
        </row>
        <row r="44">
          <cell r="A44" t="str">
            <v>Innpower Corporation</v>
          </cell>
          <cell r="B44" t="str">
            <v>ED-2002-0520</v>
          </cell>
          <cell r="C44">
            <v>21665897.59</v>
          </cell>
          <cell r="D44">
            <v>18126688.77</v>
          </cell>
          <cell r="E44">
            <v>17889560.809999999</v>
          </cell>
          <cell r="F44">
            <v>19090131.379999999</v>
          </cell>
          <cell r="G44">
            <v>29318209.649999999</v>
          </cell>
        </row>
        <row r="45">
          <cell r="A45" t="str">
            <v>Kenora Hydro Electric Corporation Ltd.</v>
          </cell>
          <cell r="B45" t="str">
            <v>ED-2003-0030</v>
          </cell>
          <cell r="C45">
            <v>7148906</v>
          </cell>
          <cell r="D45">
            <v>6295825</v>
          </cell>
          <cell r="E45">
            <v>6090944</v>
          </cell>
        </row>
        <row r="46">
          <cell r="A46" t="str">
            <v>Kingston Hydro Corporation</v>
          </cell>
          <cell r="B46" t="str">
            <v>ED-2003-0057</v>
          </cell>
          <cell r="C46">
            <v>38496606</v>
          </cell>
          <cell r="D46">
            <v>32853710</v>
          </cell>
          <cell r="E46">
            <v>34240773</v>
          </cell>
          <cell r="F46">
            <v>34201059.57</v>
          </cell>
          <cell r="G46">
            <v>41587045.840000004</v>
          </cell>
        </row>
        <row r="47">
          <cell r="A47" t="str">
            <v>Kitchener-Wilmot Hydro Inc.</v>
          </cell>
          <cell r="B47" t="str">
            <v>ED-2002-0573</v>
          </cell>
          <cell r="C47">
            <v>126484685.81999999</v>
          </cell>
          <cell r="D47">
            <v>106137759.09</v>
          </cell>
          <cell r="E47">
            <v>106160556.36</v>
          </cell>
          <cell r="F47">
            <v>105280940.18000001</v>
          </cell>
          <cell r="G47">
            <v>144381328.34999999</v>
          </cell>
        </row>
        <row r="48">
          <cell r="A48" t="str">
            <v>Lakefront Utilities Inc.</v>
          </cell>
          <cell r="B48" t="str">
            <v>ED-2002-0545</v>
          </cell>
          <cell r="C48">
            <v>15075054.189999999</v>
          </cell>
          <cell r="D48">
            <v>12802250.359999999</v>
          </cell>
          <cell r="E48">
            <v>11215248.220000001</v>
          </cell>
          <cell r="F48">
            <v>12678046.93</v>
          </cell>
          <cell r="G48">
            <v>16205224.24</v>
          </cell>
        </row>
        <row r="49">
          <cell r="A49" t="str">
            <v>Lakeland Power Distribution Ltd.</v>
          </cell>
          <cell r="B49" t="str">
            <v>ED-2002-0540</v>
          </cell>
          <cell r="C49">
            <v>20686647.370000001</v>
          </cell>
          <cell r="D49">
            <v>17922134.469999999</v>
          </cell>
          <cell r="E49">
            <v>17748995.34</v>
          </cell>
          <cell r="F49">
            <v>18598237.460000001</v>
          </cell>
          <cell r="G49">
            <v>23447665.559999999</v>
          </cell>
        </row>
        <row r="50">
          <cell r="A50" t="str">
            <v>London Hydro Inc.</v>
          </cell>
          <cell r="B50" t="str">
            <v>ED-2002-0557</v>
          </cell>
          <cell r="C50">
            <v>200593745.18000001</v>
          </cell>
          <cell r="D50">
            <v>169355007.91999999</v>
          </cell>
          <cell r="E50">
            <v>175704100.40000001</v>
          </cell>
          <cell r="F50">
            <v>174762988.68000001</v>
          </cell>
          <cell r="G50">
            <v>231765489.18000001</v>
          </cell>
        </row>
        <row r="51">
          <cell r="A51" t="str">
            <v>Midland Power Utility Corporation</v>
          </cell>
          <cell r="B51" t="str">
            <v>ED-2002-0541</v>
          </cell>
          <cell r="C51">
            <v>3199110.73</v>
          </cell>
          <cell r="D51">
            <v>1612702.45</v>
          </cell>
        </row>
        <row r="52">
          <cell r="A52" t="str">
            <v>Milton Hydro Distribution Inc.</v>
          </cell>
          <cell r="B52" t="str">
            <v>ED-2003-0014</v>
          </cell>
          <cell r="C52">
            <v>54357360</v>
          </cell>
          <cell r="D52">
            <v>45651670</v>
          </cell>
          <cell r="E52">
            <v>48076620</v>
          </cell>
          <cell r="F52">
            <v>47312834</v>
          </cell>
          <cell r="G52">
            <v>63900115</v>
          </cell>
        </row>
        <row r="53">
          <cell r="A53" t="str">
            <v>Newmarket-Tay Power Distribution Ltd.</v>
          </cell>
          <cell r="B53" t="str">
            <v>ED-2007-0624</v>
          </cell>
          <cell r="C53">
            <v>71519935.980000004</v>
          </cell>
          <cell r="D53">
            <v>40184380.899999999</v>
          </cell>
          <cell r="E53">
            <v>64958062.039999999</v>
          </cell>
          <cell r="F53">
            <v>76962052.510000005</v>
          </cell>
          <cell r="G53">
            <v>54343328.530000001</v>
          </cell>
        </row>
        <row r="54">
          <cell r="A54" t="str">
            <v>Niagara Peninsula Energy Inc.</v>
          </cell>
          <cell r="B54" t="str">
            <v>ED-2007-0749</v>
          </cell>
          <cell r="C54">
            <v>77646677.819999993</v>
          </cell>
          <cell r="D54">
            <v>65298861.719999999</v>
          </cell>
          <cell r="E54">
            <v>65058587.340000004</v>
          </cell>
          <cell r="F54">
            <v>61169795.479999997</v>
          </cell>
          <cell r="G54">
            <v>79138273.469999999</v>
          </cell>
        </row>
        <row r="55">
          <cell r="A55" t="str">
            <v>Niagara-on-the-Lake Hydro Inc.</v>
          </cell>
          <cell r="B55" t="str">
            <v>ED-2002-0547</v>
          </cell>
          <cell r="C55">
            <v>14573944.52</v>
          </cell>
          <cell r="D55">
            <v>12445325.01</v>
          </cell>
          <cell r="E55">
            <v>12837074.210000001</v>
          </cell>
          <cell r="F55">
            <v>13078378.51</v>
          </cell>
          <cell r="G55">
            <v>16824688.170000002</v>
          </cell>
        </row>
        <row r="56">
          <cell r="A56" t="str">
            <v>North Bay Hydro Distribution Limited</v>
          </cell>
          <cell r="B56" t="str">
            <v>ED-2003-0024</v>
          </cell>
          <cell r="C56">
            <v>33400155.719999999</v>
          </cell>
          <cell r="D56">
            <v>29218002.260000002</v>
          </cell>
          <cell r="E56">
            <v>29058366.870000001</v>
          </cell>
          <cell r="F56">
            <v>29045952.149999999</v>
          </cell>
          <cell r="G56">
            <v>37007826.509999998</v>
          </cell>
        </row>
        <row r="57">
          <cell r="A57" t="str">
            <v>Northern Ontario Wires Inc.</v>
          </cell>
          <cell r="B57" t="str">
            <v>ED-2003-0018</v>
          </cell>
          <cell r="C57">
            <v>7360566.8600000003</v>
          </cell>
          <cell r="D57">
            <v>6214844.5899999999</v>
          </cell>
          <cell r="E57">
            <v>6288047.5700000003</v>
          </cell>
          <cell r="F57">
            <v>6516422.5700000003</v>
          </cell>
          <cell r="G57">
            <v>7952951.8499999996</v>
          </cell>
        </row>
        <row r="58">
          <cell r="A58" t="str">
            <v>Oakville Hydro Electricity Distribution Inc.</v>
          </cell>
          <cell r="B58" t="str">
            <v>ED-2003-0135</v>
          </cell>
          <cell r="C58">
            <v>84085621.049999997</v>
          </cell>
          <cell r="D58">
            <v>71230904.579999998</v>
          </cell>
          <cell r="E58">
            <v>82140257.010000005</v>
          </cell>
          <cell r="F58">
            <v>69711904.370000005</v>
          </cell>
          <cell r="G58">
            <v>112368335.40000001</v>
          </cell>
        </row>
        <row r="59">
          <cell r="A59" t="str">
            <v>Orangeville Hydro Limited</v>
          </cell>
          <cell r="B59" t="str">
            <v>ED-2002-0500</v>
          </cell>
          <cell r="C59">
            <v>16152106.76</v>
          </cell>
          <cell r="D59">
            <v>14138779.640000001</v>
          </cell>
          <cell r="E59">
            <v>14336792</v>
          </cell>
          <cell r="F59">
            <v>14165804.210000001</v>
          </cell>
          <cell r="G59">
            <v>18230291.34</v>
          </cell>
        </row>
        <row r="60">
          <cell r="A60" t="str">
            <v>Oshawa PUC Networks Inc.</v>
          </cell>
          <cell r="B60" t="str">
            <v>ED-2002-0560</v>
          </cell>
          <cell r="C60">
            <v>78125081.680000007</v>
          </cell>
          <cell r="D60">
            <v>63307617.149999999</v>
          </cell>
          <cell r="E60">
            <v>64828533</v>
          </cell>
          <cell r="F60">
            <v>59002842.560000002</v>
          </cell>
          <cell r="G60">
            <v>85219781.430000007</v>
          </cell>
        </row>
        <row r="61">
          <cell r="A61" t="str">
            <v>Ottawa River Power Corporation</v>
          </cell>
          <cell r="B61" t="str">
            <v>ED-2003-0033</v>
          </cell>
          <cell r="C61">
            <v>14538530.23</v>
          </cell>
          <cell r="D61">
            <v>12917295.689999999</v>
          </cell>
          <cell r="E61">
            <v>12334020.279999999</v>
          </cell>
          <cell r="F61">
            <v>11163089.779999999</v>
          </cell>
          <cell r="G61">
            <v>15961225.439999999</v>
          </cell>
        </row>
        <row r="62">
          <cell r="A62" t="str">
            <v>PUC Distribution Inc.</v>
          </cell>
          <cell r="B62" t="str">
            <v>ED-2002-0546</v>
          </cell>
          <cell r="C62">
            <v>49506356.880000003</v>
          </cell>
          <cell r="D62">
            <v>68428557.719999999</v>
          </cell>
          <cell r="E62">
            <v>61672850.939999998</v>
          </cell>
          <cell r="F62">
            <v>69598321.280000001</v>
          </cell>
          <cell r="G62">
            <v>79247240.469999999</v>
          </cell>
        </row>
        <row r="63">
          <cell r="A63" t="str">
            <v>PowerStream Inc.</v>
          </cell>
          <cell r="B63" t="str">
            <v>ED-2004-0420</v>
          </cell>
          <cell r="C63">
            <v>529127584.02999997</v>
          </cell>
        </row>
        <row r="64">
          <cell r="A64" t="str">
            <v>Renfrew Hydro Inc.</v>
          </cell>
          <cell r="B64" t="str">
            <v>ED-2002-0577</v>
          </cell>
          <cell r="C64">
            <v>5714031.3200000003</v>
          </cell>
          <cell r="D64">
            <v>4874471.74</v>
          </cell>
          <cell r="E64">
            <v>4916429.3499999996</v>
          </cell>
          <cell r="F64">
            <v>5050519.8600000003</v>
          </cell>
          <cell r="G64">
            <v>6482912.75</v>
          </cell>
        </row>
        <row r="65">
          <cell r="A65" t="str">
            <v>Rideau St. Lawrence Distribution Inc.</v>
          </cell>
          <cell r="B65" t="str">
            <v>ED-2003-0003</v>
          </cell>
          <cell r="C65">
            <v>7757164.5599999996</v>
          </cell>
          <cell r="D65">
            <v>6697181.1900000004</v>
          </cell>
          <cell r="E65">
            <v>6582824.8799999999</v>
          </cell>
          <cell r="F65">
            <v>6823526.6100000003</v>
          </cell>
          <cell r="G65">
            <v>8891577.7699999996</v>
          </cell>
        </row>
        <row r="66">
          <cell r="A66" t="str">
            <v>Sioux Lookout Hydro Inc.</v>
          </cell>
          <cell r="B66" t="str">
            <v>ED-2002-0514</v>
          </cell>
          <cell r="C66">
            <v>5925063.8300000001</v>
          </cell>
          <cell r="D66">
            <v>5223541.4400000004</v>
          </cell>
          <cell r="E66">
            <v>4565190.7300000004</v>
          </cell>
          <cell r="F66">
            <v>5160942.6900000004</v>
          </cell>
          <cell r="G66">
            <v>6666605.0300000003</v>
          </cell>
        </row>
        <row r="67">
          <cell r="A67" t="str">
            <v>St. Thomas Energy Inc.</v>
          </cell>
          <cell r="B67" t="str">
            <v>ED-2002-0523</v>
          </cell>
          <cell r="C67">
            <v>31863080.940000001</v>
          </cell>
          <cell r="D67">
            <v>28175317.09</v>
          </cell>
        </row>
        <row r="68">
          <cell r="A68" t="str">
            <v>Synergy North Corporation</v>
          </cell>
          <cell r="B68" t="str">
            <v>ED-2018-0233</v>
          </cell>
          <cell r="F68">
            <v>59045091.630000003</v>
          </cell>
          <cell r="G68">
            <v>73228636.870000005</v>
          </cell>
        </row>
        <row r="69">
          <cell r="A69" t="str">
            <v>Thunder Bay Hydro Electricity Distribution Inc.</v>
          </cell>
          <cell r="B69" t="str">
            <v>ED-2002-0529</v>
          </cell>
          <cell r="C69">
            <v>59538661.189999998</v>
          </cell>
          <cell r="D69">
            <v>52844523.130000003</v>
          </cell>
          <cell r="E69">
            <v>50944829.520000003</v>
          </cell>
        </row>
        <row r="70">
          <cell r="A70" t="str">
            <v>Tillsonburg Hydro Inc.</v>
          </cell>
          <cell r="B70" t="str">
            <v>ED-2003-0026</v>
          </cell>
          <cell r="C70">
            <v>9170286.4800000004</v>
          </cell>
          <cell r="D70">
            <v>8932078.9399999995</v>
          </cell>
          <cell r="E70">
            <v>9412935.5700000003</v>
          </cell>
          <cell r="F70">
            <v>8673930.75</v>
          </cell>
          <cell r="G70">
            <v>11469020.140000001</v>
          </cell>
        </row>
        <row r="71">
          <cell r="A71" t="str">
            <v>Toronto Hydro-Electric System Limited</v>
          </cell>
          <cell r="B71" t="str">
            <v>ED-2002-0497</v>
          </cell>
          <cell r="C71">
            <v>1391825709.0799999</v>
          </cell>
          <cell r="D71">
            <v>1172692119.4300001</v>
          </cell>
          <cell r="E71">
            <v>1225222494.6600001</v>
          </cell>
          <cell r="F71">
            <v>1189125381.54</v>
          </cell>
          <cell r="G71">
            <v>1503809264</v>
          </cell>
        </row>
        <row r="72">
          <cell r="A72" t="str">
            <v>Veridian Connections Inc.</v>
          </cell>
          <cell r="B72" t="str">
            <v>ED-2002-0503</v>
          </cell>
          <cell r="C72">
            <v>162942613</v>
          </cell>
          <cell r="D72">
            <v>134681655</v>
          </cell>
          <cell r="E72">
            <v>141704997</v>
          </cell>
        </row>
        <row r="73">
          <cell r="A73" t="str">
            <v>Wasaga Distribution Inc.</v>
          </cell>
          <cell r="B73" t="str">
            <v>ED-2002-0544</v>
          </cell>
          <cell r="C73">
            <v>12626871.18</v>
          </cell>
          <cell r="D73">
            <v>10729581.99</v>
          </cell>
          <cell r="E73">
            <v>10210077.720000001</v>
          </cell>
          <cell r="F73">
            <v>11221742.51</v>
          </cell>
          <cell r="G73">
            <v>16113117.07</v>
          </cell>
        </row>
        <row r="74">
          <cell r="A74" t="str">
            <v>Waterloo North Hydro Inc.</v>
          </cell>
          <cell r="B74" t="str">
            <v>ED-2002-0575</v>
          </cell>
          <cell r="C74">
            <v>85834548</v>
          </cell>
          <cell r="D74">
            <v>72628032</v>
          </cell>
          <cell r="E74">
            <v>76715892</v>
          </cell>
          <cell r="F74">
            <v>73606674</v>
          </cell>
          <cell r="G74">
            <v>96399343</v>
          </cell>
        </row>
        <row r="75">
          <cell r="A75" t="str">
            <v>Welland Hydro-Electric System Corp.</v>
          </cell>
          <cell r="B75" t="str">
            <v>ED-2003-0002</v>
          </cell>
          <cell r="C75">
            <v>27900178.219999999</v>
          </cell>
          <cell r="D75">
            <v>22156613.199999999</v>
          </cell>
          <cell r="E75">
            <v>23449528.82</v>
          </cell>
          <cell r="F75">
            <v>23188616.43</v>
          </cell>
          <cell r="G75">
            <v>30564009.969999999</v>
          </cell>
        </row>
        <row r="76">
          <cell r="A76" t="str">
            <v>Wellington North Power Inc.</v>
          </cell>
          <cell r="B76" t="str">
            <v>ED-2002-0511</v>
          </cell>
          <cell r="C76">
            <v>4206311.46</v>
          </cell>
          <cell r="D76">
            <v>3694395.83</v>
          </cell>
          <cell r="E76">
            <v>4038573.45</v>
          </cell>
          <cell r="F76">
            <v>3814397.74</v>
          </cell>
          <cell r="G76">
            <v>5060328.3600000003</v>
          </cell>
        </row>
        <row r="77">
          <cell r="A77" t="str">
            <v>West Coast Huron Energy Inc.</v>
          </cell>
          <cell r="B77" t="str">
            <v>ED-2002-0510</v>
          </cell>
          <cell r="C77">
            <v>5163407</v>
          </cell>
          <cell r="D77">
            <v>4405864</v>
          </cell>
          <cell r="E77">
            <v>4497254</v>
          </cell>
        </row>
        <row r="78">
          <cell r="A78" t="str">
            <v>Westario Power Inc.</v>
          </cell>
          <cell r="B78" t="str">
            <v>ED-2002-0515</v>
          </cell>
          <cell r="C78">
            <v>30730142</v>
          </cell>
          <cell r="D78">
            <v>23401325</v>
          </cell>
          <cell r="E78">
            <v>22977534.239999998</v>
          </cell>
          <cell r="F78">
            <v>24451221.91</v>
          </cell>
          <cell r="G78">
            <v>34071696.280000001</v>
          </cell>
        </row>
        <row r="79">
          <cell r="A79" t="str">
            <v>Whitby Hydro Electric Corporation</v>
          </cell>
          <cell r="B79" t="str">
            <v>ED-2002-0571</v>
          </cell>
          <cell r="C79">
            <v>61770101.609999999</v>
          </cell>
          <cell r="D79">
            <v>50031791.950000003</v>
          </cell>
          <cell r="E79">
            <v>50907415.159999996</v>
          </cell>
        </row>
      </sheetData>
      <sheetData sheetId="14" refreshError="1"/>
      <sheetData sheetId="15" refreshError="1"/>
      <sheetData sheetId="16" refreshError="1"/>
      <sheetData sheetId="17" refreshError="1"/>
      <sheetData sheetId="1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72CFAA-1916-423D-85B8-91C868DA6E4F}">
  <dimension ref="A1:Q117"/>
  <sheetViews>
    <sheetView workbookViewId="0">
      <selection activeCell="C14" sqref="C14"/>
    </sheetView>
  </sheetViews>
  <sheetFormatPr defaultRowHeight="14.4" x14ac:dyDescent="0.3"/>
  <cols>
    <col min="1" max="1" width="5" style="39" bestFit="1" customWidth="1"/>
    <col min="2" max="2" width="11.88671875" style="39" bestFit="1" customWidth="1"/>
    <col min="3" max="18" width="20.6640625" style="39" customWidth="1"/>
    <col min="19" max="16384" width="8.88671875" style="39"/>
  </cols>
  <sheetData>
    <row r="1" spans="1:17" x14ac:dyDescent="0.3">
      <c r="A1" s="284" t="s">
        <v>0</v>
      </c>
      <c r="B1" s="284"/>
      <c r="C1" s="284"/>
      <c r="D1" s="284"/>
      <c r="E1" s="284"/>
      <c r="F1" s="284"/>
      <c r="G1" s="284"/>
      <c r="H1" s="284"/>
      <c r="I1" s="284"/>
      <c r="J1" s="284"/>
      <c r="K1" s="284"/>
      <c r="L1" s="284"/>
      <c r="M1" s="284"/>
      <c r="N1" s="284"/>
      <c r="O1" s="284"/>
      <c r="P1" s="284"/>
      <c r="Q1" s="284"/>
    </row>
    <row r="2" spans="1:17" x14ac:dyDescent="0.3">
      <c r="A2" s="284" t="s">
        <v>233</v>
      </c>
      <c r="B2" s="284"/>
      <c r="C2" s="284"/>
      <c r="D2" s="284"/>
      <c r="E2" s="284"/>
      <c r="F2" s="284"/>
      <c r="G2" s="284"/>
      <c r="H2" s="284"/>
      <c r="I2" s="284"/>
      <c r="J2" s="284"/>
      <c r="K2" s="284"/>
      <c r="L2" s="284"/>
      <c r="M2" s="284"/>
      <c r="N2" s="284"/>
      <c r="O2" s="284"/>
      <c r="P2" s="284"/>
      <c r="Q2" s="284"/>
    </row>
    <row r="3" spans="1:17" x14ac:dyDescent="0.3">
      <c r="A3" s="284" t="s">
        <v>232</v>
      </c>
      <c r="B3" s="284"/>
      <c r="C3" s="284"/>
      <c r="D3" s="284"/>
      <c r="E3" s="284"/>
      <c r="F3" s="284"/>
      <c r="G3" s="284"/>
      <c r="H3" s="284"/>
      <c r="I3" s="284"/>
      <c r="J3" s="284"/>
      <c r="K3" s="284"/>
      <c r="L3" s="284"/>
      <c r="M3" s="284"/>
      <c r="N3" s="284"/>
      <c r="O3" s="284"/>
      <c r="P3" s="284"/>
      <c r="Q3" s="284"/>
    </row>
    <row r="5" spans="1:17" ht="43.8" thickBot="1" x14ac:dyDescent="0.35">
      <c r="A5" s="227" t="s">
        <v>59</v>
      </c>
      <c r="B5" s="227" t="s">
        <v>231</v>
      </c>
      <c r="C5" s="227" t="s">
        <v>230</v>
      </c>
      <c r="D5" s="227" t="s">
        <v>229</v>
      </c>
      <c r="E5" s="227" t="s">
        <v>228</v>
      </c>
      <c r="F5" s="227" t="s">
        <v>227</v>
      </c>
      <c r="G5" s="227" t="s">
        <v>226</v>
      </c>
      <c r="H5" s="227" t="s">
        <v>225</v>
      </c>
      <c r="I5" s="227" t="s">
        <v>224</v>
      </c>
      <c r="J5" s="227" t="s">
        <v>223</v>
      </c>
      <c r="K5" s="227" t="s">
        <v>222</v>
      </c>
      <c r="L5" s="227" t="s">
        <v>221</v>
      </c>
      <c r="M5" s="227" t="s">
        <v>220</v>
      </c>
      <c r="N5" s="227" t="s">
        <v>219</v>
      </c>
      <c r="O5" s="227" t="s">
        <v>218</v>
      </c>
      <c r="P5" s="227" t="s">
        <v>217</v>
      </c>
      <c r="Q5" s="227" t="s">
        <v>25</v>
      </c>
    </row>
    <row r="6" spans="1:17" x14ac:dyDescent="0.3">
      <c r="A6" s="39">
        <v>2015</v>
      </c>
      <c r="B6" s="39" t="s">
        <v>12</v>
      </c>
      <c r="C6" s="72">
        <v>6999473</v>
      </c>
      <c r="D6" s="72">
        <v>0</v>
      </c>
      <c r="E6" s="221">
        <f t="shared" ref="E6:E41" si="0">AVERAGE(E42,E54,E66)</f>
        <v>0.10118878300019514</v>
      </c>
      <c r="F6" s="282">
        <v>116430275</v>
      </c>
      <c r="G6" s="33">
        <f t="shared" ref="G6:G17" si="1">ROUND(E6*$F$6,2)</f>
        <v>11781437.83</v>
      </c>
      <c r="H6" s="221">
        <f t="shared" ref="H6:H41" si="2">C6/(C6+G6)</f>
        <v>0.37269081693414335</v>
      </c>
      <c r="I6" s="221">
        <f t="shared" ref="I6:I41" si="3">G6/(G6+C6)</f>
        <v>0.6273091830658567</v>
      </c>
      <c r="J6" s="222">
        <v>1073320.3799999999</v>
      </c>
      <c r="K6" s="222">
        <v>474.79</v>
      </c>
      <c r="L6" s="222">
        <v>0</v>
      </c>
      <c r="M6" s="217">
        <f t="shared" ref="M6:M37" si="4">J6-K6-L6</f>
        <v>1072845.5899999999</v>
      </c>
      <c r="N6" s="220">
        <f t="shared" ref="N6:N37" si="5">ROUND(H6*M6,2)</f>
        <v>399839.7</v>
      </c>
      <c r="O6" s="220">
        <f t="shared" ref="O6:O37" si="6">ROUND(I6*M6,2)</f>
        <v>673005.89</v>
      </c>
      <c r="P6" s="222">
        <v>1023307.91</v>
      </c>
      <c r="Q6" s="220">
        <f t="shared" ref="Q6:Q37" si="7">O6-P6</f>
        <v>-350302.02</v>
      </c>
    </row>
    <row r="7" spans="1:17" x14ac:dyDescent="0.3">
      <c r="A7" s="39">
        <v>2015</v>
      </c>
      <c r="B7" s="39" t="s">
        <v>13</v>
      </c>
      <c r="C7" s="72">
        <v>6135983</v>
      </c>
      <c r="D7" s="72">
        <v>0</v>
      </c>
      <c r="E7" s="221">
        <f t="shared" si="0"/>
        <v>8.5195310363578081E-2</v>
      </c>
      <c r="F7" s="283"/>
      <c r="G7" s="33">
        <f t="shared" si="1"/>
        <v>9919313.4100000001</v>
      </c>
      <c r="H7" s="221">
        <f t="shared" si="2"/>
        <v>0.38217812012353874</v>
      </c>
      <c r="I7" s="221">
        <f t="shared" si="3"/>
        <v>0.61782187987646131</v>
      </c>
      <c r="J7" s="222">
        <v>777370.35</v>
      </c>
      <c r="K7" s="222">
        <v>-1947.98</v>
      </c>
      <c r="L7" s="222">
        <v>0</v>
      </c>
      <c r="M7" s="217">
        <f t="shared" si="4"/>
        <v>779318.33</v>
      </c>
      <c r="N7" s="220">
        <f t="shared" si="5"/>
        <v>297838.40999999997</v>
      </c>
      <c r="O7" s="220">
        <f t="shared" si="6"/>
        <v>481479.92</v>
      </c>
      <c r="P7" s="222">
        <v>672485.23</v>
      </c>
      <c r="Q7" s="220">
        <f t="shared" si="7"/>
        <v>-191005.31</v>
      </c>
    </row>
    <row r="8" spans="1:17" x14ac:dyDescent="0.3">
      <c r="A8" s="39">
        <v>2015</v>
      </c>
      <c r="B8" s="39" t="s">
        <v>14</v>
      </c>
      <c r="C8" s="72">
        <v>6298516</v>
      </c>
      <c r="D8" s="72">
        <v>0</v>
      </c>
      <c r="E8" s="221">
        <f t="shared" si="0"/>
        <v>8.5310804755698647E-2</v>
      </c>
      <c r="F8" s="283"/>
      <c r="G8" s="33">
        <f t="shared" si="1"/>
        <v>9932760.4600000009</v>
      </c>
      <c r="H8" s="221">
        <f t="shared" si="2"/>
        <v>0.38804810056201827</v>
      </c>
      <c r="I8" s="221">
        <f t="shared" si="3"/>
        <v>0.61195189943798178</v>
      </c>
      <c r="J8" s="222">
        <v>1126669.2400000002</v>
      </c>
      <c r="K8" s="222">
        <v>-432.56</v>
      </c>
      <c r="L8" s="222">
        <v>0</v>
      </c>
      <c r="M8" s="217">
        <f t="shared" si="4"/>
        <v>1127101.8000000003</v>
      </c>
      <c r="N8" s="220">
        <f t="shared" si="5"/>
        <v>437369.71</v>
      </c>
      <c r="O8" s="220">
        <f t="shared" si="6"/>
        <v>689732.09</v>
      </c>
      <c r="P8" s="222">
        <v>500877.35</v>
      </c>
      <c r="Q8" s="220">
        <f t="shared" si="7"/>
        <v>188854.74</v>
      </c>
    </row>
    <row r="9" spans="1:17" x14ac:dyDescent="0.3">
      <c r="A9" s="39">
        <v>2015</v>
      </c>
      <c r="B9" s="39" t="s">
        <v>15</v>
      </c>
      <c r="C9" s="72">
        <v>5413512</v>
      </c>
      <c r="D9" s="72">
        <v>0</v>
      </c>
      <c r="E9" s="221">
        <f t="shared" si="0"/>
        <v>7.5301623975850607E-2</v>
      </c>
      <c r="F9" s="283"/>
      <c r="G9" s="33">
        <f t="shared" si="1"/>
        <v>8767388.7899999991</v>
      </c>
      <c r="H9" s="221">
        <f t="shared" si="2"/>
        <v>0.3817466943861188</v>
      </c>
      <c r="I9" s="221">
        <f t="shared" si="3"/>
        <v>0.61825330561388125</v>
      </c>
      <c r="J9" s="222">
        <v>1404132.77</v>
      </c>
      <c r="K9" s="222">
        <v>-524.1</v>
      </c>
      <c r="L9" s="222">
        <v>0</v>
      </c>
      <c r="M9" s="217">
        <f t="shared" si="4"/>
        <v>1404656.87</v>
      </c>
      <c r="N9" s="220">
        <f t="shared" si="5"/>
        <v>536223.12</v>
      </c>
      <c r="O9" s="220">
        <f t="shared" si="6"/>
        <v>868433.75</v>
      </c>
      <c r="P9" s="222">
        <v>776259.46</v>
      </c>
      <c r="Q9" s="220">
        <f t="shared" si="7"/>
        <v>92174.290000000037</v>
      </c>
    </row>
    <row r="10" spans="1:17" x14ac:dyDescent="0.3">
      <c r="A10" s="39">
        <v>2015</v>
      </c>
      <c r="B10" s="39" t="s">
        <v>16</v>
      </c>
      <c r="C10" s="72">
        <v>5354586</v>
      </c>
      <c r="D10" s="72">
        <v>0</v>
      </c>
      <c r="E10" s="221">
        <f t="shared" si="0"/>
        <v>7.7063985622884856E-2</v>
      </c>
      <c r="F10" s="283"/>
      <c r="G10" s="33">
        <f t="shared" si="1"/>
        <v>8972581.0399999991</v>
      </c>
      <c r="H10" s="221">
        <f t="shared" si="2"/>
        <v>0.37373655133988026</v>
      </c>
      <c r="I10" s="221">
        <f t="shared" si="3"/>
        <v>0.62626344866011974</v>
      </c>
      <c r="J10" s="222">
        <v>1297979.3400000001</v>
      </c>
      <c r="K10" s="222">
        <v>-2046.39</v>
      </c>
      <c r="L10" s="222">
        <v>11530.46</v>
      </c>
      <c r="M10" s="217">
        <f t="shared" si="4"/>
        <v>1288495.27</v>
      </c>
      <c r="N10" s="220">
        <f t="shared" si="5"/>
        <v>481557.78</v>
      </c>
      <c r="O10" s="220">
        <f t="shared" si="6"/>
        <v>806937.49</v>
      </c>
      <c r="P10" s="222">
        <v>891309.7</v>
      </c>
      <c r="Q10" s="220">
        <f t="shared" si="7"/>
        <v>-84372.209999999963</v>
      </c>
    </row>
    <row r="11" spans="1:17" x14ac:dyDescent="0.3">
      <c r="A11" s="39">
        <v>2015</v>
      </c>
      <c r="B11" s="39" t="s">
        <v>17</v>
      </c>
      <c r="C11" s="72">
        <v>5764917</v>
      </c>
      <c r="D11" s="72">
        <v>0</v>
      </c>
      <c r="E11" s="221">
        <f t="shared" si="0"/>
        <v>7.7518748115702932E-2</v>
      </c>
      <c r="F11" s="283"/>
      <c r="G11" s="33">
        <f t="shared" si="1"/>
        <v>9025529.1600000001</v>
      </c>
      <c r="H11" s="221">
        <f t="shared" si="2"/>
        <v>0.3897730289969833</v>
      </c>
      <c r="I11" s="221">
        <f t="shared" si="3"/>
        <v>0.6102269710030167</v>
      </c>
      <c r="J11" s="222">
        <v>1286808.04</v>
      </c>
      <c r="K11" s="222">
        <v>-2791.83</v>
      </c>
      <c r="L11" s="222">
        <v>15.06</v>
      </c>
      <c r="M11" s="217">
        <f t="shared" si="4"/>
        <v>1289584.81</v>
      </c>
      <c r="N11" s="220">
        <f t="shared" si="5"/>
        <v>502645.38</v>
      </c>
      <c r="O11" s="220">
        <f t="shared" si="6"/>
        <v>786939.43</v>
      </c>
      <c r="P11" s="222">
        <v>772348.59</v>
      </c>
      <c r="Q11" s="220">
        <f t="shared" si="7"/>
        <v>14590.840000000084</v>
      </c>
    </row>
    <row r="12" spans="1:17" x14ac:dyDescent="0.3">
      <c r="A12" s="39">
        <v>2015</v>
      </c>
      <c r="B12" s="39" t="s">
        <v>18</v>
      </c>
      <c r="C12" s="72">
        <v>5884281</v>
      </c>
      <c r="D12" s="72">
        <v>0</v>
      </c>
      <c r="E12" s="221">
        <f t="shared" si="0"/>
        <v>8.930131184268604E-2</v>
      </c>
      <c r="F12" s="283"/>
      <c r="G12" s="33">
        <f t="shared" si="1"/>
        <v>10397376.300000001</v>
      </c>
      <c r="H12" s="221">
        <f t="shared" si="2"/>
        <v>0.36140553087307642</v>
      </c>
      <c r="I12" s="221">
        <f t="shared" si="3"/>
        <v>0.63859446912692364</v>
      </c>
      <c r="J12" s="222">
        <v>1219209.05</v>
      </c>
      <c r="K12" s="222">
        <v>-2831.77</v>
      </c>
      <c r="L12" s="222">
        <v>0</v>
      </c>
      <c r="M12" s="217">
        <f t="shared" si="4"/>
        <v>1222040.82</v>
      </c>
      <c r="N12" s="220">
        <f t="shared" si="5"/>
        <v>441652.31</v>
      </c>
      <c r="O12" s="220">
        <f t="shared" si="6"/>
        <v>780388.51</v>
      </c>
      <c r="P12" s="222">
        <v>736076.67</v>
      </c>
      <c r="Q12" s="220">
        <f t="shared" si="7"/>
        <v>44311.839999999967</v>
      </c>
    </row>
    <row r="13" spans="1:17" x14ac:dyDescent="0.3">
      <c r="A13" s="39">
        <v>2015</v>
      </c>
      <c r="B13" s="39" t="s">
        <v>19</v>
      </c>
      <c r="C13" s="72">
        <v>6141356</v>
      </c>
      <c r="D13" s="72">
        <v>0</v>
      </c>
      <c r="E13" s="221">
        <f t="shared" si="0"/>
        <v>8.6150137122314785E-2</v>
      </c>
      <c r="F13" s="283"/>
      <c r="G13" s="33">
        <f t="shared" si="1"/>
        <v>10030484.16</v>
      </c>
      <c r="H13" s="221">
        <f t="shared" si="2"/>
        <v>0.37975616499044101</v>
      </c>
      <c r="I13" s="221">
        <f t="shared" si="3"/>
        <v>0.62024383500955904</v>
      </c>
      <c r="J13" s="222">
        <v>1196315.6800000002</v>
      </c>
      <c r="K13" s="222">
        <v>-2274.63</v>
      </c>
      <c r="L13" s="222">
        <v>0</v>
      </c>
      <c r="M13" s="217">
        <f t="shared" si="4"/>
        <v>1198590.31</v>
      </c>
      <c r="N13" s="220">
        <f t="shared" si="5"/>
        <v>455172.06</v>
      </c>
      <c r="O13" s="220">
        <f t="shared" si="6"/>
        <v>743418.25</v>
      </c>
      <c r="P13" s="222">
        <v>745965.94</v>
      </c>
      <c r="Q13" s="220">
        <f t="shared" si="7"/>
        <v>-2547.6899999999441</v>
      </c>
    </row>
    <row r="14" spans="1:17" x14ac:dyDescent="0.3">
      <c r="A14" s="39">
        <v>2015</v>
      </c>
      <c r="B14" s="39" t="s">
        <v>20</v>
      </c>
      <c r="C14" s="72">
        <v>5797888</v>
      </c>
      <c r="D14" s="72">
        <v>0</v>
      </c>
      <c r="E14" s="221">
        <f t="shared" si="0"/>
        <v>7.5920326040428143E-2</v>
      </c>
      <c r="F14" s="283"/>
      <c r="G14" s="33">
        <f t="shared" si="1"/>
        <v>8839424.4399999995</v>
      </c>
      <c r="H14" s="221">
        <f t="shared" si="2"/>
        <v>0.39610331635443319</v>
      </c>
      <c r="I14" s="221">
        <f t="shared" si="3"/>
        <v>0.60389668364556681</v>
      </c>
      <c r="J14" s="222">
        <v>962036.19000000018</v>
      </c>
      <c r="K14" s="222">
        <v>-1784.81</v>
      </c>
      <c r="L14" s="222">
        <v>0</v>
      </c>
      <c r="M14" s="217">
        <f t="shared" si="4"/>
        <v>963821.00000000023</v>
      </c>
      <c r="N14" s="220">
        <f t="shared" si="5"/>
        <v>381772.69</v>
      </c>
      <c r="O14" s="220">
        <f t="shared" si="6"/>
        <v>582048.31000000006</v>
      </c>
      <c r="P14" s="222">
        <v>741643.63</v>
      </c>
      <c r="Q14" s="220">
        <f t="shared" si="7"/>
        <v>-159595.31999999995</v>
      </c>
    </row>
    <row r="15" spans="1:17" x14ac:dyDescent="0.3">
      <c r="A15" s="39">
        <v>2015</v>
      </c>
      <c r="B15" s="39" t="s">
        <v>21</v>
      </c>
      <c r="C15" s="72">
        <v>5878092</v>
      </c>
      <c r="D15" s="72">
        <v>0</v>
      </c>
      <c r="E15" s="221">
        <f t="shared" si="0"/>
        <v>7.7075445642690837E-2</v>
      </c>
      <c r="F15" s="283"/>
      <c r="G15" s="33">
        <f t="shared" si="1"/>
        <v>8973915.3300000001</v>
      </c>
      <c r="H15" s="221">
        <f t="shared" si="2"/>
        <v>0.39577761237207792</v>
      </c>
      <c r="I15" s="221">
        <f t="shared" si="3"/>
        <v>0.60422238762792213</v>
      </c>
      <c r="J15" s="222">
        <v>1094000.1100000001</v>
      </c>
      <c r="K15" s="222">
        <v>-1475.39</v>
      </c>
      <c r="L15" s="222">
        <v>0</v>
      </c>
      <c r="M15" s="217">
        <f t="shared" si="4"/>
        <v>1095475.5</v>
      </c>
      <c r="N15" s="220">
        <f t="shared" si="5"/>
        <v>433564.68</v>
      </c>
      <c r="O15" s="220">
        <f t="shared" si="6"/>
        <v>661910.81999999995</v>
      </c>
      <c r="P15" s="222">
        <v>526318.18999999994</v>
      </c>
      <c r="Q15" s="220">
        <f t="shared" si="7"/>
        <v>135592.63</v>
      </c>
    </row>
    <row r="16" spans="1:17" x14ac:dyDescent="0.3">
      <c r="A16" s="39">
        <v>2015</v>
      </c>
      <c r="B16" s="39" t="s">
        <v>174</v>
      </c>
      <c r="C16" s="72">
        <v>5506495</v>
      </c>
      <c r="D16" s="72">
        <v>0</v>
      </c>
      <c r="E16" s="221">
        <f t="shared" si="0"/>
        <v>8.0674195963891096E-2</v>
      </c>
      <c r="F16" s="283"/>
      <c r="G16" s="33">
        <f t="shared" si="1"/>
        <v>9392918.8200000003</v>
      </c>
      <c r="H16" s="221">
        <f t="shared" si="2"/>
        <v>0.36957796236308577</v>
      </c>
      <c r="I16" s="221">
        <f t="shared" si="3"/>
        <v>0.63042203763691429</v>
      </c>
      <c r="J16" s="222">
        <v>1606006.11</v>
      </c>
      <c r="K16" s="222">
        <v>277.62</v>
      </c>
      <c r="L16" s="222">
        <v>23030.84</v>
      </c>
      <c r="M16" s="217">
        <f t="shared" si="4"/>
        <v>1582697.65</v>
      </c>
      <c r="N16" s="220">
        <f t="shared" si="5"/>
        <v>584930.17000000004</v>
      </c>
      <c r="O16" s="220">
        <f t="shared" si="6"/>
        <v>997767.48</v>
      </c>
      <c r="P16" s="222">
        <v>531660</v>
      </c>
      <c r="Q16" s="220">
        <f t="shared" si="7"/>
        <v>466107.48</v>
      </c>
    </row>
    <row r="17" spans="1:17" x14ac:dyDescent="0.3">
      <c r="A17" s="39">
        <v>2015</v>
      </c>
      <c r="B17" s="39" t="s">
        <v>23</v>
      </c>
      <c r="C17" s="72">
        <v>5860490</v>
      </c>
      <c r="D17" s="72">
        <v>0</v>
      </c>
      <c r="E17" s="221">
        <f t="shared" si="0"/>
        <v>8.9299327554078822E-2</v>
      </c>
      <c r="F17" s="283"/>
      <c r="G17" s="33">
        <f t="shared" si="1"/>
        <v>10397145.26</v>
      </c>
      <c r="H17" s="221">
        <f t="shared" si="2"/>
        <v>0.36047616435454466</v>
      </c>
      <c r="I17" s="221">
        <f t="shared" si="3"/>
        <v>0.63952383564545534</v>
      </c>
      <c r="J17" s="222">
        <v>1499135.98</v>
      </c>
      <c r="K17" s="222">
        <v>-62877.21</v>
      </c>
      <c r="L17" s="222">
        <v>28245.48</v>
      </c>
      <c r="M17" s="217">
        <f t="shared" si="4"/>
        <v>1533767.71</v>
      </c>
      <c r="N17" s="220">
        <f t="shared" si="5"/>
        <v>552886.69999999995</v>
      </c>
      <c r="O17" s="220">
        <f t="shared" si="6"/>
        <v>980881.01</v>
      </c>
      <c r="P17" s="222">
        <v>921027.5</v>
      </c>
      <c r="Q17" s="220">
        <f t="shared" si="7"/>
        <v>59853.510000000009</v>
      </c>
    </row>
    <row r="18" spans="1:17" x14ac:dyDescent="0.3">
      <c r="A18" s="39">
        <v>2016</v>
      </c>
      <c r="B18" s="39" t="s">
        <v>12</v>
      </c>
      <c r="C18" s="72">
        <v>6006490</v>
      </c>
      <c r="D18" s="72">
        <v>0</v>
      </c>
      <c r="E18" s="221">
        <f t="shared" si="0"/>
        <v>9.8966582428076641E-2</v>
      </c>
      <c r="F18" s="283">
        <v>115480648</v>
      </c>
      <c r="G18" s="33">
        <f t="shared" ref="G18:G29" si="8">ROUND(E18*$F$18,2)</f>
        <v>11428725.07</v>
      </c>
      <c r="H18" s="221">
        <f t="shared" si="2"/>
        <v>0.34450335002377463</v>
      </c>
      <c r="I18" s="221">
        <f t="shared" si="3"/>
        <v>0.65549664997622537</v>
      </c>
      <c r="J18" s="222">
        <v>1720214.19</v>
      </c>
      <c r="K18" s="222">
        <v>-711.65</v>
      </c>
      <c r="L18" s="222">
        <v>8167.37</v>
      </c>
      <c r="M18" s="217">
        <f t="shared" si="4"/>
        <v>1712758.4699999997</v>
      </c>
      <c r="N18" s="220">
        <f t="shared" si="5"/>
        <v>590051.03</v>
      </c>
      <c r="O18" s="220">
        <f t="shared" si="6"/>
        <v>1122707.44</v>
      </c>
      <c r="P18" s="222">
        <v>987674.52</v>
      </c>
      <c r="Q18" s="220">
        <f t="shared" si="7"/>
        <v>135032.91999999993</v>
      </c>
    </row>
    <row r="19" spans="1:17" x14ac:dyDescent="0.3">
      <c r="A19" s="39">
        <v>2016</v>
      </c>
      <c r="B19" s="39" t="s">
        <v>13</v>
      </c>
      <c r="C19" s="72">
        <v>5847442</v>
      </c>
      <c r="D19" s="72">
        <v>0</v>
      </c>
      <c r="E19" s="221">
        <f t="shared" si="0"/>
        <v>8.7901826943334566E-2</v>
      </c>
      <c r="F19" s="283"/>
      <c r="G19" s="33">
        <f t="shared" si="8"/>
        <v>10150959.939999999</v>
      </c>
      <c r="H19" s="221">
        <f t="shared" si="2"/>
        <v>0.36550163084601189</v>
      </c>
      <c r="I19" s="221">
        <f t="shared" si="3"/>
        <v>0.63449836915398816</v>
      </c>
      <c r="J19" s="222">
        <v>1776744.83</v>
      </c>
      <c r="K19" s="222">
        <v>-1319.29</v>
      </c>
      <c r="L19" s="222">
        <v>13479.99</v>
      </c>
      <c r="M19" s="217">
        <f t="shared" si="4"/>
        <v>1764584.1300000001</v>
      </c>
      <c r="N19" s="220">
        <f t="shared" si="5"/>
        <v>644958.38</v>
      </c>
      <c r="O19" s="220">
        <f t="shared" si="6"/>
        <v>1119625.75</v>
      </c>
      <c r="P19" s="222">
        <v>1177703.17</v>
      </c>
      <c r="Q19" s="220">
        <f t="shared" si="7"/>
        <v>-58077.419999999925</v>
      </c>
    </row>
    <row r="20" spans="1:17" x14ac:dyDescent="0.3">
      <c r="A20" s="39">
        <v>2016</v>
      </c>
      <c r="B20" s="39" t="s">
        <v>14</v>
      </c>
      <c r="C20" s="72">
        <v>5998838</v>
      </c>
      <c r="D20" s="72">
        <v>0</v>
      </c>
      <c r="E20" s="221">
        <f t="shared" si="0"/>
        <v>8.6681232663909383E-2</v>
      </c>
      <c r="F20" s="283"/>
      <c r="G20" s="33">
        <f t="shared" si="8"/>
        <v>10010004.92</v>
      </c>
      <c r="H20" s="221">
        <f t="shared" si="2"/>
        <v>0.37472027366235161</v>
      </c>
      <c r="I20" s="221">
        <f t="shared" si="3"/>
        <v>0.62527972633764839</v>
      </c>
      <c r="J20" s="222">
        <v>1764626.91</v>
      </c>
      <c r="K20" s="222">
        <v>-3330.05</v>
      </c>
      <c r="L20" s="222">
        <v>26893.19</v>
      </c>
      <c r="M20" s="217">
        <f t="shared" si="4"/>
        <v>1741063.77</v>
      </c>
      <c r="N20" s="220">
        <f t="shared" si="5"/>
        <v>652411.89</v>
      </c>
      <c r="O20" s="220">
        <f t="shared" si="6"/>
        <v>1088651.8799999999</v>
      </c>
      <c r="P20" s="222">
        <v>1017360.1</v>
      </c>
      <c r="Q20" s="220">
        <f t="shared" si="7"/>
        <v>71291.779999999912</v>
      </c>
    </row>
    <row r="21" spans="1:17" x14ac:dyDescent="0.3">
      <c r="A21" s="39">
        <v>2016</v>
      </c>
      <c r="B21" s="39" t="s">
        <v>15</v>
      </c>
      <c r="C21" s="72">
        <v>5213064</v>
      </c>
      <c r="D21" s="72">
        <v>0</v>
      </c>
      <c r="E21" s="221">
        <f t="shared" si="0"/>
        <v>7.6726396443276279E-2</v>
      </c>
      <c r="F21" s="283"/>
      <c r="G21" s="33">
        <f t="shared" si="8"/>
        <v>8860413.9800000004</v>
      </c>
      <c r="H21" s="221">
        <f t="shared" si="2"/>
        <v>0.37041760447618932</v>
      </c>
      <c r="I21" s="221">
        <f t="shared" si="3"/>
        <v>0.62958239552381068</v>
      </c>
      <c r="J21" s="222">
        <v>1661411.6</v>
      </c>
      <c r="K21" s="222">
        <v>-1915.67</v>
      </c>
      <c r="L21" s="222">
        <v>64852.87</v>
      </c>
      <c r="M21" s="217">
        <f t="shared" si="4"/>
        <v>1598474.4</v>
      </c>
      <c r="N21" s="220">
        <f t="shared" si="5"/>
        <v>592103.06000000006</v>
      </c>
      <c r="O21" s="220">
        <f t="shared" si="6"/>
        <v>1006371.34</v>
      </c>
      <c r="P21" s="222">
        <v>1107660.79</v>
      </c>
      <c r="Q21" s="220">
        <f t="shared" si="7"/>
        <v>-101289.45000000007</v>
      </c>
    </row>
    <row r="22" spans="1:17" x14ac:dyDescent="0.3">
      <c r="A22" s="39">
        <v>2016</v>
      </c>
      <c r="B22" s="39" t="s">
        <v>16</v>
      </c>
      <c r="C22" s="72">
        <v>5257311</v>
      </c>
      <c r="D22" s="72">
        <v>0</v>
      </c>
      <c r="E22" s="221">
        <f t="shared" si="0"/>
        <v>7.5848850293424835E-2</v>
      </c>
      <c r="F22" s="283"/>
      <c r="G22" s="33">
        <f t="shared" si="8"/>
        <v>8759074.3800000008</v>
      </c>
      <c r="H22" s="221">
        <f t="shared" si="2"/>
        <v>0.37508322277594225</v>
      </c>
      <c r="I22" s="221">
        <f t="shared" si="3"/>
        <v>0.62491677722405781</v>
      </c>
      <c r="J22" s="222">
        <v>1471279.42</v>
      </c>
      <c r="K22" s="222">
        <v>-2864.13</v>
      </c>
      <c r="L22" s="222">
        <v>28632.87</v>
      </c>
      <c r="M22" s="217">
        <f t="shared" si="4"/>
        <v>1445510.6799999997</v>
      </c>
      <c r="N22" s="220">
        <f t="shared" si="5"/>
        <v>542186.80000000005</v>
      </c>
      <c r="O22" s="220">
        <f t="shared" si="6"/>
        <v>903323.88</v>
      </c>
      <c r="P22" s="222">
        <v>1054763.97</v>
      </c>
      <c r="Q22" s="220">
        <f t="shared" si="7"/>
        <v>-151440.08999999997</v>
      </c>
    </row>
    <row r="23" spans="1:17" x14ac:dyDescent="0.3">
      <c r="A23" s="39">
        <v>2016</v>
      </c>
      <c r="B23" s="39" t="s">
        <v>17</v>
      </c>
      <c r="C23" s="72">
        <v>5544652</v>
      </c>
      <c r="D23" s="72">
        <v>0</v>
      </c>
      <c r="E23" s="221">
        <f t="shared" si="0"/>
        <v>7.8340460294993475E-2</v>
      </c>
      <c r="F23" s="283"/>
      <c r="G23" s="33">
        <f t="shared" si="8"/>
        <v>9046807.1199999992</v>
      </c>
      <c r="H23" s="221">
        <f t="shared" si="2"/>
        <v>0.37999297770023155</v>
      </c>
      <c r="I23" s="221">
        <f t="shared" si="3"/>
        <v>0.62000702229976845</v>
      </c>
      <c r="J23" s="222">
        <v>1349273.42</v>
      </c>
      <c r="K23" s="222">
        <v>-5261.85</v>
      </c>
      <c r="L23" s="222">
        <v>0</v>
      </c>
      <c r="M23" s="217">
        <f t="shared" si="4"/>
        <v>1354535.27</v>
      </c>
      <c r="N23" s="220">
        <f t="shared" si="5"/>
        <v>514713.89</v>
      </c>
      <c r="O23" s="220">
        <f t="shared" si="6"/>
        <v>839821.38</v>
      </c>
      <c r="P23" s="222">
        <v>724766.69</v>
      </c>
      <c r="Q23" s="220">
        <f t="shared" si="7"/>
        <v>115054.69000000006</v>
      </c>
    </row>
    <row r="24" spans="1:17" x14ac:dyDescent="0.3">
      <c r="A24" s="39">
        <v>2016</v>
      </c>
      <c r="B24" s="39" t="s">
        <v>18</v>
      </c>
      <c r="C24" s="72">
        <v>6026917</v>
      </c>
      <c r="D24" s="72">
        <v>0</v>
      </c>
      <c r="E24" s="221">
        <f t="shared" si="0"/>
        <v>8.8128641929069121E-2</v>
      </c>
      <c r="F24" s="283"/>
      <c r="G24" s="33">
        <f t="shared" si="8"/>
        <v>10177152.68</v>
      </c>
      <c r="H24" s="221">
        <f t="shared" si="2"/>
        <v>0.37193847712459355</v>
      </c>
      <c r="I24" s="221">
        <f t="shared" si="3"/>
        <v>0.6280615228754064</v>
      </c>
      <c r="J24" s="222">
        <v>1191788.8700000001</v>
      </c>
      <c r="K24" s="222">
        <v>-104594.1</v>
      </c>
      <c r="L24" s="222">
        <v>0</v>
      </c>
      <c r="M24" s="217">
        <f t="shared" si="4"/>
        <v>1296382.9700000002</v>
      </c>
      <c r="N24" s="220">
        <f t="shared" si="5"/>
        <v>482174.71</v>
      </c>
      <c r="O24" s="220">
        <f t="shared" si="6"/>
        <v>814208.26</v>
      </c>
      <c r="P24" s="222">
        <v>842567.48</v>
      </c>
      <c r="Q24" s="220">
        <f t="shared" si="7"/>
        <v>-28359.219999999972</v>
      </c>
    </row>
    <row r="25" spans="1:17" x14ac:dyDescent="0.3">
      <c r="A25" s="39">
        <v>2016</v>
      </c>
      <c r="B25" s="39" t="s">
        <v>19</v>
      </c>
      <c r="C25" s="72">
        <v>6818352</v>
      </c>
      <c r="D25" s="72">
        <v>0</v>
      </c>
      <c r="E25" s="221">
        <f t="shared" si="0"/>
        <v>8.5318656896435863E-2</v>
      </c>
      <c r="F25" s="283"/>
      <c r="G25" s="33">
        <f t="shared" si="8"/>
        <v>9852653.7799999993</v>
      </c>
      <c r="H25" s="221">
        <f t="shared" si="2"/>
        <v>0.40899463955437487</v>
      </c>
      <c r="I25" s="221">
        <f t="shared" si="3"/>
        <v>0.59100536044562513</v>
      </c>
      <c r="J25" s="222">
        <v>1114432.77</v>
      </c>
      <c r="K25" s="222">
        <v>-37244.15</v>
      </c>
      <c r="L25" s="222">
        <v>0</v>
      </c>
      <c r="M25" s="217">
        <f t="shared" si="4"/>
        <v>1151676.92</v>
      </c>
      <c r="N25" s="220">
        <f t="shared" si="5"/>
        <v>471029.69</v>
      </c>
      <c r="O25" s="220">
        <f t="shared" si="6"/>
        <v>680647.23</v>
      </c>
      <c r="P25" s="222">
        <v>696193.74</v>
      </c>
      <c r="Q25" s="220">
        <f t="shared" si="7"/>
        <v>-15546.510000000009</v>
      </c>
    </row>
    <row r="26" spans="1:17" x14ac:dyDescent="0.3">
      <c r="A26" s="39">
        <v>2016</v>
      </c>
      <c r="B26" s="39" t="s">
        <v>20</v>
      </c>
      <c r="C26" s="72">
        <v>5564355</v>
      </c>
      <c r="D26" s="72">
        <v>0</v>
      </c>
      <c r="E26" s="221">
        <f t="shared" si="0"/>
        <v>7.4762379344436677E-2</v>
      </c>
      <c r="F26" s="283"/>
      <c r="G26" s="33">
        <f t="shared" si="8"/>
        <v>8633608.0099999998</v>
      </c>
      <c r="H26" s="221">
        <f t="shared" si="2"/>
        <v>0.39191220572140367</v>
      </c>
      <c r="I26" s="221">
        <f t="shared" si="3"/>
        <v>0.60808779427859627</v>
      </c>
      <c r="J26" s="222">
        <v>1277089.01</v>
      </c>
      <c r="K26" s="222">
        <v>-3752.64</v>
      </c>
      <c r="L26" s="222">
        <v>0</v>
      </c>
      <c r="M26" s="217">
        <f t="shared" si="4"/>
        <v>1280841.6499999999</v>
      </c>
      <c r="N26" s="220">
        <f t="shared" si="5"/>
        <v>501977.48</v>
      </c>
      <c r="O26" s="220">
        <f t="shared" si="6"/>
        <v>778864.17</v>
      </c>
      <c r="P26" s="222">
        <v>619459.78</v>
      </c>
      <c r="Q26" s="220">
        <f t="shared" si="7"/>
        <v>159404.39000000001</v>
      </c>
    </row>
    <row r="27" spans="1:17" x14ac:dyDescent="0.3">
      <c r="A27" s="39">
        <v>2016</v>
      </c>
      <c r="B27" s="39" t="s">
        <v>21</v>
      </c>
      <c r="C27" s="72">
        <v>5949552</v>
      </c>
      <c r="D27" s="72">
        <v>0</v>
      </c>
      <c r="E27" s="221">
        <f t="shared" si="0"/>
        <v>7.6337676408099991E-2</v>
      </c>
      <c r="F27" s="283"/>
      <c r="G27" s="33">
        <f t="shared" si="8"/>
        <v>8815524.3399999999</v>
      </c>
      <c r="H27" s="221">
        <f t="shared" si="2"/>
        <v>0.40294759491910626</v>
      </c>
      <c r="I27" s="221">
        <f t="shared" si="3"/>
        <v>0.59705240508089374</v>
      </c>
      <c r="J27" s="222">
        <v>1606900.02</v>
      </c>
      <c r="K27" s="222">
        <v>-2979.12</v>
      </c>
      <c r="L27" s="222">
        <v>0</v>
      </c>
      <c r="M27" s="217">
        <f t="shared" si="4"/>
        <v>1609879.1400000001</v>
      </c>
      <c r="N27" s="220">
        <f t="shared" si="5"/>
        <v>648696.93000000005</v>
      </c>
      <c r="O27" s="220">
        <f t="shared" si="6"/>
        <v>961182.21</v>
      </c>
      <c r="P27" s="222">
        <v>720728.23</v>
      </c>
      <c r="Q27" s="220">
        <f t="shared" si="7"/>
        <v>240453.97999999998</v>
      </c>
    </row>
    <row r="28" spans="1:17" x14ac:dyDescent="0.3">
      <c r="A28" s="39">
        <v>2016</v>
      </c>
      <c r="B28" s="39" t="s">
        <v>174</v>
      </c>
      <c r="C28" s="72">
        <v>6729932</v>
      </c>
      <c r="D28" s="72">
        <v>0</v>
      </c>
      <c r="E28" s="221">
        <f t="shared" si="0"/>
        <v>8.0627965104831667E-2</v>
      </c>
      <c r="F28" s="283"/>
      <c r="G28" s="33">
        <f t="shared" si="8"/>
        <v>9310969.6600000001</v>
      </c>
      <c r="H28" s="221">
        <f t="shared" si="2"/>
        <v>0.41954823629284688</v>
      </c>
      <c r="I28" s="221">
        <f t="shared" si="3"/>
        <v>0.58045176370715312</v>
      </c>
      <c r="J28" s="222">
        <v>1795118.54</v>
      </c>
      <c r="K28" s="222">
        <v>-2575.36</v>
      </c>
      <c r="L28" s="222">
        <v>0</v>
      </c>
      <c r="M28" s="217">
        <f t="shared" si="4"/>
        <v>1797693.9000000001</v>
      </c>
      <c r="N28" s="220">
        <f t="shared" si="5"/>
        <v>754219.31</v>
      </c>
      <c r="O28" s="220">
        <f t="shared" si="6"/>
        <v>1043474.59</v>
      </c>
      <c r="P28" s="222">
        <v>1100301.6200000001</v>
      </c>
      <c r="Q28" s="220">
        <f t="shared" si="7"/>
        <v>-56827.030000000144</v>
      </c>
    </row>
    <row r="29" spans="1:17" x14ac:dyDescent="0.3">
      <c r="A29" s="39">
        <v>2016</v>
      </c>
      <c r="B29" s="39" t="s">
        <v>23</v>
      </c>
      <c r="C29" s="72">
        <v>6510292</v>
      </c>
      <c r="D29" s="72">
        <v>0</v>
      </c>
      <c r="E29" s="221">
        <f t="shared" si="0"/>
        <v>9.0359331250111516E-2</v>
      </c>
      <c r="F29" s="283"/>
      <c r="G29" s="33">
        <f t="shared" si="8"/>
        <v>10434754.130000001</v>
      </c>
      <c r="H29" s="221">
        <f t="shared" si="2"/>
        <v>0.38420031140983379</v>
      </c>
      <c r="I29" s="221">
        <f t="shared" si="3"/>
        <v>0.61579968859016609</v>
      </c>
      <c r="J29" s="222">
        <v>1603407.29</v>
      </c>
      <c r="K29" s="222">
        <v>-96.4</v>
      </c>
      <c r="L29" s="222">
        <v>0</v>
      </c>
      <c r="M29" s="217">
        <f t="shared" si="4"/>
        <v>1603503.69</v>
      </c>
      <c r="N29" s="220">
        <f t="shared" si="5"/>
        <v>616066.62</v>
      </c>
      <c r="O29" s="220">
        <f t="shared" si="6"/>
        <v>987437.07</v>
      </c>
      <c r="P29" s="222">
        <v>1049623.44</v>
      </c>
      <c r="Q29" s="220">
        <f t="shared" si="7"/>
        <v>-62186.369999999995</v>
      </c>
    </row>
    <row r="30" spans="1:17" x14ac:dyDescent="0.3">
      <c r="A30" s="39">
        <v>2017</v>
      </c>
      <c r="B30" s="39" t="s">
        <v>12</v>
      </c>
      <c r="C30" s="72">
        <v>6392308.7600000026</v>
      </c>
      <c r="D30" s="72">
        <v>0</v>
      </c>
      <c r="E30" s="221">
        <f t="shared" si="0"/>
        <v>9.7095292687640999E-2</v>
      </c>
      <c r="F30" s="281">
        <v>113931089</v>
      </c>
      <c r="G30" s="33">
        <f t="shared" ref="G30:G41" si="9">ROUND(E30*$F$30,2)</f>
        <v>11062172.43</v>
      </c>
      <c r="H30" s="221">
        <f t="shared" si="2"/>
        <v>0.36622737109266107</v>
      </c>
      <c r="I30" s="221">
        <f t="shared" si="3"/>
        <v>0.63377262890733899</v>
      </c>
      <c r="J30" s="222">
        <v>1482071.15</v>
      </c>
      <c r="K30" s="222">
        <v>1430.23</v>
      </c>
      <c r="L30" s="222">
        <v>3524.2</v>
      </c>
      <c r="M30" s="217">
        <f t="shared" si="4"/>
        <v>1477116.72</v>
      </c>
      <c r="N30" s="220">
        <f t="shared" si="5"/>
        <v>540960.56999999995</v>
      </c>
      <c r="O30" s="220">
        <f t="shared" si="6"/>
        <v>936156.15</v>
      </c>
      <c r="P30" s="222">
        <v>1051429.3799999999</v>
      </c>
      <c r="Q30" s="220">
        <f t="shared" si="7"/>
        <v>-115273.22999999986</v>
      </c>
    </row>
    <row r="31" spans="1:17" x14ac:dyDescent="0.3">
      <c r="A31" s="39">
        <v>2017</v>
      </c>
      <c r="B31" s="39" t="s">
        <v>13</v>
      </c>
      <c r="C31" s="72">
        <v>5375089.2800000003</v>
      </c>
      <c r="D31" s="72">
        <v>0</v>
      </c>
      <c r="E31" s="221">
        <f t="shared" si="0"/>
        <v>8.8891141739724816E-2</v>
      </c>
      <c r="F31" s="281"/>
      <c r="G31" s="33">
        <f t="shared" si="9"/>
        <v>10127464.58</v>
      </c>
      <c r="H31" s="221">
        <f t="shared" si="2"/>
        <v>0.34672282570608665</v>
      </c>
      <c r="I31" s="221">
        <f t="shared" si="3"/>
        <v>0.65327717429391341</v>
      </c>
      <c r="J31" s="222">
        <v>1249501.45</v>
      </c>
      <c r="K31" s="222">
        <v>-131891.69</v>
      </c>
      <c r="L31" s="222">
        <v>5023.76</v>
      </c>
      <c r="M31" s="217">
        <f t="shared" si="4"/>
        <v>1376369.38</v>
      </c>
      <c r="N31" s="220">
        <f t="shared" si="5"/>
        <v>477218.68</v>
      </c>
      <c r="O31" s="220">
        <f t="shared" si="6"/>
        <v>899150.7</v>
      </c>
      <c r="P31" s="222">
        <v>1258480.18</v>
      </c>
      <c r="Q31" s="220">
        <f t="shared" si="7"/>
        <v>-359329.48</v>
      </c>
    </row>
    <row r="32" spans="1:17" x14ac:dyDescent="0.3">
      <c r="A32" s="39">
        <v>2017</v>
      </c>
      <c r="B32" s="39" t="s">
        <v>14</v>
      </c>
      <c r="C32" s="72">
        <v>5943456.2300000014</v>
      </c>
      <c r="D32" s="72">
        <v>0</v>
      </c>
      <c r="E32" s="221">
        <f t="shared" si="0"/>
        <v>8.4810219411841775E-2</v>
      </c>
      <c r="F32" s="281"/>
      <c r="G32" s="33">
        <f t="shared" si="9"/>
        <v>9662520.6600000001</v>
      </c>
      <c r="H32" s="221">
        <f t="shared" si="2"/>
        <v>0.38084486936594464</v>
      </c>
      <c r="I32" s="221">
        <f t="shared" si="3"/>
        <v>0.61915513063405536</v>
      </c>
      <c r="J32" s="222">
        <v>1247673.55</v>
      </c>
      <c r="K32" s="222">
        <v>-2643.8</v>
      </c>
      <c r="L32" s="222">
        <v>8108.91</v>
      </c>
      <c r="M32" s="217">
        <f t="shared" si="4"/>
        <v>1242208.4400000002</v>
      </c>
      <c r="N32" s="220">
        <f t="shared" si="5"/>
        <v>473088.71</v>
      </c>
      <c r="O32" s="220">
        <f t="shared" si="6"/>
        <v>769119.73</v>
      </c>
      <c r="P32" s="222">
        <v>623837.31999999995</v>
      </c>
      <c r="Q32" s="220">
        <f t="shared" si="7"/>
        <v>145282.41000000003</v>
      </c>
    </row>
    <row r="33" spans="1:17" x14ac:dyDescent="0.3">
      <c r="A33" s="39">
        <v>2017</v>
      </c>
      <c r="B33" s="39" t="s">
        <v>15</v>
      </c>
      <c r="C33" s="72">
        <v>5248762.1000000006</v>
      </c>
      <c r="D33" s="72">
        <v>0</v>
      </c>
      <c r="E33" s="221">
        <f t="shared" si="0"/>
        <v>7.618480722994514E-2</v>
      </c>
      <c r="F33" s="281"/>
      <c r="G33" s="33">
        <f t="shared" si="9"/>
        <v>8679818.0500000007</v>
      </c>
      <c r="H33" s="221">
        <f t="shared" si="2"/>
        <v>0.37683396609524478</v>
      </c>
      <c r="I33" s="221">
        <f t="shared" si="3"/>
        <v>0.62316603390475511</v>
      </c>
      <c r="J33" s="222">
        <v>1522452.08</v>
      </c>
      <c r="K33" s="222">
        <v>-448.15</v>
      </c>
      <c r="L33" s="222">
        <v>43487.01</v>
      </c>
      <c r="M33" s="217">
        <f t="shared" si="4"/>
        <v>1479413.22</v>
      </c>
      <c r="N33" s="220">
        <f t="shared" si="5"/>
        <v>557493.15</v>
      </c>
      <c r="O33" s="220">
        <f t="shared" si="6"/>
        <v>921920.07</v>
      </c>
      <c r="P33" s="222">
        <v>856780.95</v>
      </c>
      <c r="Q33" s="220">
        <f t="shared" si="7"/>
        <v>65139.119999999995</v>
      </c>
    </row>
    <row r="34" spans="1:17" x14ac:dyDescent="0.3">
      <c r="A34" s="39">
        <v>2017</v>
      </c>
      <c r="B34" s="39" t="s">
        <v>16</v>
      </c>
      <c r="C34" s="72">
        <v>5196901.5699999994</v>
      </c>
      <c r="D34" s="72">
        <v>0</v>
      </c>
      <c r="E34" s="221">
        <f t="shared" si="0"/>
        <v>7.2966075792122762E-2</v>
      </c>
      <c r="F34" s="281"/>
      <c r="G34" s="33">
        <f t="shared" si="9"/>
        <v>8313104.4800000004</v>
      </c>
      <c r="H34" s="221">
        <f t="shared" si="2"/>
        <v>0.38467055830815111</v>
      </c>
      <c r="I34" s="221">
        <f t="shared" si="3"/>
        <v>0.61532944169184889</v>
      </c>
      <c r="J34" s="222">
        <v>1705065.6099999999</v>
      </c>
      <c r="K34" s="222">
        <v>-849.23</v>
      </c>
      <c r="L34" s="222">
        <v>68676.09</v>
      </c>
      <c r="M34" s="217">
        <f t="shared" si="4"/>
        <v>1637238.7499999998</v>
      </c>
      <c r="N34" s="220">
        <f t="shared" si="5"/>
        <v>629797.54</v>
      </c>
      <c r="O34" s="220">
        <f t="shared" si="6"/>
        <v>1007441.21</v>
      </c>
      <c r="P34" s="222">
        <v>967126.67</v>
      </c>
      <c r="Q34" s="220">
        <f t="shared" si="7"/>
        <v>40314.539999999921</v>
      </c>
    </row>
    <row r="35" spans="1:17" x14ac:dyDescent="0.3">
      <c r="A35" s="39">
        <v>2017</v>
      </c>
      <c r="B35" s="39" t="s">
        <v>17</v>
      </c>
      <c r="C35" s="72">
        <v>5332009.79</v>
      </c>
      <c r="D35" s="72">
        <v>0</v>
      </c>
      <c r="E35" s="221">
        <f t="shared" si="0"/>
        <v>7.8596082377290655E-2</v>
      </c>
      <c r="F35" s="281"/>
      <c r="G35" s="33">
        <f t="shared" si="9"/>
        <v>8954537.2599999998</v>
      </c>
      <c r="H35" s="221">
        <f t="shared" si="2"/>
        <v>0.37321892906235871</v>
      </c>
      <c r="I35" s="221">
        <f t="shared" si="3"/>
        <v>0.62678107093764124</v>
      </c>
      <c r="J35" s="222">
        <v>1641012.77</v>
      </c>
      <c r="K35" s="222">
        <v>-2154.5500000000002</v>
      </c>
      <c r="L35" s="222">
        <v>43308.59</v>
      </c>
      <c r="M35" s="217">
        <f t="shared" si="4"/>
        <v>1599858.73</v>
      </c>
      <c r="N35" s="220">
        <f t="shared" si="5"/>
        <v>597097.56000000006</v>
      </c>
      <c r="O35" s="220">
        <f t="shared" si="6"/>
        <v>1002761.17</v>
      </c>
      <c r="P35" s="222">
        <v>1020375.57</v>
      </c>
      <c r="Q35" s="220">
        <f t="shared" si="7"/>
        <v>-17614.399999999907</v>
      </c>
    </row>
    <row r="36" spans="1:17" x14ac:dyDescent="0.3">
      <c r="A36" s="39">
        <v>2017</v>
      </c>
      <c r="B36" s="39" t="s">
        <v>18</v>
      </c>
      <c r="C36" s="72">
        <v>5811788.0200000014</v>
      </c>
      <c r="D36" s="72">
        <v>0</v>
      </c>
      <c r="E36" s="221">
        <f t="shared" si="0"/>
        <v>8.9383135891180215E-2</v>
      </c>
      <c r="F36" s="281"/>
      <c r="G36" s="33">
        <f t="shared" si="9"/>
        <v>10183518.01</v>
      </c>
      <c r="H36" s="221">
        <f t="shared" si="2"/>
        <v>0.36334334642298816</v>
      </c>
      <c r="I36" s="221">
        <f t="shared" si="3"/>
        <v>0.63665665357701184</v>
      </c>
      <c r="J36" s="222">
        <v>1703744.07</v>
      </c>
      <c r="K36" s="222">
        <v>-2427.9499999999998</v>
      </c>
      <c r="L36" s="222">
        <v>41445.56</v>
      </c>
      <c r="M36" s="217">
        <f t="shared" si="4"/>
        <v>1664726.46</v>
      </c>
      <c r="N36" s="220">
        <f t="shared" si="5"/>
        <v>604867.28</v>
      </c>
      <c r="O36" s="220">
        <f t="shared" si="6"/>
        <v>1059859.18</v>
      </c>
      <c r="P36" s="222">
        <v>993496.23</v>
      </c>
      <c r="Q36" s="220">
        <f t="shared" si="7"/>
        <v>66362.949999999953</v>
      </c>
    </row>
    <row r="37" spans="1:17" x14ac:dyDescent="0.3">
      <c r="A37" s="39">
        <v>2017</v>
      </c>
      <c r="B37" s="39" t="s">
        <v>19</v>
      </c>
      <c r="C37" s="72">
        <v>5702335.8000000017</v>
      </c>
      <c r="D37" s="72">
        <v>0</v>
      </c>
      <c r="E37" s="221">
        <f t="shared" si="0"/>
        <v>8.7620151287701106E-2</v>
      </c>
      <c r="F37" s="281"/>
      <c r="G37" s="33">
        <f t="shared" si="9"/>
        <v>9982659.25</v>
      </c>
      <c r="H37" s="221">
        <f t="shared" si="2"/>
        <v>0.36355356070067751</v>
      </c>
      <c r="I37" s="221">
        <f t="shared" si="3"/>
        <v>0.63644643929932254</v>
      </c>
      <c r="J37" s="222">
        <v>1463301.76</v>
      </c>
      <c r="K37" s="222">
        <v>-2713.1</v>
      </c>
      <c r="L37" s="222">
        <v>11273.26</v>
      </c>
      <c r="M37" s="217">
        <f t="shared" si="4"/>
        <v>1454741.6</v>
      </c>
      <c r="N37" s="220">
        <f t="shared" si="5"/>
        <v>528876.49</v>
      </c>
      <c r="O37" s="220">
        <f t="shared" si="6"/>
        <v>925865.11</v>
      </c>
      <c r="P37" s="222">
        <v>1062396.21</v>
      </c>
      <c r="Q37" s="220">
        <f t="shared" si="7"/>
        <v>-136531.09999999998</v>
      </c>
    </row>
    <row r="38" spans="1:17" x14ac:dyDescent="0.3">
      <c r="A38" s="39">
        <v>2017</v>
      </c>
      <c r="B38" s="39" t="s">
        <v>20</v>
      </c>
      <c r="C38" s="72">
        <v>5642060.1300000018</v>
      </c>
      <c r="D38" s="72">
        <v>0</v>
      </c>
      <c r="E38" s="221">
        <f t="shared" si="0"/>
        <v>7.4574015175080152E-2</v>
      </c>
      <c r="F38" s="281"/>
      <c r="G38" s="33">
        <f t="shared" si="9"/>
        <v>8496298.7599999998</v>
      </c>
      <c r="H38" s="221">
        <f t="shared" si="2"/>
        <v>0.39906046903297993</v>
      </c>
      <c r="I38" s="221">
        <f t="shared" si="3"/>
        <v>0.60093953096702013</v>
      </c>
      <c r="J38" s="222">
        <v>1236724.04</v>
      </c>
      <c r="K38" s="222">
        <v>-8732.25</v>
      </c>
      <c r="L38" s="222">
        <v>0</v>
      </c>
      <c r="M38" s="217">
        <f t="shared" ref="M38:M69" si="10">J38-K38-L38</f>
        <v>1245456.29</v>
      </c>
      <c r="N38" s="220">
        <f t="shared" ref="N38:N69" si="11">ROUND(H38*M38,2)</f>
        <v>497012.37</v>
      </c>
      <c r="O38" s="220">
        <f t="shared" ref="O38:O69" si="12">ROUND(I38*M38,2)</f>
        <v>748443.92</v>
      </c>
      <c r="P38" s="222">
        <v>888095.26</v>
      </c>
      <c r="Q38" s="220">
        <f t="shared" ref="Q38:Q69" si="13">O38-P38</f>
        <v>-139651.33999999997</v>
      </c>
    </row>
    <row r="39" spans="1:17" x14ac:dyDescent="0.3">
      <c r="A39" s="39">
        <v>2017</v>
      </c>
      <c r="B39" s="39" t="s">
        <v>21</v>
      </c>
      <c r="C39" s="72">
        <v>5594107.9400000013</v>
      </c>
      <c r="D39" s="72">
        <v>0</v>
      </c>
      <c r="E39" s="221">
        <f t="shared" si="0"/>
        <v>7.6891969581775937E-2</v>
      </c>
      <c r="F39" s="281"/>
      <c r="G39" s="33">
        <f t="shared" si="9"/>
        <v>8760385.8300000001</v>
      </c>
      <c r="H39" s="221">
        <f t="shared" si="2"/>
        <v>0.38971126600725819</v>
      </c>
      <c r="I39" s="221">
        <f t="shared" si="3"/>
        <v>0.61028873399274175</v>
      </c>
      <c r="J39" s="222">
        <v>1686109.54</v>
      </c>
      <c r="K39" s="222">
        <v>-1501.89</v>
      </c>
      <c r="L39" s="222">
        <v>1353.73</v>
      </c>
      <c r="M39" s="217">
        <f t="shared" si="10"/>
        <v>1686257.7</v>
      </c>
      <c r="N39" s="220">
        <f t="shared" si="11"/>
        <v>657153.62</v>
      </c>
      <c r="O39" s="220">
        <f t="shared" si="12"/>
        <v>1029104.08</v>
      </c>
      <c r="P39" s="222">
        <v>920531.21</v>
      </c>
      <c r="Q39" s="220">
        <f t="shared" si="13"/>
        <v>108572.87</v>
      </c>
    </row>
    <row r="40" spans="1:17" x14ac:dyDescent="0.3">
      <c r="A40" s="39">
        <v>2017</v>
      </c>
      <c r="B40" s="39" t="s">
        <v>174</v>
      </c>
      <c r="C40" s="72">
        <v>5729110.6899999995</v>
      </c>
      <c r="D40" s="72">
        <v>0</v>
      </c>
      <c r="E40" s="221">
        <f t="shared" si="0"/>
        <v>7.9545905346477694E-2</v>
      </c>
      <c r="F40" s="281"/>
      <c r="G40" s="33">
        <f t="shared" si="9"/>
        <v>9062751.6199999992</v>
      </c>
      <c r="H40" s="221">
        <f t="shared" si="2"/>
        <v>0.38731503646615545</v>
      </c>
      <c r="I40" s="221">
        <f t="shared" si="3"/>
        <v>0.61268496353384461</v>
      </c>
      <c r="J40" s="222">
        <v>1492058.7000000002</v>
      </c>
      <c r="K40" s="222">
        <v>-44780.79</v>
      </c>
      <c r="L40" s="222">
        <v>24389.93</v>
      </c>
      <c r="M40" s="217">
        <f t="shared" si="10"/>
        <v>1512449.5600000003</v>
      </c>
      <c r="N40" s="220">
        <f t="shared" si="11"/>
        <v>585794.46</v>
      </c>
      <c r="O40" s="220">
        <f t="shared" si="12"/>
        <v>926655.1</v>
      </c>
      <c r="P40" s="222">
        <v>804095.99</v>
      </c>
      <c r="Q40" s="220">
        <f t="shared" si="13"/>
        <v>122559.10999999999</v>
      </c>
    </row>
    <row r="41" spans="1:17" x14ac:dyDescent="0.3">
      <c r="A41" s="39">
        <v>2017</v>
      </c>
      <c r="B41" s="39" t="s">
        <v>23</v>
      </c>
      <c r="C41" s="72">
        <v>5842802.7300000004</v>
      </c>
      <c r="D41" s="72">
        <v>0</v>
      </c>
      <c r="E41" s="221">
        <f t="shared" si="0"/>
        <v>9.3441203479218748E-2</v>
      </c>
      <c r="F41" s="281"/>
      <c r="G41" s="33">
        <f t="shared" si="9"/>
        <v>10645858.07</v>
      </c>
      <c r="H41" s="221">
        <f t="shared" si="2"/>
        <v>0.35435277618179883</v>
      </c>
      <c r="I41" s="221">
        <f t="shared" si="3"/>
        <v>0.64564722381820117</v>
      </c>
      <c r="J41" s="222">
        <v>1776672.42</v>
      </c>
      <c r="K41" s="222">
        <v>-2489.85</v>
      </c>
      <c r="L41" s="222">
        <v>7634.73</v>
      </c>
      <c r="M41" s="217">
        <f t="shared" si="10"/>
        <v>1771527.54</v>
      </c>
      <c r="N41" s="220">
        <f t="shared" si="11"/>
        <v>627745.69999999995</v>
      </c>
      <c r="O41" s="220">
        <f t="shared" si="12"/>
        <v>1143781.8400000001</v>
      </c>
      <c r="P41" s="222">
        <v>948544.16</v>
      </c>
      <c r="Q41" s="220">
        <f t="shared" si="13"/>
        <v>195237.68000000005</v>
      </c>
    </row>
    <row r="42" spans="1:17" x14ac:dyDescent="0.3">
      <c r="A42" s="39">
        <v>2018</v>
      </c>
      <c r="B42" s="39" t="s">
        <v>12</v>
      </c>
      <c r="C42" s="72">
        <v>7236081</v>
      </c>
      <c r="D42" s="72">
        <v>0</v>
      </c>
      <c r="E42" s="221">
        <f t="shared" ref="E42:E53" si="14">C42/SUM($C$42:$C$53)</f>
        <v>0.10563318414443217</v>
      </c>
      <c r="F42" s="226">
        <v>12972206.49</v>
      </c>
      <c r="G42" s="225"/>
      <c r="H42" s="221">
        <f t="shared" ref="H42:H77" si="15">C42/(C42+F42)</f>
        <v>0.35807492364609067</v>
      </c>
      <c r="I42" s="221">
        <f t="shared" ref="I42:I77" si="16">F42/(F42+C42)</f>
        <v>0.64192507635390927</v>
      </c>
      <c r="J42" s="222">
        <v>1370499.08</v>
      </c>
      <c r="K42" s="222">
        <v>974.84</v>
      </c>
      <c r="L42" s="222">
        <v>1294.99</v>
      </c>
      <c r="M42" s="217">
        <f t="shared" si="10"/>
        <v>1368229.25</v>
      </c>
      <c r="N42" s="220">
        <f t="shared" si="11"/>
        <v>489928.58</v>
      </c>
      <c r="O42" s="220">
        <f t="shared" si="12"/>
        <v>878300.67</v>
      </c>
      <c r="P42" s="222">
        <v>1170502.05</v>
      </c>
      <c r="Q42" s="220">
        <f t="shared" si="13"/>
        <v>-292201.38</v>
      </c>
    </row>
    <row r="43" spans="1:17" x14ac:dyDescent="0.3">
      <c r="A43" s="39">
        <v>2018</v>
      </c>
      <c r="B43" s="39" t="s">
        <v>13</v>
      </c>
      <c r="C43" s="72">
        <v>5465243</v>
      </c>
      <c r="D43" s="72">
        <v>0</v>
      </c>
      <c r="E43" s="221">
        <f t="shared" si="14"/>
        <v>7.9782277204065138E-2</v>
      </c>
      <c r="F43" s="224">
        <v>10881849.6</v>
      </c>
      <c r="G43" s="223"/>
      <c r="H43" s="221">
        <f t="shared" si="15"/>
        <v>0.33432507747585649</v>
      </c>
      <c r="I43" s="221">
        <f t="shared" si="16"/>
        <v>0.66567492252414351</v>
      </c>
      <c r="J43" s="222">
        <v>1318981.92</v>
      </c>
      <c r="K43" s="222">
        <v>-21669.96</v>
      </c>
      <c r="L43" s="222">
        <v>15.79</v>
      </c>
      <c r="M43" s="217">
        <f t="shared" si="10"/>
        <v>1340636.0899999999</v>
      </c>
      <c r="N43" s="220">
        <f t="shared" si="11"/>
        <v>448208.26</v>
      </c>
      <c r="O43" s="220">
        <f t="shared" si="12"/>
        <v>892427.83</v>
      </c>
      <c r="P43" s="222">
        <v>929317.96</v>
      </c>
      <c r="Q43" s="220">
        <f t="shared" si="13"/>
        <v>-36890.130000000005</v>
      </c>
    </row>
    <row r="44" spans="1:17" x14ac:dyDescent="0.3">
      <c r="A44" s="39">
        <v>2018</v>
      </c>
      <c r="B44" s="39" t="s">
        <v>14</v>
      </c>
      <c r="C44" s="72">
        <v>5656204</v>
      </c>
      <c r="D44" s="72">
        <v>0</v>
      </c>
      <c r="E44" s="221">
        <f t="shared" si="14"/>
        <v>8.2569948939277188E-2</v>
      </c>
      <c r="F44" s="224">
        <v>10828918.75</v>
      </c>
      <c r="G44" s="223"/>
      <c r="H44" s="221">
        <f t="shared" si="15"/>
        <v>0.34310960772190791</v>
      </c>
      <c r="I44" s="221">
        <f t="shared" si="16"/>
        <v>0.65689039227809209</v>
      </c>
      <c r="J44" s="222">
        <v>1633828.66</v>
      </c>
      <c r="K44" s="222">
        <v>18328.52</v>
      </c>
      <c r="L44" s="222">
        <v>43155.02</v>
      </c>
      <c r="M44" s="217">
        <f t="shared" si="10"/>
        <v>1572345.1199999999</v>
      </c>
      <c r="N44" s="220">
        <f t="shared" si="11"/>
        <v>539486.71999999997</v>
      </c>
      <c r="O44" s="220">
        <f t="shared" si="12"/>
        <v>1032858.4</v>
      </c>
      <c r="P44" s="222">
        <v>638752.36</v>
      </c>
      <c r="Q44" s="220">
        <f t="shared" si="13"/>
        <v>394106.04000000004</v>
      </c>
    </row>
    <row r="45" spans="1:17" x14ac:dyDescent="0.3">
      <c r="A45" s="39">
        <v>2018</v>
      </c>
      <c r="B45" s="39" t="s">
        <v>15</v>
      </c>
      <c r="C45" s="72">
        <v>4963110</v>
      </c>
      <c r="D45" s="72">
        <v>0</v>
      </c>
      <c r="E45" s="221">
        <f t="shared" si="14"/>
        <v>7.2452079040999234E-2</v>
      </c>
      <c r="F45" s="224">
        <v>9668268.1799999997</v>
      </c>
      <c r="G45" s="223"/>
      <c r="H45" s="221">
        <f t="shared" si="15"/>
        <v>0.33921001418610042</v>
      </c>
      <c r="I45" s="221">
        <f t="shared" si="16"/>
        <v>0.66078998581389958</v>
      </c>
      <c r="J45" s="222">
        <v>1554585.16</v>
      </c>
      <c r="K45" s="222">
        <v>245.82</v>
      </c>
      <c r="L45" s="222">
        <v>173289.03</v>
      </c>
      <c r="M45" s="217">
        <f t="shared" si="10"/>
        <v>1381050.3099999998</v>
      </c>
      <c r="N45" s="220">
        <f t="shared" si="11"/>
        <v>468466.1</v>
      </c>
      <c r="O45" s="220">
        <f t="shared" si="12"/>
        <v>912584.21</v>
      </c>
      <c r="P45" s="222">
        <v>1107867.3500000001</v>
      </c>
      <c r="Q45" s="220">
        <f t="shared" si="13"/>
        <v>-195283.14000000013</v>
      </c>
    </row>
    <row r="46" spans="1:17" x14ac:dyDescent="0.3">
      <c r="A46" s="39">
        <v>2018</v>
      </c>
      <c r="B46" s="39" t="s">
        <v>16</v>
      </c>
      <c r="C46" s="72">
        <v>5445513</v>
      </c>
      <c r="D46" s="72">
        <v>0</v>
      </c>
      <c r="E46" s="221">
        <f t="shared" si="14"/>
        <v>7.9494256281804926E-2</v>
      </c>
      <c r="F46" s="224">
        <v>8072104.9299999997</v>
      </c>
      <c r="G46" s="223"/>
      <c r="H46" s="221">
        <f t="shared" si="15"/>
        <v>0.40284560698483951</v>
      </c>
      <c r="I46" s="221">
        <f t="shared" si="16"/>
        <v>0.59715439301516049</v>
      </c>
      <c r="J46" s="222">
        <v>1549415.21</v>
      </c>
      <c r="K46" s="222">
        <v>-1202.5</v>
      </c>
      <c r="L46" s="222">
        <v>251421.38</v>
      </c>
      <c r="M46" s="217">
        <f t="shared" si="10"/>
        <v>1299196.33</v>
      </c>
      <c r="N46" s="220">
        <f t="shared" si="11"/>
        <v>523375.53</v>
      </c>
      <c r="O46" s="220">
        <f t="shared" si="12"/>
        <v>775820.80000000005</v>
      </c>
      <c r="P46" s="222">
        <v>1039882.43</v>
      </c>
      <c r="Q46" s="220">
        <f t="shared" si="13"/>
        <v>-264061.63</v>
      </c>
    </row>
    <row r="47" spans="1:17" x14ac:dyDescent="0.3">
      <c r="A47" s="39">
        <v>2018</v>
      </c>
      <c r="B47" s="39" t="s">
        <v>17</v>
      </c>
      <c r="C47" s="72">
        <v>5197609</v>
      </c>
      <c r="D47" s="72">
        <v>0</v>
      </c>
      <c r="E47" s="221">
        <f t="shared" si="14"/>
        <v>7.5875323757121846E-2</v>
      </c>
      <c r="F47" s="224">
        <v>8144304.96</v>
      </c>
      <c r="G47" s="223"/>
      <c r="H47" s="221">
        <f t="shared" si="15"/>
        <v>0.38956996841553604</v>
      </c>
      <c r="I47" s="221">
        <f t="shared" si="16"/>
        <v>0.61043003158446385</v>
      </c>
      <c r="J47" s="222">
        <v>1616538.26</v>
      </c>
      <c r="K47" s="222">
        <v>-4328.62</v>
      </c>
      <c r="L47" s="222">
        <v>48176.36</v>
      </c>
      <c r="M47" s="217">
        <f t="shared" si="10"/>
        <v>1572690.52</v>
      </c>
      <c r="N47" s="220">
        <f t="shared" si="11"/>
        <v>612673</v>
      </c>
      <c r="O47" s="220">
        <f t="shared" si="12"/>
        <v>960017.52</v>
      </c>
      <c r="P47" s="222">
        <v>983652.89</v>
      </c>
      <c r="Q47" s="220">
        <f t="shared" si="13"/>
        <v>-23635.369999999995</v>
      </c>
    </row>
    <row r="48" spans="1:17" x14ac:dyDescent="0.3">
      <c r="A48" s="39">
        <v>2018</v>
      </c>
      <c r="B48" s="39" t="s">
        <v>18</v>
      </c>
      <c r="C48" s="72">
        <v>6277976</v>
      </c>
      <c r="D48" s="72">
        <v>0</v>
      </c>
      <c r="E48" s="221">
        <f t="shared" si="14"/>
        <v>9.1646651669919907E-2</v>
      </c>
      <c r="F48" s="224">
        <v>10498440.73</v>
      </c>
      <c r="G48" s="223"/>
      <c r="H48" s="221">
        <f t="shared" si="15"/>
        <v>0.37421435703689748</v>
      </c>
      <c r="I48" s="221">
        <f t="shared" si="16"/>
        <v>0.62578564296310257</v>
      </c>
      <c r="J48" s="222">
        <v>1314926.3</v>
      </c>
      <c r="K48" s="222">
        <v>-4109.96</v>
      </c>
      <c r="L48" s="222">
        <v>110.72</v>
      </c>
      <c r="M48" s="217">
        <f t="shared" si="10"/>
        <v>1318925.54</v>
      </c>
      <c r="N48" s="220">
        <f t="shared" si="11"/>
        <v>493560.87</v>
      </c>
      <c r="O48" s="220">
        <f t="shared" si="12"/>
        <v>825364.67</v>
      </c>
      <c r="P48" s="222">
        <v>1509155.9</v>
      </c>
      <c r="Q48" s="220">
        <f t="shared" si="13"/>
        <v>-683791.22999999986</v>
      </c>
    </row>
    <row r="49" spans="1:17" x14ac:dyDescent="0.3">
      <c r="A49" s="39">
        <v>2018</v>
      </c>
      <c r="B49" s="39" t="s">
        <v>19</v>
      </c>
      <c r="C49" s="72">
        <v>6015370</v>
      </c>
      <c r="D49" s="72">
        <v>0</v>
      </c>
      <c r="E49" s="221">
        <f t="shared" si="14"/>
        <v>8.7813097574072616E-2</v>
      </c>
      <c r="F49" s="224">
        <v>10137083.859999999</v>
      </c>
      <c r="G49" s="223"/>
      <c r="H49" s="221">
        <f t="shared" si="15"/>
        <v>0.37241214568001252</v>
      </c>
      <c r="I49" s="221">
        <f t="shared" si="16"/>
        <v>0.62758785431998754</v>
      </c>
      <c r="J49" s="222">
        <v>1218040.05</v>
      </c>
      <c r="K49" s="222">
        <v>-3263.59</v>
      </c>
      <c r="L49" s="222">
        <v>0</v>
      </c>
      <c r="M49" s="217">
        <f t="shared" si="10"/>
        <v>1221303.6400000001</v>
      </c>
      <c r="N49" s="220">
        <f t="shared" si="11"/>
        <v>454828.31</v>
      </c>
      <c r="O49" s="220">
        <f t="shared" si="12"/>
        <v>766475.33</v>
      </c>
      <c r="P49" s="222">
        <v>887579.06</v>
      </c>
      <c r="Q49" s="220">
        <f t="shared" si="13"/>
        <v>-121103.7300000001</v>
      </c>
    </row>
    <row r="50" spans="1:17" x14ac:dyDescent="0.3">
      <c r="A50" s="39">
        <v>2018</v>
      </c>
      <c r="B50" s="39" t="s">
        <v>20</v>
      </c>
      <c r="C50" s="72">
        <v>5359335</v>
      </c>
      <c r="D50" s="72">
        <v>0</v>
      </c>
      <c r="E50" s="221">
        <f t="shared" si="14"/>
        <v>7.8236219432411047E-2</v>
      </c>
      <c r="F50" s="224">
        <v>8561092.7300000004</v>
      </c>
      <c r="G50" s="223"/>
      <c r="H50" s="221">
        <f t="shared" si="15"/>
        <v>0.38499786816536274</v>
      </c>
      <c r="I50" s="221">
        <f t="shared" si="16"/>
        <v>0.61500213183463726</v>
      </c>
      <c r="J50" s="222">
        <v>1190615.49</v>
      </c>
      <c r="K50" s="222">
        <v>-3080.67</v>
      </c>
      <c r="L50" s="222">
        <v>1.67</v>
      </c>
      <c r="M50" s="217">
        <f t="shared" si="10"/>
        <v>1193694.49</v>
      </c>
      <c r="N50" s="220">
        <f t="shared" si="11"/>
        <v>459569.83</v>
      </c>
      <c r="O50" s="220">
        <f t="shared" si="12"/>
        <v>734124.66</v>
      </c>
      <c r="P50" s="222">
        <v>766975.86</v>
      </c>
      <c r="Q50" s="220">
        <f t="shared" si="13"/>
        <v>-32851.199999999953</v>
      </c>
    </row>
    <row r="51" spans="1:17" x14ac:dyDescent="0.3">
      <c r="A51" s="39">
        <v>2018</v>
      </c>
      <c r="B51" s="39" t="s">
        <v>21</v>
      </c>
      <c r="C51" s="72">
        <v>5380897</v>
      </c>
      <c r="D51" s="72">
        <v>0</v>
      </c>
      <c r="E51" s="221">
        <f t="shared" si="14"/>
        <v>7.8550984111872529E-2</v>
      </c>
      <c r="F51" s="224">
        <v>8926067.1199999992</v>
      </c>
      <c r="G51" s="223"/>
      <c r="H51" s="221">
        <f t="shared" si="15"/>
        <v>0.37610334064359141</v>
      </c>
      <c r="I51" s="221">
        <f t="shared" si="16"/>
        <v>0.62389665935640859</v>
      </c>
      <c r="J51" s="222">
        <v>1717638.32</v>
      </c>
      <c r="K51" s="222">
        <v>79440.41</v>
      </c>
      <c r="L51" s="222">
        <v>16.55</v>
      </c>
      <c r="M51" s="217">
        <f t="shared" si="10"/>
        <v>1638181.36</v>
      </c>
      <c r="N51" s="220">
        <f t="shared" si="11"/>
        <v>616125.48</v>
      </c>
      <c r="O51" s="220">
        <f t="shared" si="12"/>
        <v>1022055.88</v>
      </c>
      <c r="P51" s="222">
        <v>729806.8</v>
      </c>
      <c r="Q51" s="220">
        <f t="shared" si="13"/>
        <v>292249.07999999996</v>
      </c>
    </row>
    <row r="52" spans="1:17" x14ac:dyDescent="0.3">
      <c r="A52" s="39">
        <v>2018</v>
      </c>
      <c r="B52" s="39" t="s">
        <v>174</v>
      </c>
      <c r="C52" s="72">
        <v>5532675</v>
      </c>
      <c r="D52" s="72">
        <v>0</v>
      </c>
      <c r="E52" s="221">
        <f t="shared" si="14"/>
        <v>8.0766657682009954E-2</v>
      </c>
      <c r="F52" s="224">
        <v>9767268.9900000002</v>
      </c>
      <c r="G52" s="223"/>
      <c r="H52" s="221">
        <f t="shared" si="15"/>
        <v>0.36161406888915021</v>
      </c>
      <c r="I52" s="221">
        <f t="shared" si="16"/>
        <v>0.63838593111084974</v>
      </c>
      <c r="J52" s="222">
        <v>1616681.37</v>
      </c>
      <c r="K52" s="222">
        <v>-47226.37</v>
      </c>
      <c r="L52" s="222">
        <v>118.51</v>
      </c>
      <c r="M52" s="217">
        <f t="shared" si="10"/>
        <v>1663789.2300000002</v>
      </c>
      <c r="N52" s="220">
        <f t="shared" si="11"/>
        <v>601649.59</v>
      </c>
      <c r="O52" s="220">
        <f t="shared" si="12"/>
        <v>1062139.6399999999</v>
      </c>
      <c r="P52" s="222">
        <v>1082209.81</v>
      </c>
      <c r="Q52" s="220">
        <f t="shared" si="13"/>
        <v>-20070.170000000158</v>
      </c>
    </row>
    <row r="53" spans="1:17" x14ac:dyDescent="0.3">
      <c r="A53" s="39">
        <v>2018</v>
      </c>
      <c r="B53" s="39" t="s">
        <v>23</v>
      </c>
      <c r="C53" s="72">
        <v>5971955</v>
      </c>
      <c r="D53" s="72">
        <v>0</v>
      </c>
      <c r="E53" s="221">
        <f t="shared" si="14"/>
        <v>8.7179320162013449E-2</v>
      </c>
      <c r="F53" s="224">
        <v>12161404.67</v>
      </c>
      <c r="G53" s="223"/>
      <c r="H53" s="221">
        <f t="shared" si="15"/>
        <v>0.32933527535330687</v>
      </c>
      <c r="I53" s="221">
        <f t="shared" si="16"/>
        <v>0.67066472464669302</v>
      </c>
      <c r="J53" s="222">
        <v>1379044.06</v>
      </c>
      <c r="K53" s="222">
        <v>2147.23</v>
      </c>
      <c r="L53" s="222">
        <v>130879.41</v>
      </c>
      <c r="M53" s="217">
        <f t="shared" si="10"/>
        <v>1246017.4200000002</v>
      </c>
      <c r="N53" s="220">
        <f t="shared" si="11"/>
        <v>410357.49</v>
      </c>
      <c r="O53" s="220">
        <f t="shared" si="12"/>
        <v>835659.93</v>
      </c>
      <c r="P53" s="222">
        <v>1012220.42</v>
      </c>
      <c r="Q53" s="220">
        <f t="shared" si="13"/>
        <v>-176560.49</v>
      </c>
    </row>
    <row r="54" spans="1:17" x14ac:dyDescent="0.3">
      <c r="A54" s="39">
        <v>2019</v>
      </c>
      <c r="B54" s="39" t="s">
        <v>12</v>
      </c>
      <c r="C54" s="72">
        <v>6623664</v>
      </c>
      <c r="D54" s="72">
        <v>0</v>
      </c>
      <c r="E54" s="221">
        <f t="shared" ref="E54:E65" si="17">C54/SUM($C$54:$C$65)</f>
        <v>0.10083787216851228</v>
      </c>
      <c r="F54" s="224">
        <v>11971527.720000001</v>
      </c>
      <c r="G54" s="223"/>
      <c r="H54" s="221">
        <f t="shared" si="15"/>
        <v>0.3562030496774034</v>
      </c>
      <c r="I54" s="221">
        <f t="shared" si="16"/>
        <v>0.64379695032259665</v>
      </c>
      <c r="J54" s="222">
        <v>1659825.74</v>
      </c>
      <c r="K54" s="222">
        <v>1996.86</v>
      </c>
      <c r="L54" s="222">
        <v>102170.22</v>
      </c>
      <c r="M54" s="217">
        <f t="shared" si="10"/>
        <v>1555658.66</v>
      </c>
      <c r="N54" s="220">
        <f t="shared" si="11"/>
        <v>554130.36</v>
      </c>
      <c r="O54" s="220">
        <f t="shared" si="12"/>
        <v>1001528.3</v>
      </c>
      <c r="P54" s="222">
        <v>931301.46</v>
      </c>
      <c r="Q54" s="220">
        <f t="shared" si="13"/>
        <v>70226.840000000084</v>
      </c>
    </row>
    <row r="55" spans="1:17" x14ac:dyDescent="0.3">
      <c r="A55" s="39">
        <v>2019</v>
      </c>
      <c r="B55" s="39" t="s">
        <v>13</v>
      </c>
      <c r="C55" s="72">
        <v>5708959</v>
      </c>
      <c r="D55" s="72">
        <v>0</v>
      </c>
      <c r="E55" s="221">
        <f t="shared" si="17"/>
        <v>8.6912512146944315E-2</v>
      </c>
      <c r="F55" s="224">
        <v>12061151.199999999</v>
      </c>
      <c r="G55" s="223"/>
      <c r="H55" s="221">
        <f t="shared" si="15"/>
        <v>0.321267506827279</v>
      </c>
      <c r="I55" s="221">
        <f t="shared" si="16"/>
        <v>0.678732493172721</v>
      </c>
      <c r="J55" s="222">
        <v>1545441.45</v>
      </c>
      <c r="K55" s="222">
        <v>1847.71</v>
      </c>
      <c r="L55" s="222">
        <v>116479.49</v>
      </c>
      <c r="M55" s="217">
        <f t="shared" si="10"/>
        <v>1427114.25</v>
      </c>
      <c r="N55" s="220">
        <f t="shared" si="11"/>
        <v>458485.44</v>
      </c>
      <c r="O55" s="220">
        <f t="shared" si="12"/>
        <v>968628.81</v>
      </c>
      <c r="P55" s="222">
        <v>436691.02</v>
      </c>
      <c r="Q55" s="220">
        <f t="shared" si="13"/>
        <v>531937.79</v>
      </c>
    </row>
    <row r="56" spans="1:17" x14ac:dyDescent="0.3">
      <c r="A56" s="39">
        <v>2019</v>
      </c>
      <c r="B56" s="39" t="s">
        <v>14</v>
      </c>
      <c r="C56" s="72">
        <v>5816667</v>
      </c>
      <c r="D56" s="72">
        <v>0</v>
      </c>
      <c r="E56" s="221">
        <f t="shared" si="17"/>
        <v>8.855224591597699E-2</v>
      </c>
      <c r="F56" s="224">
        <v>11517279.49</v>
      </c>
      <c r="G56" s="223"/>
      <c r="H56" s="221">
        <f t="shared" si="15"/>
        <v>0.33556507188686951</v>
      </c>
      <c r="I56" s="221">
        <f t="shared" si="16"/>
        <v>0.66443492811313043</v>
      </c>
      <c r="J56" s="222">
        <v>1428382.07</v>
      </c>
      <c r="K56" s="222">
        <v>966.4</v>
      </c>
      <c r="L56" s="222">
        <v>168369.49</v>
      </c>
      <c r="M56" s="217">
        <f t="shared" si="10"/>
        <v>1259046.1800000002</v>
      </c>
      <c r="N56" s="220">
        <f t="shared" si="11"/>
        <v>422491.92</v>
      </c>
      <c r="O56" s="220">
        <f t="shared" si="12"/>
        <v>836554.26</v>
      </c>
      <c r="P56" s="222">
        <v>1058429.19</v>
      </c>
      <c r="Q56" s="220">
        <f t="shared" si="13"/>
        <v>-221874.92999999993</v>
      </c>
    </row>
    <row r="57" spans="1:17" x14ac:dyDescent="0.3">
      <c r="A57" s="39">
        <v>2019</v>
      </c>
      <c r="B57" s="39" t="s">
        <v>15</v>
      </c>
      <c r="C57" s="72">
        <v>5075446</v>
      </c>
      <c r="D57" s="72">
        <v>0</v>
      </c>
      <c r="E57" s="221">
        <f t="shared" si="17"/>
        <v>7.7267985656607432E-2</v>
      </c>
      <c r="F57" s="224">
        <v>9401853.3200000003</v>
      </c>
      <c r="G57" s="223"/>
      <c r="H57" s="221">
        <f t="shared" si="15"/>
        <v>0.35057961349106098</v>
      </c>
      <c r="I57" s="221">
        <f t="shared" si="16"/>
        <v>0.64942038650893907</v>
      </c>
      <c r="J57" s="222">
        <v>1868110.8</v>
      </c>
      <c r="K57" s="222">
        <v>-450.71</v>
      </c>
      <c r="L57" s="222">
        <v>245928.37</v>
      </c>
      <c r="M57" s="217">
        <f t="shared" si="10"/>
        <v>1622633.1400000001</v>
      </c>
      <c r="N57" s="220">
        <f t="shared" si="11"/>
        <v>568862.1</v>
      </c>
      <c r="O57" s="220">
        <f t="shared" si="12"/>
        <v>1053771.04</v>
      </c>
      <c r="P57" s="222">
        <v>954105.61</v>
      </c>
      <c r="Q57" s="220">
        <f t="shared" si="13"/>
        <v>99665.430000000051</v>
      </c>
    </row>
    <row r="58" spans="1:17" x14ac:dyDescent="0.3">
      <c r="A58" s="39">
        <v>2019</v>
      </c>
      <c r="B58" s="39" t="s">
        <v>16</v>
      </c>
      <c r="C58" s="72">
        <v>5171587</v>
      </c>
      <c r="D58" s="72">
        <v>0</v>
      </c>
      <c r="E58" s="221">
        <f t="shared" si="17"/>
        <v>7.8731624794726895E-2</v>
      </c>
      <c r="F58" s="224">
        <v>7963778.7800000003</v>
      </c>
      <c r="G58" s="223"/>
      <c r="H58" s="221">
        <f t="shared" si="15"/>
        <v>0.39371473064528545</v>
      </c>
      <c r="I58" s="221">
        <f t="shared" si="16"/>
        <v>0.6062852693547145</v>
      </c>
      <c r="J58" s="222">
        <v>1843425.92</v>
      </c>
      <c r="K58" s="222">
        <v>199.96</v>
      </c>
      <c r="L58" s="222">
        <v>325306.53999999998</v>
      </c>
      <c r="M58" s="217">
        <f t="shared" si="10"/>
        <v>1517919.42</v>
      </c>
      <c r="N58" s="220">
        <f t="shared" si="11"/>
        <v>597627.24</v>
      </c>
      <c r="O58" s="220">
        <f t="shared" si="12"/>
        <v>920292.18</v>
      </c>
      <c r="P58" s="222">
        <v>1238427.1200000001</v>
      </c>
      <c r="Q58" s="220">
        <f t="shared" si="13"/>
        <v>-318134.94000000006</v>
      </c>
    </row>
    <row r="59" spans="1:17" x14ac:dyDescent="0.3">
      <c r="A59" s="39">
        <v>2019</v>
      </c>
      <c r="B59" s="39" t="s">
        <v>17</v>
      </c>
      <c r="C59" s="72">
        <v>5129102</v>
      </c>
      <c r="D59" s="72">
        <v>0</v>
      </c>
      <c r="E59" s="221">
        <f t="shared" si="17"/>
        <v>7.8084838212696281E-2</v>
      </c>
      <c r="F59" s="224">
        <v>7905667.1900000004</v>
      </c>
      <c r="G59" s="223"/>
      <c r="H59" s="221">
        <f t="shared" si="15"/>
        <v>0.39349388740499819</v>
      </c>
      <c r="I59" s="221">
        <f t="shared" si="16"/>
        <v>0.60650611259500176</v>
      </c>
      <c r="J59" s="222">
        <v>1904086.33</v>
      </c>
      <c r="K59" s="222">
        <v>-1777.02</v>
      </c>
      <c r="L59" s="222">
        <v>238971.1</v>
      </c>
      <c r="M59" s="217">
        <f t="shared" si="10"/>
        <v>1666892.25</v>
      </c>
      <c r="N59" s="220">
        <f t="shared" si="11"/>
        <v>655911.91</v>
      </c>
      <c r="O59" s="220">
        <f t="shared" si="12"/>
        <v>1010980.34</v>
      </c>
      <c r="P59" s="222">
        <v>1189538.44</v>
      </c>
      <c r="Q59" s="220">
        <f t="shared" si="13"/>
        <v>-178558.09999999998</v>
      </c>
    </row>
    <row r="60" spans="1:17" x14ac:dyDescent="0.3">
      <c r="A60" s="39">
        <v>2019</v>
      </c>
      <c r="B60" s="39" t="s">
        <v>18</v>
      </c>
      <c r="C60" s="72">
        <v>5706439</v>
      </c>
      <c r="D60" s="72">
        <v>335055.98</v>
      </c>
      <c r="E60" s="221">
        <f t="shared" si="17"/>
        <v>8.6874147966958026E-2</v>
      </c>
      <c r="F60" s="224">
        <v>10954637.99</v>
      </c>
      <c r="G60" s="223"/>
      <c r="H60" s="221">
        <f t="shared" si="15"/>
        <v>0.34250120826072722</v>
      </c>
      <c r="I60" s="221">
        <f t="shared" si="16"/>
        <v>0.65749879173927284</v>
      </c>
      <c r="J60" s="222">
        <v>1606890.87</v>
      </c>
      <c r="K60" s="222">
        <v>-3392.63</v>
      </c>
      <c r="L60" s="222">
        <v>5293.86</v>
      </c>
      <c r="M60" s="217">
        <f t="shared" si="10"/>
        <v>1604989.64</v>
      </c>
      <c r="N60" s="220">
        <f t="shared" si="11"/>
        <v>549710.89</v>
      </c>
      <c r="O60" s="220">
        <f t="shared" si="12"/>
        <v>1055278.75</v>
      </c>
      <c r="P60" s="222">
        <v>1188164.3500000001</v>
      </c>
      <c r="Q60" s="220">
        <f t="shared" si="13"/>
        <v>-132885.60000000009</v>
      </c>
    </row>
    <row r="61" spans="1:17" x14ac:dyDescent="0.3">
      <c r="A61" s="39">
        <v>2019</v>
      </c>
      <c r="B61" s="39" t="s">
        <v>19</v>
      </c>
      <c r="C61" s="72">
        <v>5453088</v>
      </c>
      <c r="D61" s="72">
        <v>297502.19</v>
      </c>
      <c r="E61" s="221">
        <f t="shared" si="17"/>
        <v>8.3017162505170605E-2</v>
      </c>
      <c r="F61" s="224">
        <v>8972861.7899999991</v>
      </c>
      <c r="G61" s="223"/>
      <c r="H61" s="221">
        <f t="shared" si="15"/>
        <v>0.37800547481317698</v>
      </c>
      <c r="I61" s="221">
        <f t="shared" si="16"/>
        <v>0.62199452518682308</v>
      </c>
      <c r="J61" s="222">
        <v>1813946.38</v>
      </c>
      <c r="K61" s="222">
        <v>-4671.25</v>
      </c>
      <c r="L61" s="222">
        <v>0</v>
      </c>
      <c r="M61" s="217">
        <f t="shared" si="10"/>
        <v>1818617.63</v>
      </c>
      <c r="N61" s="220">
        <f t="shared" si="11"/>
        <v>687447.42</v>
      </c>
      <c r="O61" s="220">
        <f t="shared" si="12"/>
        <v>1131170.21</v>
      </c>
      <c r="P61" s="222">
        <v>1045865.23</v>
      </c>
      <c r="Q61" s="220">
        <f t="shared" si="13"/>
        <v>85304.979999999981</v>
      </c>
    </row>
    <row r="62" spans="1:17" x14ac:dyDescent="0.3">
      <c r="A62" s="39">
        <v>2019</v>
      </c>
      <c r="B62" s="39" t="s">
        <v>20</v>
      </c>
      <c r="C62" s="72">
        <v>4923235</v>
      </c>
      <c r="D62" s="72">
        <v>277439.27</v>
      </c>
      <c r="E62" s="221">
        <f t="shared" si="17"/>
        <v>7.4950743513793203E-2</v>
      </c>
      <c r="F62" s="224">
        <v>7580562.1399999997</v>
      </c>
      <c r="G62" s="223"/>
      <c r="H62" s="221">
        <f t="shared" si="15"/>
        <v>0.3937391933727421</v>
      </c>
      <c r="I62" s="221">
        <f t="shared" si="16"/>
        <v>0.60626080662725779</v>
      </c>
      <c r="J62" s="222">
        <v>1541816.87</v>
      </c>
      <c r="K62" s="222">
        <v>-3016.61</v>
      </c>
      <c r="L62" s="222">
        <v>589.17999999999995</v>
      </c>
      <c r="M62" s="217">
        <f t="shared" si="10"/>
        <v>1544244.3000000003</v>
      </c>
      <c r="N62" s="220">
        <f t="shared" si="11"/>
        <v>608029.51</v>
      </c>
      <c r="O62" s="220">
        <f t="shared" si="12"/>
        <v>936214.79</v>
      </c>
      <c r="P62" s="222">
        <v>1150145</v>
      </c>
      <c r="Q62" s="220">
        <f t="shared" si="13"/>
        <v>-213930.20999999996</v>
      </c>
    </row>
    <row r="63" spans="1:17" x14ac:dyDescent="0.3">
      <c r="A63" s="39">
        <v>2019</v>
      </c>
      <c r="B63" s="39" t="s">
        <v>21</v>
      </c>
      <c r="C63" s="72">
        <v>4977928</v>
      </c>
      <c r="D63" s="72">
        <v>279559.40000000002</v>
      </c>
      <c r="E63" s="221">
        <f t="shared" si="17"/>
        <v>7.5783383234424032E-2</v>
      </c>
      <c r="F63" s="224">
        <v>8562997.9600000009</v>
      </c>
      <c r="G63" s="223"/>
      <c r="H63" s="221">
        <f t="shared" si="15"/>
        <v>0.36762094517796179</v>
      </c>
      <c r="I63" s="221">
        <f t="shared" si="16"/>
        <v>0.63237905482203816</v>
      </c>
      <c r="J63" s="222">
        <v>1854886.52</v>
      </c>
      <c r="K63" s="222">
        <v>-1039.92</v>
      </c>
      <c r="L63" s="222">
        <v>2667.33</v>
      </c>
      <c r="M63" s="217">
        <f t="shared" si="10"/>
        <v>1853259.1099999999</v>
      </c>
      <c r="N63" s="220">
        <f t="shared" si="11"/>
        <v>681296.87</v>
      </c>
      <c r="O63" s="220">
        <f t="shared" si="12"/>
        <v>1171962.24</v>
      </c>
      <c r="P63" s="222">
        <v>939764.86</v>
      </c>
      <c r="Q63" s="220">
        <f t="shared" si="13"/>
        <v>232197.38</v>
      </c>
    </row>
    <row r="64" spans="1:17" x14ac:dyDescent="0.3">
      <c r="A64" s="39">
        <v>2019</v>
      </c>
      <c r="B64" s="39" t="s">
        <v>174</v>
      </c>
      <c r="C64" s="72">
        <v>5367227</v>
      </c>
      <c r="D64" s="72">
        <v>263202.33</v>
      </c>
      <c r="E64" s="221">
        <f t="shared" si="17"/>
        <v>8.171002486318564E-2</v>
      </c>
      <c r="F64" s="224">
        <v>10970293.08</v>
      </c>
      <c r="G64" s="223"/>
      <c r="H64" s="221">
        <f t="shared" si="15"/>
        <v>0.32852152430223669</v>
      </c>
      <c r="I64" s="221">
        <f t="shared" si="16"/>
        <v>0.67147847569776331</v>
      </c>
      <c r="J64" s="222">
        <v>1634343.29</v>
      </c>
      <c r="K64" s="222">
        <v>1686.01</v>
      </c>
      <c r="L64" s="222">
        <v>107324.56</v>
      </c>
      <c r="M64" s="217">
        <f t="shared" si="10"/>
        <v>1525332.72</v>
      </c>
      <c r="N64" s="220">
        <f t="shared" si="11"/>
        <v>501104.63</v>
      </c>
      <c r="O64" s="220">
        <f t="shared" si="12"/>
        <v>1024228.09</v>
      </c>
      <c r="P64" s="222">
        <v>1200624.81</v>
      </c>
      <c r="Q64" s="220">
        <f t="shared" si="13"/>
        <v>-176396.72000000009</v>
      </c>
    </row>
    <row r="65" spans="1:17" x14ac:dyDescent="0.3">
      <c r="A65" s="39">
        <v>2019</v>
      </c>
      <c r="B65" s="39" t="s">
        <v>23</v>
      </c>
      <c r="C65" s="72">
        <v>5732931</v>
      </c>
      <c r="D65" s="72">
        <v>233260.87</v>
      </c>
      <c r="E65" s="221">
        <f t="shared" si="17"/>
        <v>8.7277459021004283E-2</v>
      </c>
      <c r="F65" s="224">
        <v>12477172.34</v>
      </c>
      <c r="G65" s="223"/>
      <c r="H65" s="221">
        <f t="shared" si="15"/>
        <v>0.31482144241362664</v>
      </c>
      <c r="I65" s="221">
        <f t="shared" si="16"/>
        <v>0.68517855758637336</v>
      </c>
      <c r="J65" s="222">
        <v>1631671.61</v>
      </c>
      <c r="K65" s="222">
        <v>-81652.740000000005</v>
      </c>
      <c r="L65" s="222">
        <v>134651.75</v>
      </c>
      <c r="M65" s="217">
        <f t="shared" si="10"/>
        <v>1578672.6</v>
      </c>
      <c r="N65" s="220">
        <f t="shared" si="11"/>
        <v>496999.99</v>
      </c>
      <c r="O65" s="220">
        <f t="shared" si="12"/>
        <v>1081672.6100000001</v>
      </c>
      <c r="P65" s="222">
        <v>1080608.28</v>
      </c>
      <c r="Q65" s="220">
        <f t="shared" si="13"/>
        <v>1064.3300000000745</v>
      </c>
    </row>
    <row r="66" spans="1:17" x14ac:dyDescent="0.3">
      <c r="A66" s="39">
        <v>2020</v>
      </c>
      <c r="B66" s="39" t="s">
        <v>12</v>
      </c>
      <c r="C66" s="72">
        <f>712710+5107551</f>
        <v>5820261</v>
      </c>
      <c r="D66" s="72">
        <v>279959.03000000003</v>
      </c>
      <c r="E66" s="221">
        <f t="shared" ref="E66:E77" si="18">C66/SUM($C$66:$C$77)</f>
        <v>9.7095292687640999E-2</v>
      </c>
      <c r="F66" s="72">
        <f>18532700-C66-D66</f>
        <v>12432479.970000001</v>
      </c>
      <c r="G66" s="34"/>
      <c r="H66" s="221">
        <f t="shared" si="15"/>
        <v>0.3188705197518617</v>
      </c>
      <c r="I66" s="221">
        <f t="shared" si="16"/>
        <v>0.68112948024813835</v>
      </c>
      <c r="J66" s="222">
        <v>1901321.32</v>
      </c>
      <c r="K66" s="222">
        <v>-13212.59</v>
      </c>
      <c r="L66" s="222">
        <v>144135.89000000001</v>
      </c>
      <c r="M66" s="217">
        <f t="shared" si="10"/>
        <v>1770398.02</v>
      </c>
      <c r="N66" s="220">
        <f t="shared" si="11"/>
        <v>564527.74</v>
      </c>
      <c r="O66" s="220">
        <f t="shared" si="12"/>
        <v>1205870.28</v>
      </c>
      <c r="P66" s="222">
        <v>1104551.32</v>
      </c>
      <c r="Q66" s="220">
        <f t="shared" si="13"/>
        <v>101318.95999999996</v>
      </c>
    </row>
    <row r="67" spans="1:17" x14ac:dyDescent="0.3">
      <c r="A67" s="39">
        <v>2020</v>
      </c>
      <c r="B67" s="39" t="s">
        <v>13</v>
      </c>
      <c r="C67" s="72">
        <f>4698012+630461</f>
        <v>5328473</v>
      </c>
      <c r="D67" s="72">
        <v>249131.6</v>
      </c>
      <c r="E67" s="221">
        <f t="shared" si="18"/>
        <v>8.8891141739724816E-2</v>
      </c>
      <c r="F67" s="72">
        <f>17122074-C67-D67</f>
        <v>11544469.4</v>
      </c>
      <c r="G67" s="34"/>
      <c r="H67" s="221">
        <f t="shared" si="15"/>
        <v>0.31579986902580787</v>
      </c>
      <c r="I67" s="221">
        <f t="shared" si="16"/>
        <v>0.68420013097419219</v>
      </c>
      <c r="J67" s="222">
        <v>1977645.44</v>
      </c>
      <c r="K67" s="222">
        <v>3011.24</v>
      </c>
      <c r="L67" s="222">
        <v>169683.11</v>
      </c>
      <c r="M67" s="217">
        <f t="shared" si="10"/>
        <v>1804951.0899999999</v>
      </c>
      <c r="N67" s="220">
        <f t="shared" si="11"/>
        <v>570003.31999999995</v>
      </c>
      <c r="O67" s="220">
        <f t="shared" si="12"/>
        <v>1234947.77</v>
      </c>
      <c r="P67" s="222">
        <v>1335294.07</v>
      </c>
      <c r="Q67" s="220">
        <f t="shared" si="13"/>
        <v>-100346.30000000005</v>
      </c>
    </row>
    <row r="68" spans="1:17" x14ac:dyDescent="0.3">
      <c r="A68" s="39">
        <v>2020</v>
      </c>
      <c r="B68" s="39" t="s">
        <v>14</v>
      </c>
      <c r="C68" s="72">
        <f>4476008+607839</f>
        <v>5083847</v>
      </c>
      <c r="D68" s="72">
        <v>272519.13</v>
      </c>
      <c r="E68" s="221">
        <f t="shared" si="18"/>
        <v>8.4810219411841775E-2</v>
      </c>
      <c r="F68" s="72">
        <f>16257561-C68-D68</f>
        <v>10901194.869999999</v>
      </c>
      <c r="G68" s="34"/>
      <c r="H68" s="221">
        <f t="shared" si="15"/>
        <v>0.31803776564020975</v>
      </c>
      <c r="I68" s="221">
        <f t="shared" si="16"/>
        <v>0.6819622343597902</v>
      </c>
      <c r="J68" s="222">
        <v>1991133.76</v>
      </c>
      <c r="K68" s="222">
        <v>2869.47</v>
      </c>
      <c r="L68" s="222">
        <v>277151</v>
      </c>
      <c r="M68" s="217">
        <f t="shared" si="10"/>
        <v>1711113.29</v>
      </c>
      <c r="N68" s="220">
        <f t="shared" si="11"/>
        <v>544198.65</v>
      </c>
      <c r="O68" s="220">
        <f t="shared" si="12"/>
        <v>1166914.6399999999</v>
      </c>
      <c r="P68" s="222">
        <v>1363630.79</v>
      </c>
      <c r="Q68" s="220">
        <f t="shared" si="13"/>
        <v>-196716.15000000014</v>
      </c>
    </row>
    <row r="69" spans="1:17" x14ac:dyDescent="0.3">
      <c r="A69" s="39">
        <v>2020</v>
      </c>
      <c r="B69" s="39" t="s">
        <v>15</v>
      </c>
      <c r="C69" s="72">
        <f>3740622+826185</f>
        <v>4566807</v>
      </c>
      <c r="D69" s="72">
        <v>204733.08</v>
      </c>
      <c r="E69" s="221">
        <f t="shared" si="18"/>
        <v>7.618480722994514E-2</v>
      </c>
      <c r="F69" s="72">
        <f>14169163-C69-D69</f>
        <v>9397622.9199999999</v>
      </c>
      <c r="G69" s="34"/>
      <c r="H69" s="221">
        <f t="shared" si="15"/>
        <v>0.32703139520642888</v>
      </c>
      <c r="I69" s="221">
        <f t="shared" si="16"/>
        <v>0.67296860479357112</v>
      </c>
      <c r="J69" s="222">
        <v>2008888.41</v>
      </c>
      <c r="K69" s="222">
        <v>-160523.35999999999</v>
      </c>
      <c r="L69" s="222">
        <v>261686.64</v>
      </c>
      <c r="M69" s="217">
        <f t="shared" si="10"/>
        <v>1907725.13</v>
      </c>
      <c r="N69" s="220">
        <f t="shared" si="11"/>
        <v>623886.01</v>
      </c>
      <c r="O69" s="220">
        <f t="shared" si="12"/>
        <v>1283839.1200000001</v>
      </c>
      <c r="P69" s="222">
        <v>1279701.3700000001</v>
      </c>
      <c r="Q69" s="220">
        <f t="shared" si="13"/>
        <v>4137.75</v>
      </c>
    </row>
    <row r="70" spans="1:17" x14ac:dyDescent="0.3">
      <c r="A70" s="39">
        <v>2020</v>
      </c>
      <c r="B70" s="39" t="s">
        <v>16</v>
      </c>
      <c r="C70" s="72">
        <f>3961491+412373</f>
        <v>4373864</v>
      </c>
      <c r="D70" s="72">
        <v>242212.2</v>
      </c>
      <c r="E70" s="221">
        <f t="shared" si="18"/>
        <v>7.2966075792122762E-2</v>
      </c>
      <c r="F70" s="72">
        <f>13581227-C70-D70</f>
        <v>8965150.8000000007</v>
      </c>
      <c r="G70" s="34"/>
      <c r="H70" s="221">
        <f t="shared" si="15"/>
        <v>0.32790007849755137</v>
      </c>
      <c r="I70" s="221">
        <f t="shared" si="16"/>
        <v>0.67209992150244857</v>
      </c>
      <c r="J70" s="222">
        <v>2088208.04</v>
      </c>
      <c r="K70" s="222">
        <v>-1096.97</v>
      </c>
      <c r="L70" s="222">
        <v>259079.43</v>
      </c>
      <c r="M70" s="217">
        <f t="shared" ref="M70:M77" si="19">J70-K70-L70</f>
        <v>1830225.58</v>
      </c>
      <c r="N70" s="220">
        <f t="shared" ref="N70:N77" si="20">ROUND(H70*M70,2)</f>
        <v>600131.11</v>
      </c>
      <c r="O70" s="220">
        <f t="shared" ref="O70:O77" si="21">ROUND(I70*M70,2)</f>
        <v>1230094.47</v>
      </c>
      <c r="P70" s="222">
        <v>1372635.11</v>
      </c>
      <c r="Q70" s="220">
        <f t="shared" ref="Q70:Q77" si="22">O70-P70</f>
        <v>-142540.64000000013</v>
      </c>
    </row>
    <row r="71" spans="1:17" x14ac:dyDescent="0.3">
      <c r="A71" s="39">
        <v>2020</v>
      </c>
      <c r="B71" s="39" t="s">
        <v>17</v>
      </c>
      <c r="C71" s="72">
        <f>4308529+402819</f>
        <v>4711348</v>
      </c>
      <c r="D71" s="72">
        <v>286765.39</v>
      </c>
      <c r="E71" s="221">
        <f t="shared" si="18"/>
        <v>7.8596082377290655E-2</v>
      </c>
      <c r="F71" s="72">
        <f>14310807-C71-D71</f>
        <v>9312693.6099999994</v>
      </c>
      <c r="G71" s="34"/>
      <c r="H71" s="221">
        <f t="shared" si="15"/>
        <v>0.33594794788975246</v>
      </c>
      <c r="I71" s="221">
        <f t="shared" si="16"/>
        <v>0.66405205211024754</v>
      </c>
      <c r="J71" s="222">
        <v>1789562.55</v>
      </c>
      <c r="K71" s="222">
        <v>-3143.85</v>
      </c>
      <c r="L71" s="222">
        <v>27951.91</v>
      </c>
      <c r="M71" s="217">
        <f t="shared" si="19"/>
        <v>1764754.4900000002</v>
      </c>
      <c r="N71" s="220">
        <f t="shared" si="20"/>
        <v>592865.65</v>
      </c>
      <c r="O71" s="220">
        <f t="shared" si="21"/>
        <v>1171888.8400000001</v>
      </c>
      <c r="P71" s="222">
        <v>1625128.66</v>
      </c>
      <c r="Q71" s="220">
        <f t="shared" si="22"/>
        <v>-453239.81999999983</v>
      </c>
    </row>
    <row r="72" spans="1:17" x14ac:dyDescent="0.3">
      <c r="A72" s="39">
        <v>2020</v>
      </c>
      <c r="B72" s="39" t="s">
        <v>18</v>
      </c>
      <c r="C72" s="72">
        <f>5047720+310245</f>
        <v>5357965</v>
      </c>
      <c r="D72" s="72">
        <v>331042.92</v>
      </c>
      <c r="E72" s="221">
        <f t="shared" si="18"/>
        <v>8.9383135891180215E-2</v>
      </c>
      <c r="F72" s="72">
        <f>17697702-D72-C72</f>
        <v>12008694.079999998</v>
      </c>
      <c r="G72" s="34"/>
      <c r="H72" s="221">
        <f t="shared" si="15"/>
        <v>0.30852019235930095</v>
      </c>
      <c r="I72" s="221">
        <f t="shared" si="16"/>
        <v>0.69147980764069905</v>
      </c>
      <c r="J72" s="222">
        <v>1633898.85</v>
      </c>
      <c r="K72" s="222">
        <v>-102991.88</v>
      </c>
      <c r="L72" s="222">
        <v>0</v>
      </c>
      <c r="M72" s="217">
        <f t="shared" si="19"/>
        <v>1736890.73</v>
      </c>
      <c r="N72" s="220">
        <f t="shared" si="20"/>
        <v>535865.86</v>
      </c>
      <c r="O72" s="220">
        <f t="shared" si="21"/>
        <v>1201024.8700000001</v>
      </c>
      <c r="P72" s="222">
        <v>1228821.52</v>
      </c>
      <c r="Q72" s="220">
        <f t="shared" si="22"/>
        <v>-27796.649999999907</v>
      </c>
    </row>
    <row r="73" spans="1:17" x14ac:dyDescent="0.3">
      <c r="A73" s="39">
        <v>2020</v>
      </c>
      <c r="B73" s="39" t="s">
        <v>19</v>
      </c>
      <c r="C73" s="72">
        <f>4819000+433285</f>
        <v>5252285</v>
      </c>
      <c r="D73" s="72">
        <v>303465.44</v>
      </c>
      <c r="E73" s="221">
        <f t="shared" si="18"/>
        <v>8.7620151287701106E-2</v>
      </c>
      <c r="F73" s="72">
        <f>15178815-D73-C73</f>
        <v>9623064.5600000005</v>
      </c>
      <c r="G73" s="34"/>
      <c r="H73" s="221">
        <f t="shared" si="15"/>
        <v>0.35308649244273621</v>
      </c>
      <c r="I73" s="221">
        <f t="shared" si="16"/>
        <v>0.64691350755726373</v>
      </c>
      <c r="J73" s="222">
        <v>1505053.74</v>
      </c>
      <c r="K73" s="222">
        <v>-820.24</v>
      </c>
      <c r="L73" s="222">
        <v>4570.53</v>
      </c>
      <c r="M73" s="217">
        <f t="shared" si="19"/>
        <v>1501303.45</v>
      </c>
      <c r="N73" s="220">
        <f t="shared" si="20"/>
        <v>530089.97</v>
      </c>
      <c r="O73" s="220">
        <f t="shared" si="21"/>
        <v>971213.48</v>
      </c>
      <c r="P73" s="222">
        <v>933631.93</v>
      </c>
      <c r="Q73" s="220">
        <f t="shared" si="22"/>
        <v>37581.54999999993</v>
      </c>
    </row>
    <row r="74" spans="1:17" x14ac:dyDescent="0.3">
      <c r="A74" s="39">
        <v>2020</v>
      </c>
      <c r="B74" s="39" t="s">
        <v>20</v>
      </c>
      <c r="C74" s="72">
        <f>4054718+415532</f>
        <v>4470250</v>
      </c>
      <c r="D74" s="72">
        <v>249095.7</v>
      </c>
      <c r="E74" s="221">
        <f t="shared" si="18"/>
        <v>7.4574015175080152E-2</v>
      </c>
      <c r="F74" s="72">
        <f>12631572-D74-C74</f>
        <v>7912226.3000000007</v>
      </c>
      <c r="G74" s="34"/>
      <c r="H74" s="221">
        <f t="shared" si="15"/>
        <v>0.36101421813341161</v>
      </c>
      <c r="I74" s="221">
        <f t="shared" si="16"/>
        <v>0.63898578186658839</v>
      </c>
      <c r="J74" s="222">
        <v>1518251.53</v>
      </c>
      <c r="K74" s="222">
        <v>-1530.84</v>
      </c>
      <c r="L74" s="222">
        <v>18090.150000000001</v>
      </c>
      <c r="M74" s="217">
        <f t="shared" si="19"/>
        <v>1501692.2200000002</v>
      </c>
      <c r="N74" s="220">
        <f t="shared" si="20"/>
        <v>542132.24</v>
      </c>
      <c r="O74" s="220">
        <f t="shared" si="21"/>
        <v>959559.98</v>
      </c>
      <c r="P74" s="222">
        <v>1046103.86</v>
      </c>
      <c r="Q74" s="220">
        <f t="shared" si="22"/>
        <v>-86543.88</v>
      </c>
    </row>
    <row r="75" spans="1:17" x14ac:dyDescent="0.3">
      <c r="A75" s="39">
        <v>2020</v>
      </c>
      <c r="B75" s="39" t="s">
        <v>21</v>
      </c>
      <c r="C75" s="72">
        <f>4113468+495729</f>
        <v>4609197</v>
      </c>
      <c r="D75" s="72">
        <v>245012.83</v>
      </c>
      <c r="E75" s="221">
        <f t="shared" si="18"/>
        <v>7.6891969581775937E-2</v>
      </c>
      <c r="F75" s="72">
        <f>13822432-D75-C75</f>
        <v>8968222.1699999999</v>
      </c>
      <c r="G75" s="34"/>
      <c r="H75" s="221">
        <f t="shared" si="15"/>
        <v>0.33947519350247768</v>
      </c>
      <c r="I75" s="221">
        <f t="shared" si="16"/>
        <v>0.66052480649752232</v>
      </c>
      <c r="J75" s="222">
        <v>1741649.68</v>
      </c>
      <c r="K75" s="222">
        <v>-220.17</v>
      </c>
      <c r="L75" s="222">
        <v>23592.57</v>
      </c>
      <c r="M75" s="217">
        <f t="shared" si="19"/>
        <v>1718277.2799999998</v>
      </c>
      <c r="N75" s="220">
        <f t="shared" si="20"/>
        <v>583312.51</v>
      </c>
      <c r="O75" s="220">
        <f t="shared" si="21"/>
        <v>1134964.77</v>
      </c>
      <c r="P75" s="222">
        <v>824792.91</v>
      </c>
      <c r="Q75" s="220">
        <f t="shared" si="22"/>
        <v>310171.86</v>
      </c>
    </row>
    <row r="76" spans="1:17" x14ac:dyDescent="0.3">
      <c r="A76" s="39">
        <v>2020</v>
      </c>
      <c r="B76" s="39" t="s">
        <v>174</v>
      </c>
      <c r="C76" s="72">
        <f>4013186+755098</f>
        <v>4768284</v>
      </c>
      <c r="D76" s="72">
        <v>254372.86</v>
      </c>
      <c r="E76" s="221">
        <f t="shared" si="18"/>
        <v>7.9545905346477694E-2</v>
      </c>
      <c r="F76" s="72">
        <f>14799407-D76-C76</f>
        <v>9776750.1400000006</v>
      </c>
      <c r="G76" s="34"/>
      <c r="H76" s="221">
        <f t="shared" si="15"/>
        <v>0.32782900020061417</v>
      </c>
      <c r="I76" s="221">
        <f t="shared" si="16"/>
        <v>0.67217099979938588</v>
      </c>
      <c r="J76" s="222">
        <v>1713555.45</v>
      </c>
      <c r="K76" s="222">
        <v>-2339.65</v>
      </c>
      <c r="L76" s="222">
        <v>56138.38</v>
      </c>
      <c r="M76" s="217">
        <f t="shared" si="19"/>
        <v>1659756.72</v>
      </c>
      <c r="N76" s="220">
        <f t="shared" si="20"/>
        <v>544116.39</v>
      </c>
      <c r="O76" s="220">
        <f t="shared" si="21"/>
        <v>1115640.33</v>
      </c>
      <c r="P76" s="222">
        <v>1298539.79</v>
      </c>
      <c r="Q76" s="220">
        <f t="shared" si="22"/>
        <v>-182899.45999999996</v>
      </c>
    </row>
    <row r="77" spans="1:17" x14ac:dyDescent="0.3">
      <c r="A77" s="39">
        <v>2020</v>
      </c>
      <c r="B77" s="39" t="s">
        <v>23</v>
      </c>
      <c r="C77" s="72">
        <f>4940430+660791</f>
        <v>5601221</v>
      </c>
      <c r="D77" s="72">
        <v>256215.35</v>
      </c>
      <c r="E77" s="221">
        <f t="shared" si="18"/>
        <v>9.3441203479218748E-2</v>
      </c>
      <c r="F77" s="72">
        <f>18400521-D77-C77</f>
        <v>12543084.649999999</v>
      </c>
      <c r="G77" s="34"/>
      <c r="H77" s="221">
        <f t="shared" si="15"/>
        <v>0.30870406991848709</v>
      </c>
      <c r="I77" s="221">
        <f t="shared" si="16"/>
        <v>0.69129593008151291</v>
      </c>
      <c r="J77" s="222">
        <v>1895356.65</v>
      </c>
      <c r="K77" s="222">
        <v>-33.4</v>
      </c>
      <c r="L77" s="222">
        <v>203581.66</v>
      </c>
      <c r="M77" s="217">
        <f t="shared" si="19"/>
        <v>1691808.39</v>
      </c>
      <c r="N77" s="220">
        <f t="shared" si="20"/>
        <v>522268.14</v>
      </c>
      <c r="O77" s="220">
        <f t="shared" si="21"/>
        <v>1169540.25</v>
      </c>
      <c r="P77" s="222">
        <v>1210257.29</v>
      </c>
      <c r="Q77" s="219">
        <f t="shared" si="22"/>
        <v>-40717.040000000037</v>
      </c>
    </row>
    <row r="78" spans="1:17" x14ac:dyDescent="0.3">
      <c r="I78" s="221"/>
      <c r="K78" s="217"/>
      <c r="L78" s="217"/>
      <c r="M78" s="217"/>
    </row>
    <row r="79" spans="1:17" ht="15" thickBot="1" x14ac:dyDescent="0.35">
      <c r="I79" s="221"/>
      <c r="K79" s="217"/>
      <c r="L79" s="217"/>
      <c r="M79" s="217"/>
      <c r="Q79" s="218">
        <f>SUM(Q6:Q77)</f>
        <v>-1722823.3400000003</v>
      </c>
    </row>
    <row r="80" spans="1:17" ht="15" thickBot="1" x14ac:dyDescent="0.35">
      <c r="K80" s="217"/>
      <c r="L80" s="217"/>
      <c r="M80" s="217"/>
    </row>
    <row r="81" spans="11:17" ht="15" thickBot="1" x14ac:dyDescent="0.35">
      <c r="K81" s="217"/>
      <c r="L81" s="217"/>
      <c r="M81" s="217"/>
      <c r="Q81" s="10" t="s">
        <v>216</v>
      </c>
    </row>
    <row r="82" spans="11:17" x14ac:dyDescent="0.3">
      <c r="K82" s="217"/>
      <c r="L82" s="217"/>
      <c r="M82" s="217"/>
      <c r="P82" s="42">
        <v>2015</v>
      </c>
      <c r="Q82" s="220">
        <f>SUM(Q6:Q17)</f>
        <v>213662.78000000014</v>
      </c>
    </row>
    <row r="83" spans="11:17" x14ac:dyDescent="0.3">
      <c r="K83" s="217"/>
      <c r="L83" s="217"/>
      <c r="M83" s="217"/>
      <c r="P83" s="42">
        <v>2016</v>
      </c>
      <c r="Q83" s="220">
        <f>SUM(Q18:Q29)</f>
        <v>247511.66999999981</v>
      </c>
    </row>
    <row r="84" spans="11:17" x14ac:dyDescent="0.3">
      <c r="K84" s="217"/>
      <c r="L84" s="217"/>
      <c r="M84" s="217"/>
      <c r="P84" s="42">
        <v>2017</v>
      </c>
      <c r="Q84" s="220">
        <f>SUM(Q30:Q41)</f>
        <v>-24930.869999999763</v>
      </c>
    </row>
    <row r="85" spans="11:17" x14ac:dyDescent="0.3">
      <c r="K85" s="217"/>
      <c r="L85" s="217"/>
      <c r="M85" s="217"/>
      <c r="P85" s="42">
        <v>2018</v>
      </c>
      <c r="Q85" s="220">
        <f>SUM(Q42:Q53)</f>
        <v>-1160093.3500000001</v>
      </c>
    </row>
    <row r="86" spans="11:17" x14ac:dyDescent="0.3">
      <c r="K86" s="217"/>
      <c r="L86" s="217"/>
      <c r="M86" s="217"/>
      <c r="P86" s="42">
        <v>2019</v>
      </c>
      <c r="Q86" s="220">
        <f>SUM(Q54:Q65)</f>
        <v>-221383.74999999988</v>
      </c>
    </row>
    <row r="87" spans="11:17" x14ac:dyDescent="0.3">
      <c r="K87" s="217"/>
      <c r="L87" s="217"/>
      <c r="M87" s="217"/>
      <c r="P87" s="42">
        <v>2020</v>
      </c>
      <c r="Q87" s="219">
        <f>SUM(Q66:Q77)</f>
        <v>-777589.82000000018</v>
      </c>
    </row>
    <row r="88" spans="11:17" x14ac:dyDescent="0.3">
      <c r="K88" s="217"/>
      <c r="L88" s="217"/>
      <c r="M88" s="217"/>
    </row>
    <row r="89" spans="11:17" ht="15" thickBot="1" x14ac:dyDescent="0.35">
      <c r="K89" s="217"/>
      <c r="L89" s="217"/>
      <c r="M89" s="217"/>
      <c r="Q89" s="218">
        <f>SUM(Q82:Q87)</f>
        <v>-1722823.3399999999</v>
      </c>
    </row>
    <row r="90" spans="11:17" x14ac:dyDescent="0.3">
      <c r="K90" s="217"/>
      <c r="L90" s="217"/>
      <c r="M90" s="217"/>
    </row>
    <row r="91" spans="11:17" x14ac:dyDescent="0.3">
      <c r="K91" s="217"/>
      <c r="L91" s="217"/>
      <c r="M91" s="217"/>
    </row>
    <row r="92" spans="11:17" x14ac:dyDescent="0.3">
      <c r="K92" s="217"/>
      <c r="L92" s="217"/>
      <c r="M92" s="217"/>
    </row>
    <row r="93" spans="11:17" x14ac:dyDescent="0.3">
      <c r="K93" s="217"/>
      <c r="L93" s="217"/>
      <c r="M93" s="217"/>
    </row>
    <row r="94" spans="11:17" x14ac:dyDescent="0.3">
      <c r="K94" s="217"/>
      <c r="L94" s="217"/>
      <c r="M94" s="217"/>
    </row>
    <row r="95" spans="11:17" x14ac:dyDescent="0.3">
      <c r="K95" s="217"/>
      <c r="L95" s="217"/>
      <c r="M95" s="217"/>
    </row>
    <row r="96" spans="11:17" x14ac:dyDescent="0.3">
      <c r="K96" s="217"/>
      <c r="L96" s="217"/>
      <c r="M96" s="217"/>
    </row>
    <row r="97" spans="11:13" x14ac:dyDescent="0.3">
      <c r="K97" s="217"/>
      <c r="L97" s="217"/>
      <c r="M97" s="217"/>
    </row>
    <row r="98" spans="11:13" x14ac:dyDescent="0.3">
      <c r="K98" s="217"/>
      <c r="L98" s="217"/>
      <c r="M98" s="217"/>
    </row>
    <row r="99" spans="11:13" x14ac:dyDescent="0.3">
      <c r="K99" s="217"/>
      <c r="L99" s="217"/>
      <c r="M99" s="217"/>
    </row>
    <row r="100" spans="11:13" x14ac:dyDescent="0.3">
      <c r="K100" s="217"/>
      <c r="L100" s="217"/>
      <c r="M100" s="217"/>
    </row>
    <row r="101" spans="11:13" x14ac:dyDescent="0.3">
      <c r="K101" s="217"/>
      <c r="L101" s="217"/>
      <c r="M101" s="217"/>
    </row>
    <row r="102" spans="11:13" x14ac:dyDescent="0.3">
      <c r="K102" s="217"/>
      <c r="L102" s="217"/>
      <c r="M102" s="217"/>
    </row>
    <row r="103" spans="11:13" x14ac:dyDescent="0.3">
      <c r="K103" s="217"/>
      <c r="L103" s="217"/>
      <c r="M103" s="217"/>
    </row>
    <row r="104" spans="11:13" x14ac:dyDescent="0.3">
      <c r="K104" s="217"/>
      <c r="L104" s="217"/>
      <c r="M104" s="217"/>
    </row>
    <row r="105" spans="11:13" x14ac:dyDescent="0.3">
      <c r="K105" s="217"/>
      <c r="L105" s="217"/>
      <c r="M105" s="217"/>
    </row>
    <row r="106" spans="11:13" x14ac:dyDescent="0.3">
      <c r="K106" s="217"/>
      <c r="L106" s="217"/>
      <c r="M106" s="217"/>
    </row>
    <row r="107" spans="11:13" x14ac:dyDescent="0.3">
      <c r="K107" s="217"/>
      <c r="L107" s="217"/>
      <c r="M107" s="217"/>
    </row>
    <row r="108" spans="11:13" x14ac:dyDescent="0.3">
      <c r="K108" s="217"/>
      <c r="L108" s="217"/>
      <c r="M108" s="217"/>
    </row>
    <row r="109" spans="11:13" x14ac:dyDescent="0.3">
      <c r="K109" s="217"/>
      <c r="L109" s="217"/>
      <c r="M109" s="217"/>
    </row>
    <row r="110" spans="11:13" x14ac:dyDescent="0.3">
      <c r="K110" s="217"/>
      <c r="L110" s="217"/>
      <c r="M110" s="217"/>
    </row>
    <row r="111" spans="11:13" x14ac:dyDescent="0.3">
      <c r="K111" s="217"/>
      <c r="L111" s="217"/>
      <c r="M111" s="217"/>
    </row>
    <row r="112" spans="11:13" x14ac:dyDescent="0.3">
      <c r="K112" s="217"/>
      <c r="L112" s="217"/>
      <c r="M112" s="217"/>
    </row>
    <row r="113" spans="11:13" x14ac:dyDescent="0.3">
      <c r="K113" s="217"/>
      <c r="L113" s="217"/>
      <c r="M113" s="217"/>
    </row>
    <row r="114" spans="11:13" x14ac:dyDescent="0.3">
      <c r="K114" s="217"/>
      <c r="L114" s="217"/>
      <c r="M114" s="217"/>
    </row>
    <row r="115" spans="11:13" x14ac:dyDescent="0.3">
      <c r="K115" s="217"/>
      <c r="L115" s="217"/>
      <c r="M115" s="217"/>
    </row>
    <row r="116" spans="11:13" x14ac:dyDescent="0.3">
      <c r="K116" s="217"/>
      <c r="L116" s="217"/>
      <c r="M116" s="217"/>
    </row>
    <row r="117" spans="11:13" x14ac:dyDescent="0.3">
      <c r="K117" s="217"/>
      <c r="L117" s="217"/>
      <c r="M117" s="217"/>
    </row>
  </sheetData>
  <mergeCells count="6">
    <mergeCell ref="F30:F41"/>
    <mergeCell ref="F6:F17"/>
    <mergeCell ref="F18:F29"/>
    <mergeCell ref="A1:Q1"/>
    <mergeCell ref="A2:Q2"/>
    <mergeCell ref="A3:Q3"/>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99343D-8AD7-4B8E-AFD9-95CAC5ED1FF5}">
  <dimension ref="A1:M62"/>
  <sheetViews>
    <sheetView tabSelected="1" topLeftCell="A15" workbookViewId="0">
      <selection activeCell="B29" sqref="B29"/>
    </sheetView>
  </sheetViews>
  <sheetFormatPr defaultRowHeight="14.4" x14ac:dyDescent="0.3"/>
  <cols>
    <col min="1" max="1" width="2.6640625" style="229" bestFit="1" customWidth="1"/>
    <col min="2" max="2" width="90.5546875" style="229" customWidth="1"/>
    <col min="3" max="3" width="16.5546875" style="229" customWidth="1"/>
    <col min="4" max="4" width="16.33203125" style="228" customWidth="1"/>
    <col min="5" max="5" width="23.33203125" style="228" customWidth="1"/>
    <col min="6" max="7" width="18.44140625" style="228" customWidth="1"/>
    <col min="8" max="8" width="14.6640625" style="228" customWidth="1"/>
    <col min="9" max="9" width="14.33203125" style="228" customWidth="1"/>
    <col min="10" max="12" width="14.6640625" style="228" customWidth="1"/>
    <col min="13" max="13" width="15.44140625" style="228" customWidth="1"/>
    <col min="14" max="16384" width="8.88671875" style="39"/>
  </cols>
  <sheetData>
    <row r="1" spans="2:13" x14ac:dyDescent="0.3">
      <c r="D1" s="230"/>
      <c r="E1" s="230"/>
      <c r="F1" s="230"/>
      <c r="G1" s="230"/>
      <c r="H1" s="230"/>
      <c r="I1" s="230"/>
      <c r="J1" s="230"/>
      <c r="K1" s="230"/>
      <c r="L1" s="230"/>
      <c r="M1" s="230"/>
    </row>
    <row r="2" spans="2:13" x14ac:dyDescent="0.3">
      <c r="B2" s="280" t="b">
        <v>0</v>
      </c>
      <c r="D2" s="230"/>
      <c r="E2" s="230"/>
      <c r="F2" s="230"/>
      <c r="G2" s="230"/>
      <c r="H2" s="230"/>
      <c r="I2" s="230"/>
      <c r="J2" s="230"/>
      <c r="K2" s="230"/>
      <c r="L2" s="230"/>
      <c r="M2" s="230"/>
    </row>
    <row r="3" spans="2:13" x14ac:dyDescent="0.3">
      <c r="B3" s="280" t="b">
        <v>1</v>
      </c>
      <c r="D3" s="230"/>
      <c r="E3" s="230"/>
      <c r="F3" s="230"/>
      <c r="G3" s="230"/>
      <c r="H3" s="230"/>
      <c r="I3" s="230"/>
      <c r="J3" s="230"/>
      <c r="K3" s="230"/>
      <c r="L3" s="230"/>
      <c r="M3" s="230"/>
    </row>
    <row r="4" spans="2:13" x14ac:dyDescent="0.3">
      <c r="D4" s="230"/>
      <c r="E4" s="230"/>
      <c r="F4" s="230"/>
      <c r="G4" s="230"/>
      <c r="H4" s="230"/>
      <c r="I4" s="230"/>
      <c r="J4" s="230"/>
      <c r="K4" s="230"/>
      <c r="L4" s="230"/>
      <c r="M4" s="230"/>
    </row>
    <row r="5" spans="2:13" x14ac:dyDescent="0.3">
      <c r="D5" s="230"/>
      <c r="E5" s="230"/>
      <c r="F5" s="230"/>
      <c r="G5" s="230"/>
      <c r="H5" s="230"/>
      <c r="I5" s="230"/>
      <c r="J5" s="230"/>
      <c r="K5" s="230"/>
      <c r="L5" s="230"/>
      <c r="M5" s="230"/>
    </row>
    <row r="6" spans="2:13" x14ac:dyDescent="0.3">
      <c r="D6" s="230"/>
      <c r="E6" s="230"/>
      <c r="F6" s="230"/>
      <c r="G6" s="230"/>
      <c r="H6" s="230"/>
      <c r="I6" s="230"/>
      <c r="J6" s="230"/>
      <c r="K6" s="230"/>
      <c r="L6" s="230"/>
      <c r="M6" s="230"/>
    </row>
    <row r="7" spans="2:13" x14ac:dyDescent="0.3">
      <c r="D7" s="230"/>
      <c r="E7" s="230"/>
      <c r="F7" s="230"/>
      <c r="G7" s="230"/>
      <c r="H7" s="230"/>
      <c r="I7" s="230"/>
      <c r="J7" s="230"/>
      <c r="K7" s="230"/>
      <c r="L7" s="230"/>
      <c r="M7" s="230"/>
    </row>
    <row r="8" spans="2:13" x14ac:dyDescent="0.3">
      <c r="D8" s="230"/>
      <c r="E8" s="230"/>
      <c r="F8" s="230"/>
      <c r="G8" s="230"/>
      <c r="H8" s="230"/>
      <c r="I8" s="230"/>
      <c r="J8" s="230"/>
      <c r="K8" s="230"/>
      <c r="L8" s="230"/>
      <c r="M8" s="230"/>
    </row>
    <row r="9" spans="2:13" x14ac:dyDescent="0.3">
      <c r="D9" s="230"/>
      <c r="E9" s="230"/>
      <c r="F9" s="230"/>
      <c r="G9" s="230"/>
      <c r="H9" s="230"/>
      <c r="I9" s="230"/>
      <c r="J9" s="230"/>
      <c r="K9" s="230"/>
      <c r="L9" s="230"/>
      <c r="M9" s="230"/>
    </row>
    <row r="10" spans="2:13" x14ac:dyDescent="0.3">
      <c r="D10" s="230"/>
      <c r="E10" s="230"/>
      <c r="F10" s="230"/>
      <c r="G10" s="230"/>
      <c r="H10" s="230"/>
      <c r="I10" s="230"/>
      <c r="J10" s="230"/>
      <c r="K10" s="230"/>
      <c r="L10" s="230"/>
      <c r="M10" s="230"/>
    </row>
    <row r="11" spans="2:13" x14ac:dyDescent="0.3">
      <c r="D11" s="230"/>
      <c r="E11" s="230"/>
      <c r="F11" s="230"/>
      <c r="G11" s="230"/>
      <c r="H11" s="230"/>
      <c r="I11" s="230"/>
      <c r="J11" s="230"/>
      <c r="K11" s="230"/>
      <c r="L11" s="230"/>
      <c r="M11" s="230"/>
    </row>
    <row r="12" spans="2:13" x14ac:dyDescent="0.3">
      <c r="B12" s="352" t="s">
        <v>277</v>
      </c>
      <c r="C12" s="352"/>
      <c r="D12" s="230"/>
      <c r="E12" s="230"/>
      <c r="F12" s="230"/>
      <c r="G12" s="230"/>
      <c r="H12" s="230"/>
      <c r="I12" s="230"/>
      <c r="J12" s="230"/>
      <c r="K12" s="230"/>
      <c r="L12" s="230"/>
      <c r="M12" s="230"/>
    </row>
    <row r="13" spans="2:13" x14ac:dyDescent="0.3">
      <c r="B13" s="352"/>
      <c r="C13" s="352"/>
      <c r="D13" s="230"/>
      <c r="E13" s="230"/>
      <c r="F13" s="230"/>
      <c r="G13" s="230"/>
      <c r="H13" s="230"/>
      <c r="I13" s="230"/>
      <c r="J13" s="230"/>
      <c r="K13" s="230"/>
      <c r="L13" s="230"/>
      <c r="M13" s="230"/>
    </row>
    <row r="14" spans="2:13" x14ac:dyDescent="0.3">
      <c r="B14" s="352"/>
      <c r="C14" s="352"/>
      <c r="D14" s="230"/>
      <c r="E14" s="230"/>
      <c r="F14" s="230"/>
      <c r="G14" s="230"/>
      <c r="H14" s="230"/>
      <c r="I14" s="230"/>
      <c r="J14" s="230"/>
      <c r="K14" s="230"/>
      <c r="L14" s="230"/>
      <c r="M14" s="230"/>
    </row>
    <row r="15" spans="2:13" ht="15" thickBot="1" x14ac:dyDescent="0.35">
      <c r="B15" s="352"/>
      <c r="C15" s="352"/>
      <c r="D15" s="230"/>
      <c r="E15" s="230"/>
      <c r="F15" s="230"/>
      <c r="G15" s="230"/>
      <c r="H15" s="230"/>
      <c r="I15" s="230"/>
      <c r="J15" s="230"/>
      <c r="K15" s="230"/>
      <c r="L15" s="230"/>
      <c r="M15" s="230"/>
    </row>
    <row r="16" spans="2:13" ht="28.8" thickBot="1" x14ac:dyDescent="0.35">
      <c r="B16" s="279"/>
      <c r="C16" s="125"/>
      <c r="D16" s="358">
        <v>2015</v>
      </c>
      <c r="E16" s="359"/>
      <c r="F16" s="359"/>
      <c r="G16" s="359"/>
      <c r="H16" s="359"/>
      <c r="I16" s="359"/>
      <c r="J16" s="359"/>
      <c r="K16" s="359"/>
      <c r="L16" s="359"/>
      <c r="M16" s="360"/>
    </row>
    <row r="17" spans="2:13" ht="30" customHeight="1" x14ac:dyDescent="0.3">
      <c r="B17" s="353" t="s">
        <v>276</v>
      </c>
      <c r="C17" s="355" t="s">
        <v>275</v>
      </c>
      <c r="D17" s="361" t="s">
        <v>274</v>
      </c>
      <c r="E17" s="364" t="s">
        <v>273</v>
      </c>
      <c r="F17" s="367" t="s">
        <v>268</v>
      </c>
      <c r="G17" s="367" t="s">
        <v>272</v>
      </c>
      <c r="H17" s="367" t="s">
        <v>271</v>
      </c>
      <c r="I17" s="367" t="s">
        <v>270</v>
      </c>
      <c r="J17" s="367" t="s">
        <v>269</v>
      </c>
      <c r="K17" s="367" t="s">
        <v>268</v>
      </c>
      <c r="L17" s="367" t="s">
        <v>267</v>
      </c>
      <c r="M17" s="349" t="s">
        <v>266</v>
      </c>
    </row>
    <row r="18" spans="2:13" ht="30" customHeight="1" x14ac:dyDescent="0.3">
      <c r="B18" s="354"/>
      <c r="C18" s="356"/>
      <c r="D18" s="362"/>
      <c r="E18" s="365"/>
      <c r="F18" s="368"/>
      <c r="G18" s="370"/>
      <c r="H18" s="368"/>
      <c r="I18" s="370"/>
      <c r="J18" s="368"/>
      <c r="K18" s="368"/>
      <c r="L18" s="370"/>
      <c r="M18" s="350"/>
    </row>
    <row r="19" spans="2:13" ht="30" customHeight="1" thickBot="1" x14ac:dyDescent="0.35">
      <c r="B19" s="354"/>
      <c r="C19" s="356"/>
      <c r="D19" s="363"/>
      <c r="E19" s="366"/>
      <c r="F19" s="369"/>
      <c r="G19" s="371"/>
      <c r="H19" s="369"/>
      <c r="I19" s="371"/>
      <c r="J19" s="369"/>
      <c r="K19" s="369"/>
      <c r="L19" s="371"/>
      <c r="M19" s="351"/>
    </row>
    <row r="20" spans="2:13" ht="23.4" thickBot="1" x14ac:dyDescent="0.35">
      <c r="B20" s="278" t="s">
        <v>265</v>
      </c>
      <c r="C20" s="277"/>
      <c r="D20" s="276"/>
      <c r="E20" s="275"/>
      <c r="F20" s="274"/>
      <c r="G20" s="274"/>
      <c r="H20" s="274"/>
      <c r="I20" s="274"/>
      <c r="J20" s="274"/>
      <c r="K20" s="274"/>
      <c r="L20" s="274"/>
      <c r="M20" s="273"/>
    </row>
    <row r="21" spans="2:13" ht="15" thickBot="1" x14ac:dyDescent="0.35">
      <c r="B21" s="272" t="s">
        <v>264</v>
      </c>
      <c r="C21" s="260">
        <v>1550</v>
      </c>
      <c r="D21" s="263"/>
      <c r="E21" s="262"/>
      <c r="F21" s="262"/>
      <c r="G21" s="262"/>
      <c r="H21" s="253">
        <f t="shared" ref="H21:H37" si="0">D21+E21-F21+G21</f>
        <v>0</v>
      </c>
      <c r="I21" s="262"/>
      <c r="J21" s="262"/>
      <c r="K21" s="262"/>
      <c r="L21" s="262"/>
      <c r="M21" s="252">
        <f t="shared" ref="M21:M37" si="1">I21+J21-K21+L21</f>
        <v>0</v>
      </c>
    </row>
    <row r="22" spans="2:13" ht="15" thickBot="1" x14ac:dyDescent="0.35">
      <c r="B22" s="272" t="s">
        <v>263</v>
      </c>
      <c r="C22" s="260">
        <v>1551</v>
      </c>
      <c r="D22" s="263"/>
      <c r="E22" s="262"/>
      <c r="F22" s="262"/>
      <c r="G22" s="262"/>
      <c r="H22" s="253">
        <f t="shared" si="0"/>
        <v>0</v>
      </c>
      <c r="I22" s="262"/>
      <c r="J22" s="262"/>
      <c r="K22" s="262"/>
      <c r="L22" s="262"/>
      <c r="M22" s="252">
        <f t="shared" si="1"/>
        <v>0</v>
      </c>
    </row>
    <row r="23" spans="2:13" ht="17.399999999999999" thickBot="1" x14ac:dyDescent="0.35">
      <c r="B23" s="272" t="s">
        <v>262</v>
      </c>
      <c r="C23" s="260">
        <v>1580</v>
      </c>
      <c r="D23" s="263"/>
      <c r="E23" s="262"/>
      <c r="F23" s="262"/>
      <c r="G23" s="262"/>
      <c r="H23" s="253">
        <f t="shared" si="0"/>
        <v>0</v>
      </c>
      <c r="I23" s="262"/>
      <c r="J23" s="262"/>
      <c r="K23" s="262"/>
      <c r="L23" s="262"/>
      <c r="M23" s="252">
        <f t="shared" si="1"/>
        <v>0</v>
      </c>
    </row>
    <row r="24" spans="2:13" ht="17.399999999999999" thickBot="1" x14ac:dyDescent="0.35">
      <c r="B24" s="272" t="s">
        <v>261</v>
      </c>
      <c r="C24" s="260">
        <v>1580</v>
      </c>
      <c r="D24" s="263"/>
      <c r="E24" s="262"/>
      <c r="F24" s="262"/>
      <c r="G24" s="262"/>
      <c r="H24" s="253">
        <f t="shared" si="0"/>
        <v>0</v>
      </c>
      <c r="I24" s="262"/>
      <c r="J24" s="262"/>
      <c r="K24" s="262"/>
      <c r="L24" s="262"/>
      <c r="M24" s="252">
        <f t="shared" si="1"/>
        <v>0</v>
      </c>
    </row>
    <row r="25" spans="2:13" ht="17.399999999999999" thickBot="1" x14ac:dyDescent="0.35">
      <c r="B25" s="272" t="s">
        <v>260</v>
      </c>
      <c r="C25" s="260">
        <v>1580</v>
      </c>
      <c r="D25" s="263"/>
      <c r="E25" s="262"/>
      <c r="F25" s="262"/>
      <c r="G25" s="262"/>
      <c r="H25" s="253">
        <f t="shared" si="0"/>
        <v>0</v>
      </c>
      <c r="I25" s="262"/>
      <c r="J25" s="262"/>
      <c r="K25" s="262"/>
      <c r="L25" s="262"/>
      <c r="M25" s="252">
        <f t="shared" si="1"/>
        <v>0</v>
      </c>
    </row>
    <row r="26" spans="2:13" ht="15" thickBot="1" x14ac:dyDescent="0.35">
      <c r="B26" s="272" t="s">
        <v>259</v>
      </c>
      <c r="C26" s="260">
        <v>1584</v>
      </c>
      <c r="D26" s="263"/>
      <c r="E26" s="262"/>
      <c r="F26" s="262"/>
      <c r="G26" s="262"/>
      <c r="H26" s="253">
        <f t="shared" si="0"/>
        <v>0</v>
      </c>
      <c r="I26" s="262"/>
      <c r="J26" s="262"/>
      <c r="K26" s="262"/>
      <c r="L26" s="262"/>
      <c r="M26" s="252">
        <f t="shared" si="1"/>
        <v>0</v>
      </c>
    </row>
    <row r="27" spans="2:13" ht="15" thickBot="1" x14ac:dyDescent="0.35">
      <c r="B27" s="271" t="s">
        <v>258</v>
      </c>
      <c r="C27" s="260">
        <v>1586</v>
      </c>
      <c r="D27" s="263"/>
      <c r="E27" s="262"/>
      <c r="F27" s="262"/>
      <c r="G27" s="262"/>
      <c r="H27" s="253">
        <f t="shared" si="0"/>
        <v>0</v>
      </c>
      <c r="I27" s="262"/>
      <c r="J27" s="262"/>
      <c r="K27" s="262"/>
      <c r="L27" s="262"/>
      <c r="M27" s="252">
        <f t="shared" si="1"/>
        <v>0</v>
      </c>
    </row>
    <row r="28" spans="2:13" ht="17.399999999999999" thickBot="1" x14ac:dyDescent="0.35">
      <c r="B28" s="261" t="s">
        <v>257</v>
      </c>
      <c r="C28" s="260">
        <v>1588</v>
      </c>
      <c r="D28" s="270">
        <v>-463030</v>
      </c>
      <c r="E28" s="269">
        <v>-177047</v>
      </c>
      <c r="F28" s="269"/>
      <c r="G28" s="269">
        <v>213662.78</v>
      </c>
      <c r="H28" s="253">
        <f t="shared" si="0"/>
        <v>-426414.22</v>
      </c>
      <c r="I28" s="269">
        <v>-5976</v>
      </c>
      <c r="J28" s="269">
        <v>-7632</v>
      </c>
      <c r="K28" s="269"/>
      <c r="L28" s="269"/>
      <c r="M28" s="252">
        <f t="shared" si="1"/>
        <v>-13608</v>
      </c>
    </row>
    <row r="29" spans="2:13" ht="17.399999999999999" thickBot="1" x14ac:dyDescent="0.35">
      <c r="B29" s="261" t="s">
        <v>256</v>
      </c>
      <c r="C29" s="260">
        <v>1589</v>
      </c>
      <c r="D29" s="270">
        <v>674982</v>
      </c>
      <c r="E29" s="269">
        <v>172233</v>
      </c>
      <c r="F29" s="269"/>
      <c r="G29" s="269">
        <v>-213662.78</v>
      </c>
      <c r="H29" s="253">
        <f t="shared" si="0"/>
        <v>633552.22</v>
      </c>
      <c r="I29" s="269">
        <v>13773</v>
      </c>
      <c r="J29" s="269">
        <v>10103</v>
      </c>
      <c r="K29" s="269"/>
      <c r="L29" s="269"/>
      <c r="M29" s="252">
        <f t="shared" si="1"/>
        <v>23876</v>
      </c>
    </row>
    <row r="30" spans="2:13" ht="17.399999999999999" thickBot="1" x14ac:dyDescent="0.35">
      <c r="B30" s="261" t="s">
        <v>255</v>
      </c>
      <c r="C30" s="260">
        <v>1595</v>
      </c>
      <c r="D30" s="268"/>
      <c r="E30" s="267"/>
      <c r="F30" s="267"/>
      <c r="G30" s="267"/>
      <c r="H30" s="253">
        <f t="shared" si="0"/>
        <v>0</v>
      </c>
      <c r="I30" s="267"/>
      <c r="J30" s="267"/>
      <c r="K30" s="267"/>
      <c r="L30" s="267"/>
      <c r="M30" s="252">
        <f t="shared" si="1"/>
        <v>0</v>
      </c>
    </row>
    <row r="31" spans="2:13" ht="17.399999999999999" thickBot="1" x14ac:dyDescent="0.35">
      <c r="B31" s="261" t="s">
        <v>254</v>
      </c>
      <c r="C31" s="260">
        <v>1595</v>
      </c>
      <c r="D31" s="263"/>
      <c r="E31" s="262"/>
      <c r="F31" s="262"/>
      <c r="G31" s="262"/>
      <c r="H31" s="253">
        <f t="shared" si="0"/>
        <v>0</v>
      </c>
      <c r="I31" s="262"/>
      <c r="J31" s="262"/>
      <c r="K31" s="262"/>
      <c r="L31" s="262"/>
      <c r="M31" s="252">
        <f t="shared" si="1"/>
        <v>0</v>
      </c>
    </row>
    <row r="32" spans="2:13" ht="17.399999999999999" thickBot="1" x14ac:dyDescent="0.35">
      <c r="B32" s="261" t="s">
        <v>253</v>
      </c>
      <c r="C32" s="260">
        <v>1595</v>
      </c>
      <c r="D32" s="263"/>
      <c r="E32" s="262"/>
      <c r="F32" s="262"/>
      <c r="G32" s="262"/>
      <c r="H32" s="253">
        <f t="shared" si="0"/>
        <v>0</v>
      </c>
      <c r="I32" s="262"/>
      <c r="J32" s="262"/>
      <c r="K32" s="262"/>
      <c r="L32" s="262"/>
      <c r="M32" s="252">
        <f t="shared" si="1"/>
        <v>0</v>
      </c>
    </row>
    <row r="33" spans="1:13" ht="17.399999999999999" thickBot="1" x14ac:dyDescent="0.35">
      <c r="B33" s="261" t="s">
        <v>252</v>
      </c>
      <c r="C33" s="260">
        <v>1595</v>
      </c>
      <c r="D33" s="263"/>
      <c r="E33" s="262"/>
      <c r="F33" s="262"/>
      <c r="G33" s="262"/>
      <c r="H33" s="253">
        <f t="shared" si="0"/>
        <v>0</v>
      </c>
      <c r="I33" s="262"/>
      <c r="J33" s="262"/>
      <c r="K33" s="262"/>
      <c r="L33" s="262"/>
      <c r="M33" s="252">
        <f t="shared" si="1"/>
        <v>0</v>
      </c>
    </row>
    <row r="34" spans="1:13" ht="17.399999999999999" thickBot="1" x14ac:dyDescent="0.35">
      <c r="B34" s="261" t="s">
        <v>251</v>
      </c>
      <c r="C34" s="260">
        <v>1595</v>
      </c>
      <c r="D34" s="263"/>
      <c r="E34" s="262"/>
      <c r="F34" s="262"/>
      <c r="G34" s="262"/>
      <c r="H34" s="253">
        <f t="shared" si="0"/>
        <v>0</v>
      </c>
      <c r="I34" s="262"/>
      <c r="J34" s="262"/>
      <c r="K34" s="262"/>
      <c r="L34" s="262"/>
      <c r="M34" s="252">
        <f t="shared" si="1"/>
        <v>0</v>
      </c>
    </row>
    <row r="35" spans="1:13" ht="17.399999999999999" thickBot="1" x14ac:dyDescent="0.35">
      <c r="B35" s="261" t="s">
        <v>250</v>
      </c>
      <c r="C35" s="260">
        <v>1595</v>
      </c>
      <c r="D35" s="263"/>
      <c r="E35" s="262"/>
      <c r="F35" s="262"/>
      <c r="G35" s="262"/>
      <c r="H35" s="253">
        <f t="shared" si="0"/>
        <v>0</v>
      </c>
      <c r="I35" s="262"/>
      <c r="J35" s="262"/>
      <c r="K35" s="262"/>
      <c r="L35" s="262"/>
      <c r="M35" s="252">
        <f t="shared" si="1"/>
        <v>0</v>
      </c>
    </row>
    <row r="36" spans="1:13" ht="16.8" thickBot="1" x14ac:dyDescent="0.35">
      <c r="B36" s="266" t="s">
        <v>249</v>
      </c>
      <c r="C36" s="260">
        <v>1595</v>
      </c>
      <c r="D36" s="263"/>
      <c r="E36" s="262"/>
      <c r="F36" s="262"/>
      <c r="G36" s="262"/>
      <c r="H36" s="253">
        <f t="shared" si="0"/>
        <v>0</v>
      </c>
      <c r="I36" s="262"/>
      <c r="J36" s="262"/>
      <c r="K36" s="262"/>
      <c r="L36" s="262"/>
      <c r="M36" s="252">
        <f t="shared" si="1"/>
        <v>0</v>
      </c>
    </row>
    <row r="37" spans="1:13" ht="45.6" thickBot="1" x14ac:dyDescent="0.35">
      <c r="B37" s="265" t="s">
        <v>248</v>
      </c>
      <c r="C37" s="264">
        <v>1595</v>
      </c>
      <c r="D37" s="263"/>
      <c r="E37" s="262"/>
      <c r="F37" s="262"/>
      <c r="G37" s="262"/>
      <c r="H37" s="253">
        <f t="shared" si="0"/>
        <v>0</v>
      </c>
      <c r="I37" s="262"/>
      <c r="J37" s="262"/>
      <c r="K37" s="262"/>
      <c r="L37" s="262"/>
      <c r="M37" s="252">
        <f t="shared" si="1"/>
        <v>0</v>
      </c>
    </row>
    <row r="38" spans="1:13" x14ac:dyDescent="0.3">
      <c r="B38" s="261"/>
      <c r="C38" s="260"/>
      <c r="D38" s="240"/>
      <c r="E38" s="240"/>
      <c r="F38" s="240"/>
      <c r="G38" s="240"/>
      <c r="H38" s="240"/>
      <c r="I38" s="240"/>
      <c r="J38" s="240"/>
      <c r="K38" s="240"/>
      <c r="L38" s="240"/>
      <c r="M38" s="259"/>
    </row>
    <row r="39" spans="1:13" x14ac:dyDescent="0.3">
      <c r="B39" s="256" t="s">
        <v>247</v>
      </c>
      <c r="C39" s="258">
        <v>1589</v>
      </c>
      <c r="D39" s="253">
        <f t="shared" ref="D39:M39" si="2">D29</f>
        <v>674982</v>
      </c>
      <c r="E39" s="253">
        <f t="shared" si="2"/>
        <v>172233</v>
      </c>
      <c r="F39" s="253">
        <f t="shared" si="2"/>
        <v>0</v>
      </c>
      <c r="G39" s="253">
        <f t="shared" si="2"/>
        <v>-213662.78</v>
      </c>
      <c r="H39" s="253">
        <f t="shared" si="2"/>
        <v>633552.22</v>
      </c>
      <c r="I39" s="253">
        <f t="shared" si="2"/>
        <v>13773</v>
      </c>
      <c r="J39" s="253">
        <f t="shared" si="2"/>
        <v>10103</v>
      </c>
      <c r="K39" s="253">
        <f t="shared" si="2"/>
        <v>0</v>
      </c>
      <c r="L39" s="253">
        <f t="shared" si="2"/>
        <v>0</v>
      </c>
      <c r="M39" s="252">
        <f t="shared" si="2"/>
        <v>23876</v>
      </c>
    </row>
    <row r="40" spans="1:13" x14ac:dyDescent="0.3">
      <c r="A40" s="39"/>
      <c r="B40" s="255" t="s">
        <v>246</v>
      </c>
      <c r="C40" s="257"/>
      <c r="D40" s="253">
        <f t="shared" ref="D40:M40" si="3">D41-D29</f>
        <v>-463030</v>
      </c>
      <c r="E40" s="253">
        <f t="shared" si="3"/>
        <v>-177047</v>
      </c>
      <c r="F40" s="253">
        <f t="shared" si="3"/>
        <v>0</v>
      </c>
      <c r="G40" s="253">
        <f t="shared" si="3"/>
        <v>213662.78</v>
      </c>
      <c r="H40" s="253">
        <f t="shared" si="3"/>
        <v>-426414.22</v>
      </c>
      <c r="I40" s="253">
        <f t="shared" si="3"/>
        <v>-5976</v>
      </c>
      <c r="J40" s="253">
        <f t="shared" si="3"/>
        <v>-7632</v>
      </c>
      <c r="K40" s="253">
        <f t="shared" si="3"/>
        <v>0</v>
      </c>
      <c r="L40" s="253">
        <f t="shared" si="3"/>
        <v>0</v>
      </c>
      <c r="M40" s="252">
        <f t="shared" si="3"/>
        <v>-13608</v>
      </c>
    </row>
    <row r="41" spans="1:13" x14ac:dyDescent="0.3">
      <c r="A41" s="39"/>
      <c r="B41" s="255" t="s">
        <v>245</v>
      </c>
      <c r="C41" s="257"/>
      <c r="D41" s="253">
        <f t="shared" ref="D41:M41" si="4">SUM(D21:D37)</f>
        <v>211952</v>
      </c>
      <c r="E41" s="253">
        <f t="shared" si="4"/>
        <v>-4814</v>
      </c>
      <c r="F41" s="253">
        <f t="shared" si="4"/>
        <v>0</v>
      </c>
      <c r="G41" s="253">
        <f t="shared" si="4"/>
        <v>0</v>
      </c>
      <c r="H41" s="253">
        <f t="shared" si="4"/>
        <v>207138</v>
      </c>
      <c r="I41" s="253">
        <f t="shared" si="4"/>
        <v>7797</v>
      </c>
      <c r="J41" s="253">
        <f t="shared" si="4"/>
        <v>2471</v>
      </c>
      <c r="K41" s="253">
        <f t="shared" si="4"/>
        <v>0</v>
      </c>
      <c r="L41" s="253">
        <f t="shared" si="4"/>
        <v>0</v>
      </c>
      <c r="M41" s="252">
        <f t="shared" si="4"/>
        <v>10268</v>
      </c>
    </row>
    <row r="42" spans="1:13" x14ac:dyDescent="0.3">
      <c r="A42" s="39"/>
      <c r="B42" s="255"/>
      <c r="C42" s="257"/>
      <c r="D42" s="253"/>
      <c r="E42" s="253"/>
      <c r="F42" s="253"/>
      <c r="G42" s="253"/>
      <c r="H42" s="253"/>
      <c r="I42" s="253"/>
      <c r="J42" s="253"/>
      <c r="K42" s="253"/>
      <c r="L42" s="253"/>
      <c r="M42" s="252"/>
    </row>
    <row r="43" spans="1:13" x14ac:dyDescent="0.3">
      <c r="A43" s="83"/>
      <c r="B43" s="256" t="s">
        <v>244</v>
      </c>
      <c r="C43" s="254"/>
      <c r="D43" s="253">
        <f t="shared" ref="D43:M43" si="5">D29</f>
        <v>674982</v>
      </c>
      <c r="E43" s="253">
        <f t="shared" si="5"/>
        <v>172233</v>
      </c>
      <c r="F43" s="253">
        <f t="shared" si="5"/>
        <v>0</v>
      </c>
      <c r="G43" s="253">
        <f t="shared" si="5"/>
        <v>-213662.78</v>
      </c>
      <c r="H43" s="253">
        <f t="shared" si="5"/>
        <v>633552.22</v>
      </c>
      <c r="I43" s="253">
        <f t="shared" si="5"/>
        <v>13773</v>
      </c>
      <c r="J43" s="253">
        <f t="shared" si="5"/>
        <v>10103</v>
      </c>
      <c r="K43" s="253">
        <f t="shared" si="5"/>
        <v>0</v>
      </c>
      <c r="L43" s="253">
        <f t="shared" si="5"/>
        <v>0</v>
      </c>
      <c r="M43" s="252">
        <f t="shared" si="5"/>
        <v>23876</v>
      </c>
    </row>
    <row r="44" spans="1:13" x14ac:dyDescent="0.3">
      <c r="A44" s="83"/>
      <c r="B44" s="255" t="s">
        <v>243</v>
      </c>
      <c r="C44" s="254"/>
      <c r="D44" s="253">
        <f t="shared" ref="D44:M44" si="6">SUM(D21:D37)-D29</f>
        <v>-463030</v>
      </c>
      <c r="E44" s="253">
        <f t="shared" si="6"/>
        <v>-177047</v>
      </c>
      <c r="F44" s="253">
        <f t="shared" si="6"/>
        <v>0</v>
      </c>
      <c r="G44" s="253">
        <f t="shared" si="6"/>
        <v>213662.78</v>
      </c>
      <c r="H44" s="253">
        <f t="shared" si="6"/>
        <v>-426414.22</v>
      </c>
      <c r="I44" s="253">
        <f t="shared" si="6"/>
        <v>-5976</v>
      </c>
      <c r="J44" s="253">
        <f t="shared" si="6"/>
        <v>-7632</v>
      </c>
      <c r="K44" s="253">
        <f t="shared" si="6"/>
        <v>0</v>
      </c>
      <c r="L44" s="253">
        <f t="shared" si="6"/>
        <v>0</v>
      </c>
      <c r="M44" s="252">
        <f t="shared" si="6"/>
        <v>-13608</v>
      </c>
    </row>
    <row r="45" spans="1:13" x14ac:dyDescent="0.3">
      <c r="A45" s="83"/>
      <c r="B45" s="255" t="s">
        <v>242</v>
      </c>
      <c r="C45" s="254"/>
      <c r="D45" s="253">
        <f t="shared" ref="D45:M45" si="7">SUM(D43:D44)</f>
        <v>211952</v>
      </c>
      <c r="E45" s="253">
        <f t="shared" si="7"/>
        <v>-4814</v>
      </c>
      <c r="F45" s="253">
        <f t="shared" si="7"/>
        <v>0</v>
      </c>
      <c r="G45" s="253">
        <f t="shared" si="7"/>
        <v>0</v>
      </c>
      <c r="H45" s="253">
        <f t="shared" si="7"/>
        <v>207138</v>
      </c>
      <c r="I45" s="253">
        <f t="shared" si="7"/>
        <v>7797</v>
      </c>
      <c r="J45" s="253">
        <f t="shared" si="7"/>
        <v>2471</v>
      </c>
      <c r="K45" s="253">
        <f t="shared" si="7"/>
        <v>0</v>
      </c>
      <c r="L45" s="253">
        <f t="shared" si="7"/>
        <v>0</v>
      </c>
      <c r="M45" s="252">
        <f t="shared" si="7"/>
        <v>10268</v>
      </c>
    </row>
    <row r="46" spans="1:13" x14ac:dyDescent="0.3">
      <c r="A46" s="39"/>
      <c r="B46" s="249" t="s">
        <v>241</v>
      </c>
      <c r="C46" s="248">
        <v>1568</v>
      </c>
      <c r="D46" s="251"/>
      <c r="E46" s="251"/>
      <c r="F46" s="251"/>
      <c r="G46" s="251"/>
      <c r="H46" s="251"/>
      <c r="I46" s="251"/>
      <c r="J46" s="251"/>
      <c r="K46" s="251"/>
      <c r="L46" s="251"/>
      <c r="M46" s="250"/>
    </row>
    <row r="47" spans="1:13" x14ac:dyDescent="0.3">
      <c r="A47" s="39"/>
      <c r="B47" s="249"/>
      <c r="C47" s="248"/>
      <c r="D47" s="247"/>
      <c r="E47" s="247"/>
      <c r="F47" s="247"/>
      <c r="G47" s="247"/>
      <c r="H47" s="247"/>
      <c r="I47" s="247"/>
      <c r="J47" s="247"/>
      <c r="K47" s="247"/>
      <c r="L47" s="247"/>
      <c r="M47" s="246"/>
    </row>
    <row r="48" spans="1:13" ht="15" thickBot="1" x14ac:dyDescent="0.35">
      <c r="A48" s="245"/>
      <c r="B48" s="244" t="s">
        <v>240</v>
      </c>
      <c r="C48" s="243"/>
      <c r="D48" s="242">
        <f t="shared" ref="D48:M48" si="8">SUM(D41,D46)</f>
        <v>211952</v>
      </c>
      <c r="E48" s="242">
        <f t="shared" si="8"/>
        <v>-4814</v>
      </c>
      <c r="F48" s="242">
        <f t="shared" si="8"/>
        <v>0</v>
      </c>
      <c r="G48" s="242">
        <f t="shared" si="8"/>
        <v>0</v>
      </c>
      <c r="H48" s="242">
        <f t="shared" si="8"/>
        <v>207138</v>
      </c>
      <c r="I48" s="242">
        <f t="shared" si="8"/>
        <v>7797</v>
      </c>
      <c r="J48" s="242">
        <f t="shared" si="8"/>
        <v>2471</v>
      </c>
      <c r="K48" s="242">
        <f t="shared" si="8"/>
        <v>0</v>
      </c>
      <c r="L48" s="242">
        <f t="shared" si="8"/>
        <v>0</v>
      </c>
      <c r="M48" s="241">
        <f t="shared" si="8"/>
        <v>10268</v>
      </c>
    </row>
    <row r="49" spans="1:13" x14ac:dyDescent="0.3">
      <c r="A49" s="39"/>
      <c r="B49" s="120"/>
      <c r="C49" s="115"/>
      <c r="D49" s="240"/>
      <c r="E49" s="240"/>
      <c r="F49" s="240"/>
      <c r="G49" s="240"/>
      <c r="H49" s="240"/>
      <c r="I49" s="240"/>
      <c r="J49" s="240"/>
      <c r="K49" s="240"/>
      <c r="L49" s="240"/>
      <c r="M49" s="240"/>
    </row>
    <row r="50" spans="1:13" x14ac:dyDescent="0.3">
      <c r="A50" s="39"/>
      <c r="B50" s="39"/>
      <c r="C50" s="39"/>
      <c r="D50" s="230"/>
      <c r="E50" s="230"/>
      <c r="F50" s="230"/>
      <c r="G50" s="230"/>
      <c r="H50" s="230"/>
      <c r="I50" s="230"/>
      <c r="J50" s="230"/>
      <c r="K50" s="230"/>
      <c r="L50" s="230"/>
      <c r="M50" s="230"/>
    </row>
    <row r="51" spans="1:13" x14ac:dyDescent="0.3">
      <c r="A51" s="239"/>
      <c r="B51" s="357" t="s">
        <v>239</v>
      </c>
      <c r="C51" s="357"/>
      <c r="D51" s="230"/>
      <c r="E51" s="230"/>
      <c r="F51" s="230"/>
      <c r="G51" s="230"/>
      <c r="H51" s="230"/>
      <c r="I51" s="230"/>
      <c r="J51" s="230"/>
      <c r="K51" s="230"/>
      <c r="L51" s="230"/>
      <c r="M51" s="230"/>
    </row>
    <row r="52" spans="1:13" ht="16.8" x14ac:dyDescent="0.3">
      <c r="A52" s="238"/>
      <c r="B52" s="357"/>
      <c r="C52" s="357"/>
      <c r="D52" s="234"/>
      <c r="E52" s="234"/>
      <c r="F52" s="234"/>
      <c r="G52" s="234"/>
      <c r="H52" s="234"/>
      <c r="I52" s="230"/>
      <c r="J52" s="230"/>
      <c r="K52" s="230"/>
      <c r="L52" s="230"/>
      <c r="M52" s="230"/>
    </row>
    <row r="53" spans="1:13" ht="16.8" x14ac:dyDescent="0.3">
      <c r="A53" s="237"/>
      <c r="B53" s="236"/>
      <c r="D53" s="234"/>
      <c r="E53" s="234"/>
      <c r="F53" s="234"/>
      <c r="G53" s="234"/>
      <c r="H53" s="234"/>
      <c r="I53" s="230"/>
      <c r="J53" s="230"/>
      <c r="K53" s="230"/>
      <c r="L53" s="230"/>
      <c r="M53" s="230"/>
    </row>
    <row r="54" spans="1:13" ht="22.8" x14ac:dyDescent="0.3">
      <c r="A54" s="232">
        <v>1</v>
      </c>
      <c r="B54" s="231" t="s">
        <v>238</v>
      </c>
      <c r="D54" s="235"/>
      <c r="E54" s="235"/>
      <c r="F54" s="235"/>
      <c r="G54" s="235"/>
      <c r="H54" s="235"/>
      <c r="I54" s="230"/>
      <c r="J54" s="230"/>
      <c r="K54" s="230"/>
      <c r="L54" s="230"/>
      <c r="M54" s="230"/>
    </row>
    <row r="55" spans="1:13" ht="68.400000000000006" x14ac:dyDescent="0.3">
      <c r="A55" s="232">
        <v>2</v>
      </c>
      <c r="B55" s="231" t="s">
        <v>237</v>
      </c>
      <c r="C55" s="233"/>
      <c r="D55" s="234"/>
      <c r="E55" s="234"/>
      <c r="F55" s="234"/>
      <c r="G55" s="234"/>
      <c r="H55" s="234"/>
      <c r="I55" s="230"/>
      <c r="J55" s="230"/>
      <c r="K55" s="230"/>
      <c r="L55" s="230"/>
      <c r="M55" s="230"/>
    </row>
    <row r="56" spans="1:13" ht="102.6" x14ac:dyDescent="0.3">
      <c r="A56" s="232">
        <v>3</v>
      </c>
      <c r="B56" s="231" t="s">
        <v>236</v>
      </c>
      <c r="C56" s="233"/>
      <c r="D56" s="230"/>
      <c r="E56" s="230"/>
      <c r="F56" s="230"/>
      <c r="G56" s="230"/>
      <c r="H56" s="230"/>
      <c r="I56" s="230"/>
      <c r="J56" s="230"/>
      <c r="K56" s="230"/>
      <c r="L56" s="230"/>
      <c r="M56" s="230"/>
    </row>
    <row r="57" spans="1:13" ht="68.400000000000006" x14ac:dyDescent="0.3">
      <c r="A57" s="232">
        <v>4</v>
      </c>
      <c r="B57" s="231" t="s">
        <v>235</v>
      </c>
      <c r="D57" s="230"/>
      <c r="E57" s="230"/>
      <c r="F57" s="230"/>
      <c r="G57" s="230"/>
      <c r="H57" s="230"/>
      <c r="I57" s="230"/>
      <c r="J57" s="230"/>
      <c r="K57" s="230"/>
      <c r="L57" s="230"/>
      <c r="M57" s="230"/>
    </row>
    <row r="58" spans="1:13" ht="22.8" x14ac:dyDescent="0.3">
      <c r="A58" s="232">
        <v>5</v>
      </c>
      <c r="B58" s="231" t="s">
        <v>234</v>
      </c>
      <c r="D58" s="230"/>
      <c r="E58" s="230"/>
      <c r="F58" s="230"/>
      <c r="G58" s="230"/>
      <c r="H58" s="230"/>
      <c r="I58" s="230"/>
      <c r="J58" s="230"/>
      <c r="K58" s="230"/>
      <c r="L58" s="230"/>
      <c r="M58" s="230"/>
    </row>
    <row r="59" spans="1:13" x14ac:dyDescent="0.3">
      <c r="D59" s="230"/>
      <c r="E59" s="230"/>
      <c r="F59" s="230"/>
      <c r="G59" s="230"/>
      <c r="H59" s="230"/>
      <c r="I59" s="230"/>
      <c r="J59" s="230"/>
      <c r="K59" s="230"/>
      <c r="L59" s="230"/>
      <c r="M59" s="230"/>
    </row>
    <row r="60" spans="1:13" x14ac:dyDescent="0.3">
      <c r="D60" s="230"/>
      <c r="E60" s="230"/>
      <c r="F60" s="230"/>
      <c r="G60" s="230"/>
      <c r="H60" s="230"/>
      <c r="I60" s="230"/>
      <c r="J60" s="230"/>
      <c r="K60" s="230"/>
      <c r="L60" s="230"/>
      <c r="M60" s="230"/>
    </row>
    <row r="61" spans="1:13" x14ac:dyDescent="0.3">
      <c r="D61" s="230"/>
      <c r="E61" s="230"/>
      <c r="F61" s="230"/>
      <c r="G61" s="230"/>
      <c r="H61" s="230"/>
      <c r="I61" s="230"/>
      <c r="J61" s="230"/>
      <c r="K61" s="230"/>
      <c r="L61" s="230"/>
      <c r="M61" s="230"/>
    </row>
    <row r="62" spans="1:13" x14ac:dyDescent="0.3">
      <c r="D62" s="230"/>
      <c r="E62" s="230"/>
      <c r="F62" s="230"/>
      <c r="G62" s="230"/>
      <c r="H62" s="230"/>
      <c r="I62" s="230"/>
      <c r="J62" s="230"/>
      <c r="K62" s="230"/>
      <c r="L62" s="230"/>
      <c r="M62" s="230"/>
    </row>
  </sheetData>
  <mergeCells count="15">
    <mergeCell ref="M17:M19"/>
    <mergeCell ref="B12:C15"/>
    <mergeCell ref="B17:B19"/>
    <mergeCell ref="C17:C19"/>
    <mergeCell ref="B51:C52"/>
    <mergeCell ref="D16:M16"/>
    <mergeCell ref="D17:D19"/>
    <mergeCell ref="E17:E19"/>
    <mergeCell ref="F17:F19"/>
    <mergeCell ref="G17:G19"/>
    <mergeCell ref="H17:H19"/>
    <mergeCell ref="I17:I19"/>
    <mergeCell ref="J17:J19"/>
    <mergeCell ref="K17:K19"/>
    <mergeCell ref="L17:L19"/>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F115BE-7DD9-4552-B9BF-17E5EECEBCCE}">
  <dimension ref="A12:W101"/>
  <sheetViews>
    <sheetView topLeftCell="A80" zoomScale="85" zoomScaleNormal="85" workbookViewId="0">
      <selection activeCell="B19" sqref="B19:H19"/>
    </sheetView>
  </sheetViews>
  <sheetFormatPr defaultColWidth="9" defaultRowHeight="14.4" x14ac:dyDescent="0.3"/>
  <cols>
    <col min="1" max="1" width="10.33203125" style="39" customWidth="1"/>
    <col min="2" max="2" width="53.88671875" style="39" customWidth="1"/>
    <col min="3" max="3" width="28" style="39" customWidth="1"/>
    <col min="4" max="4" width="23" style="39" customWidth="1"/>
    <col min="5" max="5" width="19" style="39" customWidth="1"/>
    <col min="6" max="6" width="24.33203125" style="39" customWidth="1"/>
    <col min="7" max="7" width="15.88671875" style="39" customWidth="1"/>
    <col min="8" max="8" width="18" style="39" customWidth="1"/>
    <col min="9" max="11" width="20.5546875" style="39" customWidth="1"/>
    <col min="12" max="12" width="10.5546875" style="39" customWidth="1"/>
    <col min="13" max="13" width="10.33203125" style="39" customWidth="1"/>
    <col min="14" max="14" width="11.88671875" style="39" customWidth="1"/>
    <col min="15" max="15" width="10.5546875" style="39" customWidth="1"/>
    <col min="16" max="16" width="10.33203125" style="39" customWidth="1"/>
    <col min="17" max="18" width="10.5546875" style="39" customWidth="1"/>
    <col min="19" max="19" width="11" style="39" customWidth="1"/>
    <col min="20" max="20" width="13" style="39" customWidth="1"/>
    <col min="21" max="21" width="10.88671875" style="39" customWidth="1"/>
    <col min="22" max="22" width="11.33203125" style="39" customWidth="1"/>
    <col min="23" max="16384" width="9" style="39"/>
  </cols>
  <sheetData>
    <row r="12" spans="1:19" s="83" customFormat="1" ht="13.8" x14ac:dyDescent="0.25">
      <c r="A12" s="115" t="s">
        <v>214</v>
      </c>
      <c r="B12" s="118" t="s">
        <v>213</v>
      </c>
      <c r="C12" s="117"/>
      <c r="D12" s="117"/>
      <c r="E12" s="117"/>
      <c r="F12" s="117"/>
      <c r="I12" s="115"/>
      <c r="J12" s="115"/>
      <c r="K12" s="115"/>
      <c r="L12" s="115"/>
      <c r="M12" s="115"/>
      <c r="N12" s="115"/>
      <c r="O12" s="115"/>
      <c r="P12" s="115"/>
      <c r="Q12" s="115"/>
      <c r="R12" s="115"/>
      <c r="S12" s="115"/>
    </row>
    <row r="13" spans="1:19" s="83" customFormat="1" ht="13.8" x14ac:dyDescent="0.25">
      <c r="A13" s="115"/>
      <c r="B13" s="301" t="s">
        <v>59</v>
      </c>
      <c r="C13" s="301"/>
      <c r="D13" s="116">
        <v>2015</v>
      </c>
      <c r="E13" s="302"/>
      <c r="F13" s="303"/>
      <c r="G13" s="115"/>
      <c r="H13" s="115"/>
      <c r="I13" s="115"/>
      <c r="J13" s="115"/>
      <c r="K13" s="115"/>
      <c r="L13" s="115"/>
      <c r="M13" s="115"/>
      <c r="N13" s="115"/>
      <c r="O13" s="115"/>
      <c r="P13" s="115"/>
      <c r="Q13" s="115"/>
    </row>
    <row r="14" spans="1:19" s="83" customFormat="1" thickBot="1" x14ac:dyDescent="0.3">
      <c r="A14" s="115"/>
      <c r="B14" s="114" t="s">
        <v>212</v>
      </c>
      <c r="C14" s="114" t="s">
        <v>211</v>
      </c>
      <c r="D14" s="202">
        <f>D15+D16</f>
        <v>184799466</v>
      </c>
      <c r="E14" s="199" t="s">
        <v>2</v>
      </c>
      <c r="F14" s="204">
        <v>1</v>
      </c>
      <c r="G14" s="115"/>
      <c r="H14" s="115"/>
      <c r="I14" s="115"/>
      <c r="J14" s="115"/>
      <c r="K14" s="115"/>
      <c r="L14" s="115"/>
      <c r="M14" s="115"/>
      <c r="N14" s="115"/>
      <c r="O14" s="115"/>
      <c r="P14" s="115"/>
      <c r="Q14" s="115"/>
    </row>
    <row r="15" spans="1:19" s="83" customFormat="1" ht="13.8" x14ac:dyDescent="0.25">
      <c r="B15" s="114" t="s">
        <v>210</v>
      </c>
      <c r="C15" s="114" t="s">
        <v>209</v>
      </c>
      <c r="D15" s="203">
        <v>116430275</v>
      </c>
      <c r="E15" s="199" t="s">
        <v>2</v>
      </c>
      <c r="F15" s="198">
        <f>IFERROR(D15/$D$14,0)</f>
        <v>0.63003577618563034</v>
      </c>
    </row>
    <row r="16" spans="1:19" s="83" customFormat="1" thickBot="1" x14ac:dyDescent="0.3">
      <c r="B16" s="114" t="s">
        <v>208</v>
      </c>
      <c r="C16" s="114" t="s">
        <v>207</v>
      </c>
      <c r="D16" s="202">
        <f>D17+D18</f>
        <v>68369191</v>
      </c>
      <c r="E16" s="199" t="s">
        <v>2</v>
      </c>
      <c r="F16" s="198">
        <f>IFERROR(D16/$D$14,0)</f>
        <v>0.36996422381436966</v>
      </c>
    </row>
    <row r="17" spans="1:8" s="83" customFormat="1" ht="13.8" x14ac:dyDescent="0.25">
      <c r="B17" s="114" t="s">
        <v>206</v>
      </c>
      <c r="C17" s="114" t="s">
        <v>205</v>
      </c>
      <c r="D17" s="201">
        <v>0</v>
      </c>
      <c r="E17" s="199" t="s">
        <v>2</v>
      </c>
      <c r="F17" s="198">
        <f>IFERROR(D17/$D$14,0)</f>
        <v>0</v>
      </c>
    </row>
    <row r="18" spans="1:8" s="83" customFormat="1" ht="13.8" x14ac:dyDescent="0.25">
      <c r="B18" s="114" t="s">
        <v>204</v>
      </c>
      <c r="C18" s="114" t="s">
        <v>203</v>
      </c>
      <c r="D18" s="200">
        <v>68369191</v>
      </c>
      <c r="E18" s="199" t="s">
        <v>2</v>
      </c>
      <c r="F18" s="198">
        <f>IFERROR(D18/$D$14,0)</f>
        <v>0.36996422381436966</v>
      </c>
    </row>
    <row r="19" spans="1:8" s="83" customFormat="1" ht="34.5" customHeight="1" x14ac:dyDescent="0.25">
      <c r="B19" s="304" t="s">
        <v>202</v>
      </c>
      <c r="C19" s="304"/>
      <c r="D19" s="304"/>
      <c r="E19" s="304"/>
      <c r="F19" s="304"/>
      <c r="G19" s="305"/>
      <c r="H19" s="305"/>
    </row>
    <row r="20" spans="1:8" s="83" customFormat="1" ht="13.8" x14ac:dyDescent="0.25">
      <c r="D20" s="197"/>
    </row>
    <row r="21" spans="1:8" s="83" customFormat="1" ht="13.8" x14ac:dyDescent="0.25">
      <c r="A21" s="83" t="s">
        <v>201</v>
      </c>
      <c r="B21" s="85" t="s">
        <v>200</v>
      </c>
    </row>
    <row r="22" spans="1:8" s="83" customFormat="1" ht="13.8" x14ac:dyDescent="0.25">
      <c r="B22" s="85"/>
    </row>
    <row r="23" spans="1:8" s="83" customFormat="1" ht="13.8" x14ac:dyDescent="0.25">
      <c r="B23" s="109" t="s">
        <v>199</v>
      </c>
      <c r="C23" s="132" t="s">
        <v>198</v>
      </c>
      <c r="E23" s="115"/>
    </row>
    <row r="24" spans="1:8" s="83" customFormat="1" ht="13.8" x14ac:dyDescent="0.25">
      <c r="E24" s="115"/>
    </row>
    <row r="25" spans="1:8" s="83" customFormat="1" x14ac:dyDescent="0.3">
      <c r="B25" s="306" t="s">
        <v>197</v>
      </c>
      <c r="C25" s="307"/>
      <c r="D25" s="307"/>
      <c r="E25" s="307"/>
      <c r="F25" s="307"/>
      <c r="G25" s="132" t="s">
        <v>124</v>
      </c>
    </row>
    <row r="26" spans="1:8" s="83" customFormat="1" ht="13.8" x14ac:dyDescent="0.25">
      <c r="E26" s="115"/>
    </row>
    <row r="27" spans="1:8" s="83" customFormat="1" x14ac:dyDescent="0.3">
      <c r="B27" s="306" t="s">
        <v>196</v>
      </c>
      <c r="C27" s="307"/>
      <c r="D27" s="307"/>
      <c r="E27" s="307"/>
      <c r="F27" s="307"/>
      <c r="G27" s="132" t="s">
        <v>124</v>
      </c>
    </row>
    <row r="28" spans="1:8" s="83" customFormat="1" ht="15" customHeight="1" x14ac:dyDescent="0.25">
      <c r="B28" s="130"/>
      <c r="C28" s="130"/>
      <c r="D28" s="130"/>
      <c r="E28" s="130"/>
      <c r="F28" s="130"/>
      <c r="G28" s="130"/>
      <c r="H28" s="130"/>
    </row>
    <row r="29" spans="1:8" s="83" customFormat="1" ht="15" hidden="1" customHeight="1" x14ac:dyDescent="0.25">
      <c r="B29" s="130"/>
      <c r="C29" s="130"/>
      <c r="D29" s="130"/>
      <c r="E29" s="130"/>
      <c r="F29" s="130"/>
      <c r="G29" s="130"/>
      <c r="H29" s="130"/>
    </row>
    <row r="30" spans="1:8" s="83" customFormat="1" ht="15" hidden="1" customHeight="1" x14ac:dyDescent="0.25">
      <c r="B30" s="130"/>
      <c r="C30" s="130"/>
      <c r="D30" s="130"/>
      <c r="E30" s="130"/>
      <c r="F30" s="130"/>
      <c r="G30" s="130"/>
      <c r="H30" s="130"/>
    </row>
    <row r="31" spans="1:8" s="83" customFormat="1" ht="15" hidden="1" customHeight="1" x14ac:dyDescent="0.25">
      <c r="B31" s="130"/>
      <c r="C31" s="130"/>
      <c r="D31" s="130"/>
      <c r="E31" s="130"/>
      <c r="F31" s="130"/>
      <c r="G31" s="130"/>
      <c r="H31" s="130"/>
    </row>
    <row r="32" spans="1:8" s="83" customFormat="1" ht="14.25" hidden="1" customHeight="1" x14ac:dyDescent="0.25">
      <c r="B32" s="130"/>
      <c r="C32" s="130"/>
      <c r="D32" s="130"/>
      <c r="E32" s="130"/>
      <c r="F32" s="130"/>
      <c r="G32" s="130"/>
      <c r="H32" s="130"/>
    </row>
    <row r="33" spans="1:23" s="83" customFormat="1" ht="14.25" hidden="1" customHeight="1" x14ac:dyDescent="0.25">
      <c r="B33" s="130"/>
      <c r="C33" s="130"/>
      <c r="D33" s="130"/>
      <c r="E33" s="130"/>
      <c r="F33" s="130"/>
      <c r="G33" s="130"/>
      <c r="H33" s="130"/>
    </row>
    <row r="34" spans="1:23" s="83" customFormat="1" ht="14.25" hidden="1" customHeight="1" x14ac:dyDescent="0.25">
      <c r="B34" s="130"/>
      <c r="C34" s="130"/>
      <c r="D34" s="130"/>
      <c r="E34" s="130"/>
      <c r="F34" s="130"/>
      <c r="G34" s="130"/>
      <c r="H34" s="130"/>
    </row>
    <row r="35" spans="1:23" s="83" customFormat="1" ht="14.25" hidden="1" customHeight="1" x14ac:dyDescent="0.25">
      <c r="B35" s="130"/>
      <c r="C35" s="130"/>
      <c r="D35" s="130"/>
      <c r="E35" s="130"/>
      <c r="F35" s="130"/>
      <c r="G35" s="130"/>
      <c r="H35" s="130"/>
    </row>
    <row r="36" spans="1:23" s="83" customFormat="1" ht="13.8" x14ac:dyDescent="0.25"/>
    <row r="37" spans="1:23" s="83" customFormat="1" ht="13.8" x14ac:dyDescent="0.25">
      <c r="A37" s="83" t="s">
        <v>195</v>
      </c>
      <c r="B37" s="110" t="s">
        <v>194</v>
      </c>
      <c r="C37" s="85"/>
    </row>
    <row r="38" spans="1:23" s="83" customFormat="1" ht="15" thickBot="1" x14ac:dyDescent="0.35">
      <c r="B38" s="109" t="s">
        <v>59</v>
      </c>
      <c r="C38" s="104">
        <v>2015</v>
      </c>
      <c r="D38" s="115"/>
      <c r="E38" s="115"/>
      <c r="F38" s="196"/>
      <c r="G38" s="109"/>
      <c r="H38" s="109"/>
      <c r="I38" s="109"/>
      <c r="J38" s="109"/>
      <c r="K38" s="109"/>
      <c r="N38" s="39"/>
      <c r="O38" s="39"/>
      <c r="P38" s="39"/>
      <c r="Q38" s="39"/>
      <c r="R38" s="39"/>
      <c r="S38" s="39"/>
      <c r="T38" s="39"/>
      <c r="U38" s="39"/>
      <c r="V38" s="39"/>
      <c r="W38" s="39"/>
    </row>
    <row r="39" spans="1:23" s="130" customFormat="1" ht="80.25" customHeight="1" thickBot="1" x14ac:dyDescent="0.35">
      <c r="B39" s="195" t="s">
        <v>193</v>
      </c>
      <c r="C39" s="194" t="s">
        <v>192</v>
      </c>
      <c r="D39" s="193" t="s">
        <v>191</v>
      </c>
      <c r="E39" s="192" t="s">
        <v>190</v>
      </c>
      <c r="F39" s="191" t="s">
        <v>189</v>
      </c>
      <c r="G39" s="190" t="s">
        <v>188</v>
      </c>
      <c r="H39" s="190" t="s">
        <v>187</v>
      </c>
      <c r="I39" s="190" t="s">
        <v>186</v>
      </c>
      <c r="J39" s="190" t="s">
        <v>185</v>
      </c>
      <c r="K39" s="189" t="s">
        <v>184</v>
      </c>
      <c r="N39" s="39"/>
      <c r="O39" s="39"/>
      <c r="P39" s="39"/>
      <c r="Q39" s="39"/>
      <c r="R39" s="39"/>
      <c r="S39" s="39"/>
      <c r="T39" s="39"/>
      <c r="U39" s="39"/>
      <c r="V39" s="39"/>
      <c r="W39" s="39"/>
    </row>
    <row r="40" spans="1:23" s="130" customFormat="1" x14ac:dyDescent="0.3">
      <c r="B40" s="188"/>
      <c r="C40" s="187" t="s">
        <v>183</v>
      </c>
      <c r="D40" s="187" t="s">
        <v>182</v>
      </c>
      <c r="E40" s="166" t="s">
        <v>181</v>
      </c>
      <c r="F40" s="166" t="s">
        <v>180</v>
      </c>
      <c r="G40" s="166" t="s">
        <v>179</v>
      </c>
      <c r="H40" s="186" t="s">
        <v>178</v>
      </c>
      <c r="I40" s="166" t="s">
        <v>177</v>
      </c>
      <c r="J40" s="186" t="s">
        <v>176</v>
      </c>
      <c r="K40" s="185" t="s">
        <v>175</v>
      </c>
      <c r="N40" s="39"/>
      <c r="O40" s="39"/>
      <c r="P40" s="39"/>
      <c r="Q40" s="39"/>
      <c r="R40" s="39"/>
      <c r="S40" s="39"/>
      <c r="T40" s="39"/>
      <c r="U40" s="39"/>
      <c r="V40" s="39"/>
      <c r="W40" s="39"/>
    </row>
    <row r="41" spans="1:23" s="83" customFormat="1" x14ac:dyDescent="0.3">
      <c r="B41" s="184" t="s">
        <v>12</v>
      </c>
      <c r="C41" s="182">
        <v>6229131</v>
      </c>
      <c r="D41" s="182">
        <v>6202050</v>
      </c>
      <c r="E41" s="181">
        <v>6972392</v>
      </c>
      <c r="F41" s="180">
        <f t="shared" ref="F41:F52" si="0">C41-D41+E41</f>
        <v>6999473</v>
      </c>
      <c r="G41" s="178">
        <f>IF($C$23="1st Estimate",'[1]GA Rates'!R4,IF($C$23="2nd Estimate",'[1]GA Rates'!S4,IF($C$23="Actual",'[1]GA Rates'!T4,0)))</f>
        <v>5.5490000000000005E-2</v>
      </c>
      <c r="H41" s="179">
        <f t="shared" ref="H41:H52" si="1">F41*G41</f>
        <v>388400.75677000004</v>
      </c>
      <c r="I41" s="178">
        <f>'[1]GA Rates'!T4</f>
        <v>5.0680000000000003E-2</v>
      </c>
      <c r="J41" s="177">
        <f t="shared" ref="J41:J52" si="2">F41*I41</f>
        <v>354733.29164000001</v>
      </c>
      <c r="K41" s="176">
        <f t="shared" ref="K41:K52" si="3">J41-H41</f>
        <v>-33667.465130000026</v>
      </c>
      <c r="N41" s="39"/>
      <c r="O41" s="39"/>
      <c r="P41" s="39"/>
      <c r="Q41" s="39"/>
      <c r="R41" s="39"/>
      <c r="S41" s="39"/>
      <c r="T41" s="39"/>
      <c r="U41" s="39"/>
      <c r="V41" s="39"/>
      <c r="W41" s="39"/>
    </row>
    <row r="42" spans="1:23" s="83" customFormat="1" x14ac:dyDescent="0.3">
      <c r="B42" s="184" t="s">
        <v>13</v>
      </c>
      <c r="C42" s="182">
        <v>6505933</v>
      </c>
      <c r="D42" s="182">
        <v>6972392</v>
      </c>
      <c r="E42" s="181">
        <v>6602442</v>
      </c>
      <c r="F42" s="180">
        <f t="shared" si="0"/>
        <v>6135983</v>
      </c>
      <c r="G42" s="178">
        <f>IF($C$23="1st Estimate",'[1]GA Rates'!R5,IF($C$23="2nd Estimate",'[1]GA Rates'!S5,IF($C$23="Actual",'[1]GA Rates'!T5,0)))</f>
        <v>6.9809999999999997E-2</v>
      </c>
      <c r="H42" s="179">
        <f t="shared" si="1"/>
        <v>428352.97323</v>
      </c>
      <c r="I42" s="178">
        <f>'[1]GA Rates'!T5</f>
        <v>3.9609999999999999E-2</v>
      </c>
      <c r="J42" s="177">
        <f t="shared" si="2"/>
        <v>243046.28662999999</v>
      </c>
      <c r="K42" s="176">
        <f t="shared" si="3"/>
        <v>-185306.68660000002</v>
      </c>
      <c r="N42" s="39"/>
      <c r="O42" s="39"/>
      <c r="P42" s="39"/>
      <c r="Q42" s="39"/>
      <c r="R42" s="39"/>
      <c r="S42" s="39"/>
      <c r="T42" s="39"/>
      <c r="U42" s="39"/>
      <c r="V42" s="39"/>
      <c r="W42" s="39"/>
    </row>
    <row r="43" spans="1:23" s="83" customFormat="1" x14ac:dyDescent="0.3">
      <c r="B43" s="184" t="s">
        <v>14</v>
      </c>
      <c r="C43" s="182">
        <v>6751967</v>
      </c>
      <c r="D43" s="182">
        <v>6602442</v>
      </c>
      <c r="E43" s="181">
        <v>6148991</v>
      </c>
      <c r="F43" s="180">
        <f t="shared" si="0"/>
        <v>6298516</v>
      </c>
      <c r="G43" s="178">
        <f>IF($C$23="1st Estimate",'[1]GA Rates'!R6,IF($C$23="2nd Estimate",'[1]GA Rates'!S6,IF($C$23="Actual",'[1]GA Rates'!T6,0)))</f>
        <v>3.6040000000000003E-2</v>
      </c>
      <c r="H43" s="179">
        <f t="shared" si="1"/>
        <v>226998.51664000002</v>
      </c>
      <c r="I43" s="178">
        <f>'[1]GA Rates'!T6</f>
        <v>6.2899999999999998E-2</v>
      </c>
      <c r="J43" s="177">
        <f t="shared" si="2"/>
        <v>396176.65639999998</v>
      </c>
      <c r="K43" s="176">
        <f t="shared" si="3"/>
        <v>169178.13975999996</v>
      </c>
      <c r="N43" s="39"/>
      <c r="O43" s="39"/>
      <c r="P43" s="39"/>
      <c r="Q43" s="39"/>
      <c r="R43" s="39"/>
      <c r="S43" s="39"/>
      <c r="T43" s="39"/>
      <c r="U43" s="39"/>
      <c r="V43" s="39"/>
      <c r="W43" s="39"/>
    </row>
    <row r="44" spans="1:23" s="83" customFormat="1" x14ac:dyDescent="0.3">
      <c r="B44" s="184" t="s">
        <v>15</v>
      </c>
      <c r="C44" s="182">
        <v>6104700</v>
      </c>
      <c r="D44" s="182">
        <v>6148991</v>
      </c>
      <c r="E44" s="181">
        <v>5457803</v>
      </c>
      <c r="F44" s="180">
        <f t="shared" si="0"/>
        <v>5413512</v>
      </c>
      <c r="G44" s="178">
        <f>IF($C$23="1st Estimate",'[1]GA Rates'!R7,IF($C$23="2nd Estimate",'[1]GA Rates'!S7,IF($C$23="Actual",'[1]GA Rates'!T7,0)))</f>
        <v>6.7049999999999998E-2</v>
      </c>
      <c r="H44" s="179">
        <f t="shared" si="1"/>
        <v>362975.97960000002</v>
      </c>
      <c r="I44" s="178">
        <f>'[1]GA Rates'!T7</f>
        <v>9.5590000000000008E-2</v>
      </c>
      <c r="J44" s="177">
        <f t="shared" si="2"/>
        <v>517477.61208000005</v>
      </c>
      <c r="K44" s="176">
        <f t="shared" si="3"/>
        <v>154501.63248000003</v>
      </c>
      <c r="N44" s="39"/>
      <c r="O44" s="39"/>
      <c r="P44" s="39"/>
      <c r="Q44" s="39"/>
      <c r="R44" s="39"/>
      <c r="S44" s="39"/>
      <c r="T44" s="39"/>
      <c r="U44" s="39"/>
      <c r="V44" s="39"/>
      <c r="W44" s="39"/>
    </row>
    <row r="45" spans="1:23" s="83" customFormat="1" x14ac:dyDescent="0.3">
      <c r="B45" s="184" t="s">
        <v>16</v>
      </c>
      <c r="C45" s="182">
        <v>5511686</v>
      </c>
      <c r="D45" s="182">
        <v>5457803</v>
      </c>
      <c r="E45" s="181">
        <v>5300703</v>
      </c>
      <c r="F45" s="180">
        <f t="shared" si="0"/>
        <v>5354586</v>
      </c>
      <c r="G45" s="178">
        <f>IF($C$23="1st Estimate",'[1]GA Rates'!R8,IF($C$23="2nd Estimate",'[1]GA Rates'!S8,IF($C$23="Actual",'[1]GA Rates'!T8,0)))</f>
        <v>9.4159999999999994E-2</v>
      </c>
      <c r="H45" s="179">
        <f t="shared" si="1"/>
        <v>504187.81775999995</v>
      </c>
      <c r="I45" s="178">
        <f>'[1]GA Rates'!T8</f>
        <v>9.6680000000000002E-2</v>
      </c>
      <c r="J45" s="177">
        <f t="shared" si="2"/>
        <v>517681.37448</v>
      </c>
      <c r="K45" s="176">
        <f t="shared" si="3"/>
        <v>13493.556720000051</v>
      </c>
      <c r="N45" s="39"/>
      <c r="O45" s="39"/>
      <c r="P45" s="39"/>
      <c r="Q45" s="39"/>
      <c r="R45" s="39"/>
      <c r="S45" s="39"/>
      <c r="T45" s="39"/>
      <c r="U45" s="39"/>
      <c r="V45" s="39"/>
      <c r="W45" s="39"/>
    </row>
    <row r="46" spans="1:23" s="83" customFormat="1" x14ac:dyDescent="0.3">
      <c r="B46" s="184" t="s">
        <v>17</v>
      </c>
      <c r="C46" s="182">
        <v>5402166</v>
      </c>
      <c r="D46" s="182">
        <v>5300703</v>
      </c>
      <c r="E46" s="181">
        <v>5663454</v>
      </c>
      <c r="F46" s="180">
        <f t="shared" si="0"/>
        <v>5764917</v>
      </c>
      <c r="G46" s="178">
        <f>IF($C$23="1st Estimate",'[1]GA Rates'!R9,IF($C$23="2nd Estimate",'[1]GA Rates'!S9,IF($C$23="Actual",'[1]GA Rates'!T9,0)))</f>
        <v>9.2280000000000001E-2</v>
      </c>
      <c r="H46" s="179">
        <f t="shared" si="1"/>
        <v>531986.54076</v>
      </c>
      <c r="I46" s="178">
        <f>'[1]GA Rates'!T9</f>
        <v>9.5400000000000013E-2</v>
      </c>
      <c r="J46" s="177">
        <f t="shared" si="2"/>
        <v>549973.08180000004</v>
      </c>
      <c r="K46" s="176">
        <f t="shared" si="3"/>
        <v>17986.54104000004</v>
      </c>
      <c r="N46" s="39"/>
      <c r="O46" s="39"/>
      <c r="P46" s="39"/>
      <c r="Q46" s="39"/>
      <c r="R46" s="39"/>
      <c r="S46" s="39"/>
      <c r="T46" s="39"/>
      <c r="U46" s="39"/>
      <c r="V46" s="39"/>
      <c r="W46" s="39"/>
    </row>
    <row r="47" spans="1:23" s="83" customFormat="1" x14ac:dyDescent="0.3">
      <c r="B47" s="184" t="s">
        <v>18</v>
      </c>
      <c r="C47" s="181">
        <v>5638118</v>
      </c>
      <c r="D47" s="182">
        <v>5663454</v>
      </c>
      <c r="E47" s="181">
        <v>5909617</v>
      </c>
      <c r="F47" s="180">
        <f t="shared" si="0"/>
        <v>5884281</v>
      </c>
      <c r="G47" s="178">
        <f>IF($C$23="1st Estimate",'[1]GA Rates'!R10,IF($C$23="2nd Estimate",'[1]GA Rates'!S10,IF($C$23="Actual",'[1]GA Rates'!T10,0)))</f>
        <v>8.8880000000000001E-2</v>
      </c>
      <c r="H47" s="179">
        <f t="shared" si="1"/>
        <v>522994.89528</v>
      </c>
      <c r="I47" s="178">
        <f>'[1]GA Rates'!T10</f>
        <v>7.8829999999999997E-2</v>
      </c>
      <c r="J47" s="177">
        <f t="shared" si="2"/>
        <v>463857.87122999999</v>
      </c>
      <c r="K47" s="176">
        <f t="shared" si="3"/>
        <v>-59137.024050000007</v>
      </c>
      <c r="N47" s="39"/>
      <c r="O47" s="39"/>
      <c r="P47" s="39"/>
      <c r="Q47" s="39"/>
      <c r="R47" s="39"/>
      <c r="S47" s="39"/>
      <c r="T47" s="39"/>
      <c r="U47" s="39"/>
      <c r="V47" s="39"/>
      <c r="W47" s="39"/>
    </row>
    <row r="48" spans="1:23" s="83" customFormat="1" x14ac:dyDescent="0.3">
      <c r="B48" s="184" t="s">
        <v>19</v>
      </c>
      <c r="C48" s="181">
        <v>5906322</v>
      </c>
      <c r="D48" s="182">
        <v>5909617</v>
      </c>
      <c r="E48" s="181">
        <v>6144651</v>
      </c>
      <c r="F48" s="180">
        <f t="shared" si="0"/>
        <v>6141356</v>
      </c>
      <c r="G48" s="178">
        <f>IF($C$23="1st Estimate",'[1]GA Rates'!R11,IF($C$23="2nd Estimate",'[1]GA Rates'!S11,IF($C$23="Actual",'[1]GA Rates'!T11,0)))</f>
        <v>8.8050000000000003E-2</v>
      </c>
      <c r="H48" s="179">
        <f t="shared" si="1"/>
        <v>540746.39580000006</v>
      </c>
      <c r="I48" s="178">
        <f>'[1]GA Rates'!T11</f>
        <v>8.0099999999999991E-2</v>
      </c>
      <c r="J48" s="177">
        <f t="shared" si="2"/>
        <v>491922.61559999996</v>
      </c>
      <c r="K48" s="176">
        <f t="shared" si="3"/>
        <v>-48823.780200000096</v>
      </c>
      <c r="N48" s="39"/>
      <c r="O48" s="39"/>
      <c r="P48" s="39"/>
      <c r="Q48" s="39"/>
      <c r="R48" s="39"/>
      <c r="S48" s="39"/>
      <c r="T48" s="39"/>
      <c r="U48" s="39"/>
      <c r="V48" s="39"/>
      <c r="W48" s="39"/>
    </row>
    <row r="49" spans="2:23" s="83" customFormat="1" x14ac:dyDescent="0.3">
      <c r="B49" s="184" t="s">
        <v>20</v>
      </c>
      <c r="C49" s="181">
        <v>6102129</v>
      </c>
      <c r="D49" s="182">
        <v>6144651</v>
      </c>
      <c r="E49" s="181">
        <v>5840410</v>
      </c>
      <c r="F49" s="180">
        <f t="shared" si="0"/>
        <v>5797888</v>
      </c>
      <c r="G49" s="178">
        <f>IF($C$23="1st Estimate",'[1]GA Rates'!R12,IF($C$23="2nd Estimate",'[1]GA Rates'!S12,IF($C$23="Actual",'[1]GA Rates'!T12,0)))</f>
        <v>8.270000000000001E-2</v>
      </c>
      <c r="H49" s="179">
        <f t="shared" si="1"/>
        <v>479485.33760000003</v>
      </c>
      <c r="I49" s="178">
        <f>'[1]GA Rates'!T12</f>
        <v>6.7030000000000006E-2</v>
      </c>
      <c r="J49" s="177">
        <f t="shared" si="2"/>
        <v>388632.43264000001</v>
      </c>
      <c r="K49" s="176">
        <f t="shared" si="3"/>
        <v>-90852.904960000014</v>
      </c>
      <c r="N49" s="39"/>
      <c r="O49" s="39"/>
      <c r="P49" s="39"/>
      <c r="Q49" s="39"/>
      <c r="R49" s="39"/>
      <c r="S49" s="39"/>
      <c r="T49" s="39"/>
      <c r="U49" s="39"/>
      <c r="V49" s="39"/>
      <c r="W49" s="39"/>
    </row>
    <row r="50" spans="2:23" s="83" customFormat="1" x14ac:dyDescent="0.3">
      <c r="B50" s="184" t="s">
        <v>21</v>
      </c>
      <c r="C50" s="181">
        <v>5924106</v>
      </c>
      <c r="D50" s="182">
        <v>5840410</v>
      </c>
      <c r="E50" s="181">
        <v>5794396</v>
      </c>
      <c r="F50" s="180">
        <f t="shared" si="0"/>
        <v>5878092</v>
      </c>
      <c r="G50" s="178">
        <f>IF($C$23="1st Estimate",'[1]GA Rates'!R13,IF($C$23="2nd Estimate",'[1]GA Rates'!S13,IF($C$23="Actual",'[1]GA Rates'!T13,0)))</f>
        <v>6.3710000000000003E-2</v>
      </c>
      <c r="H50" s="179">
        <f t="shared" si="1"/>
        <v>374493.24132000003</v>
      </c>
      <c r="I50" s="178">
        <f>'[1]GA Rates'!T13</f>
        <v>7.5439999999999993E-2</v>
      </c>
      <c r="J50" s="177">
        <f t="shared" si="2"/>
        <v>443443.26047999994</v>
      </c>
      <c r="K50" s="176">
        <f t="shared" si="3"/>
        <v>68950.019159999909</v>
      </c>
      <c r="N50" s="39"/>
      <c r="O50" s="39"/>
      <c r="P50" s="39"/>
      <c r="Q50" s="39"/>
      <c r="R50" s="39"/>
      <c r="S50" s="39"/>
      <c r="T50" s="39"/>
      <c r="U50" s="39"/>
      <c r="V50" s="39"/>
      <c r="W50" s="39"/>
    </row>
    <row r="51" spans="2:23" s="83" customFormat="1" x14ac:dyDescent="0.3">
      <c r="B51" s="184" t="s">
        <v>174</v>
      </c>
      <c r="C51" s="181">
        <v>5788131</v>
      </c>
      <c r="D51" s="182">
        <v>5794396</v>
      </c>
      <c r="E51" s="181">
        <v>5512760</v>
      </c>
      <c r="F51" s="180">
        <f t="shared" si="0"/>
        <v>5506495</v>
      </c>
      <c r="G51" s="178">
        <f>IF($C$23="1st Estimate",'[1]GA Rates'!R14,IF($C$23="2nd Estimate",'[1]GA Rates'!S14,IF($C$23="Actual",'[1]GA Rates'!T14,0)))</f>
        <v>7.6230000000000006E-2</v>
      </c>
      <c r="H51" s="179">
        <f t="shared" si="1"/>
        <v>419760.11385000002</v>
      </c>
      <c r="I51" s="178">
        <f>'[1]GA Rates'!T14</f>
        <v>0.11320000000000001</v>
      </c>
      <c r="J51" s="177">
        <f t="shared" si="2"/>
        <v>623335.23400000005</v>
      </c>
      <c r="K51" s="176">
        <f t="shared" si="3"/>
        <v>203575.12015000003</v>
      </c>
      <c r="N51" s="39"/>
      <c r="O51" s="39"/>
      <c r="P51" s="39"/>
      <c r="Q51" s="39"/>
      <c r="R51" s="39"/>
      <c r="S51" s="39"/>
      <c r="T51" s="39"/>
      <c r="U51" s="39"/>
      <c r="V51" s="39"/>
      <c r="W51" s="39"/>
    </row>
    <row r="52" spans="2:23" s="83" customFormat="1" x14ac:dyDescent="0.3">
      <c r="B52" s="184" t="s">
        <v>23</v>
      </c>
      <c r="C52" s="183">
        <v>5502721</v>
      </c>
      <c r="D52" s="182">
        <v>5512760</v>
      </c>
      <c r="E52" s="181">
        <v>5870529</v>
      </c>
      <c r="F52" s="180">
        <f t="shared" si="0"/>
        <v>5860490</v>
      </c>
      <c r="G52" s="178">
        <f>IF($C$23="1st Estimate",'[1]GA Rates'!R15,IF($C$23="2nd Estimate",'[1]GA Rates'!S15,IF($C$23="Actual",'[1]GA Rates'!T15,0)))</f>
        <v>0.11462</v>
      </c>
      <c r="H52" s="179">
        <f t="shared" si="1"/>
        <v>671729.36380000005</v>
      </c>
      <c r="I52" s="178">
        <f>'[1]GA Rates'!T15</f>
        <v>9.4709999999999989E-2</v>
      </c>
      <c r="J52" s="177">
        <f t="shared" si="2"/>
        <v>555047.00789999997</v>
      </c>
      <c r="K52" s="176">
        <f t="shared" si="3"/>
        <v>-116682.35590000008</v>
      </c>
      <c r="N52" s="39"/>
      <c r="O52" s="39"/>
      <c r="P52" s="39"/>
      <c r="Q52" s="39"/>
      <c r="R52" s="39"/>
      <c r="S52" s="39"/>
      <c r="T52" s="39"/>
      <c r="U52" s="39"/>
      <c r="V52" s="39"/>
      <c r="W52" s="39"/>
    </row>
    <row r="53" spans="2:23" s="83" customFormat="1" ht="28.8" thickBot="1" x14ac:dyDescent="0.35">
      <c r="B53" s="175" t="s">
        <v>173</v>
      </c>
      <c r="C53" s="174">
        <f>SUM(C41:C52)</f>
        <v>71367110</v>
      </c>
      <c r="D53" s="174">
        <f>SUM(D41:D52)</f>
        <v>71549669</v>
      </c>
      <c r="E53" s="174">
        <f>SUM(E41:E52)</f>
        <v>71218148</v>
      </c>
      <c r="F53" s="174">
        <f>SUM(F41:F52)</f>
        <v>71035589</v>
      </c>
      <c r="G53" s="173"/>
      <c r="H53" s="172">
        <f>SUM(H41:H52)</f>
        <v>5452111.9324100008</v>
      </c>
      <c r="I53" s="173"/>
      <c r="J53" s="172">
        <f>SUM(J41:J52)</f>
        <v>5545326.7248799996</v>
      </c>
      <c r="K53" s="171">
        <f>SUM(K41:K52)</f>
        <v>93214.792469999782</v>
      </c>
      <c r="N53" s="39"/>
      <c r="O53" s="39"/>
      <c r="P53" s="39"/>
      <c r="Q53" s="39"/>
      <c r="R53" s="39"/>
      <c r="S53" s="39"/>
      <c r="T53" s="39"/>
      <c r="U53" s="39"/>
      <c r="V53" s="39"/>
      <c r="W53" s="39"/>
    </row>
    <row r="54" spans="2:23" s="83" customFormat="1" thickBot="1" x14ac:dyDescent="0.3">
      <c r="G54" s="115"/>
      <c r="H54" s="115"/>
      <c r="I54" s="115"/>
      <c r="J54" s="170"/>
      <c r="K54" s="112"/>
      <c r="O54" s="119"/>
      <c r="P54" s="119"/>
      <c r="Q54" s="119"/>
      <c r="R54" s="119"/>
      <c r="S54" s="119"/>
      <c r="T54" s="119"/>
      <c r="U54" s="119"/>
      <c r="V54" s="119"/>
      <c r="W54" s="119"/>
    </row>
    <row r="55" spans="2:23" s="83" customFormat="1" ht="55.8" x14ac:dyDescent="0.3">
      <c r="B55" s="125"/>
      <c r="C55" s="169"/>
      <c r="D55" s="169"/>
      <c r="E55" s="169"/>
      <c r="F55" s="169"/>
      <c r="G55" s="168" t="s">
        <v>172</v>
      </c>
      <c r="H55" s="167" t="s">
        <v>171</v>
      </c>
      <c r="I55" s="166" t="s">
        <v>170</v>
      </c>
      <c r="J55" s="165" t="s">
        <v>169</v>
      </c>
      <c r="K55" s="164" t="s">
        <v>168</v>
      </c>
      <c r="N55" s="39"/>
      <c r="O55" s="39"/>
      <c r="P55" s="39"/>
      <c r="Q55" s="39"/>
      <c r="R55" s="39"/>
      <c r="S55" s="39"/>
      <c r="T55" s="39"/>
      <c r="U55" s="39"/>
      <c r="V55" s="39"/>
      <c r="W55" s="39"/>
    </row>
    <row r="56" spans="2:23" s="83" customFormat="1" ht="13.8" x14ac:dyDescent="0.25">
      <c r="G56" s="163" t="s">
        <v>167</v>
      </c>
      <c r="H56" s="162" t="s">
        <v>166</v>
      </c>
      <c r="I56" s="161" t="s">
        <v>165</v>
      </c>
      <c r="J56" s="160" t="s">
        <v>164</v>
      </c>
      <c r="K56" s="159" t="s">
        <v>163</v>
      </c>
      <c r="O56" s="119"/>
      <c r="P56" s="119"/>
      <c r="Q56" s="119"/>
      <c r="R56" s="119"/>
      <c r="S56" s="119"/>
      <c r="T56" s="119"/>
      <c r="U56" s="119"/>
      <c r="V56" s="119"/>
      <c r="W56" s="119"/>
    </row>
    <row r="57" spans="2:23" s="83" customFormat="1" thickBot="1" x14ac:dyDescent="0.3">
      <c r="G57" s="158">
        <v>72172162.549999997</v>
      </c>
      <c r="H57" s="157">
        <f>F53</f>
        <v>71035589</v>
      </c>
      <c r="I57" s="157">
        <f>G57-H57</f>
        <v>1136573.549999997</v>
      </c>
      <c r="J57" s="156">
        <v>7.0397860904036047E-2</v>
      </c>
      <c r="K57" s="155">
        <f>I57*J57</f>
        <v>80012.346680106246</v>
      </c>
      <c r="O57" s="119"/>
      <c r="P57" s="119"/>
      <c r="Q57" s="119"/>
      <c r="R57" s="119"/>
      <c r="S57" s="119"/>
      <c r="T57" s="119"/>
      <c r="U57" s="119"/>
      <c r="V57" s="119"/>
      <c r="W57" s="119"/>
    </row>
    <row r="58" spans="2:23" s="83" customFormat="1" ht="35.700000000000003" customHeight="1" x14ac:dyDescent="0.25">
      <c r="G58" s="308" t="s">
        <v>162</v>
      </c>
      <c r="H58" s="308"/>
      <c r="I58" s="308"/>
      <c r="J58" s="308"/>
      <c r="K58" s="308"/>
      <c r="O58" s="119"/>
      <c r="P58" s="119"/>
      <c r="Q58" s="119"/>
      <c r="R58" s="119"/>
      <c r="S58" s="119"/>
      <c r="T58" s="119"/>
      <c r="U58" s="119"/>
      <c r="V58" s="119"/>
      <c r="W58" s="119"/>
    </row>
    <row r="59" spans="2:23" s="83" customFormat="1" ht="45.6" customHeight="1" thickBot="1" x14ac:dyDescent="0.3">
      <c r="G59" s="309" t="s">
        <v>161</v>
      </c>
      <c r="H59" s="309"/>
      <c r="I59" s="309"/>
      <c r="J59" s="309"/>
      <c r="K59" s="309"/>
      <c r="O59" s="119"/>
      <c r="P59" s="119"/>
      <c r="Q59" s="119"/>
      <c r="R59" s="119"/>
      <c r="S59" s="119"/>
      <c r="T59" s="119"/>
      <c r="U59" s="119"/>
      <c r="V59" s="119"/>
      <c r="W59" s="119"/>
    </row>
    <row r="60" spans="2:23" s="83" customFormat="1" thickBot="1" x14ac:dyDescent="0.3">
      <c r="G60" s="154"/>
      <c r="H60" s="153"/>
      <c r="I60" s="152"/>
      <c r="J60" s="151" t="s">
        <v>160</v>
      </c>
      <c r="K60" s="150">
        <f>K53+K57</f>
        <v>173227.13915010603</v>
      </c>
      <c r="O60" s="119"/>
      <c r="P60" s="119"/>
      <c r="Q60" s="119"/>
      <c r="R60" s="119"/>
      <c r="S60" s="119"/>
      <c r="T60" s="119"/>
      <c r="U60" s="119"/>
      <c r="V60" s="119"/>
      <c r="W60" s="119"/>
    </row>
    <row r="61" spans="2:23" s="83" customFormat="1" x14ac:dyDescent="0.3">
      <c r="G61" s="115"/>
      <c r="H61" s="39"/>
      <c r="I61" s="39"/>
      <c r="J61" s="39"/>
      <c r="K61" s="39"/>
      <c r="O61" s="119"/>
      <c r="P61" s="119"/>
      <c r="Q61" s="119"/>
      <c r="R61" s="119"/>
      <c r="S61" s="119"/>
      <c r="T61" s="119"/>
      <c r="U61" s="119"/>
      <c r="V61" s="119"/>
      <c r="W61" s="119"/>
    </row>
    <row r="62" spans="2:23" s="83" customFormat="1" x14ac:dyDescent="0.3">
      <c r="G62" s="115"/>
      <c r="H62" s="39"/>
      <c r="I62" s="39"/>
      <c r="J62" s="39"/>
      <c r="K62" s="39"/>
      <c r="O62" s="119"/>
      <c r="P62" s="119"/>
      <c r="Q62" s="119"/>
      <c r="R62" s="119"/>
      <c r="S62" s="119"/>
      <c r="T62" s="119"/>
      <c r="U62" s="119"/>
      <c r="V62" s="119"/>
      <c r="W62" s="119"/>
    </row>
    <row r="63" spans="2:23" s="83" customFormat="1" x14ac:dyDescent="0.3">
      <c r="G63" s="115"/>
      <c r="H63" s="39"/>
      <c r="I63" s="39"/>
      <c r="J63" s="39"/>
      <c r="K63" s="39"/>
      <c r="O63" s="119"/>
      <c r="P63" s="119"/>
      <c r="Q63" s="119"/>
      <c r="R63" s="119"/>
      <c r="S63" s="119"/>
      <c r="T63" s="119"/>
      <c r="U63" s="119"/>
      <c r="V63" s="119"/>
      <c r="W63" s="119"/>
    </row>
    <row r="64" spans="2:23" s="83" customFormat="1" ht="13.8" x14ac:dyDescent="0.25">
      <c r="G64" s="115"/>
      <c r="H64" s="300"/>
      <c r="I64" s="300"/>
      <c r="J64" s="300"/>
      <c r="K64" s="149"/>
      <c r="O64" s="119"/>
      <c r="P64" s="119"/>
      <c r="Q64" s="119"/>
      <c r="R64" s="119"/>
      <c r="S64" s="119"/>
      <c r="T64" s="119"/>
      <c r="U64" s="119"/>
      <c r="V64" s="119"/>
      <c r="W64" s="119"/>
    </row>
    <row r="65" spans="1:23" s="83" customFormat="1" ht="13.8" x14ac:dyDescent="0.25">
      <c r="H65" s="310" t="s">
        <v>159</v>
      </c>
      <c r="I65" s="310"/>
      <c r="J65" s="310"/>
      <c r="K65" s="146">
        <f>IFERROR(F53/D18,0)</f>
        <v>1.0389999934327145</v>
      </c>
      <c r="O65" s="119"/>
      <c r="P65" s="119"/>
      <c r="Q65" s="119"/>
      <c r="R65" s="119"/>
      <c r="S65" s="119"/>
      <c r="T65" s="119"/>
      <c r="U65" s="119"/>
      <c r="V65" s="119"/>
      <c r="W65" s="119"/>
    </row>
    <row r="66" spans="1:23" s="83" customFormat="1" ht="30" customHeight="1" x14ac:dyDescent="0.25">
      <c r="H66" s="310" t="s">
        <v>158</v>
      </c>
      <c r="I66" s="310"/>
      <c r="J66" s="310"/>
      <c r="K66" s="148">
        <v>1.0457000000000001</v>
      </c>
      <c r="O66" s="119"/>
      <c r="P66" s="119"/>
      <c r="Q66" s="119"/>
      <c r="R66" s="119"/>
      <c r="S66" s="119"/>
      <c r="T66" s="119"/>
      <c r="U66" s="119"/>
      <c r="V66" s="119"/>
      <c r="W66" s="119"/>
    </row>
    <row r="67" spans="1:23" s="83" customFormat="1" ht="13.8" x14ac:dyDescent="0.25">
      <c r="H67" s="310" t="s">
        <v>25</v>
      </c>
      <c r="I67" s="310"/>
      <c r="J67" s="310"/>
      <c r="K67" s="146">
        <f>K65-K66</f>
        <v>-6.7000065672855325E-3</v>
      </c>
      <c r="O67" s="119"/>
      <c r="P67" s="119"/>
      <c r="Q67" s="119"/>
      <c r="R67" s="119"/>
      <c r="S67" s="119"/>
      <c r="T67" s="119"/>
      <c r="U67" s="119"/>
      <c r="V67" s="119"/>
      <c r="W67" s="119"/>
    </row>
    <row r="68" spans="1:23" s="83" customFormat="1" thickBot="1" x14ac:dyDescent="0.3">
      <c r="B68" s="109" t="s">
        <v>157</v>
      </c>
      <c r="H68" s="147"/>
      <c r="I68" s="147"/>
      <c r="J68" s="147"/>
      <c r="K68" s="146"/>
      <c r="O68" s="119"/>
      <c r="P68" s="119"/>
      <c r="Q68" s="119"/>
      <c r="R68" s="119"/>
      <c r="S68" s="119"/>
      <c r="T68" s="119"/>
      <c r="U68" s="119"/>
      <c r="V68" s="119"/>
      <c r="W68" s="119"/>
    </row>
    <row r="69" spans="1:23" s="83" customFormat="1" thickBot="1" x14ac:dyDescent="0.3">
      <c r="B69" s="311"/>
      <c r="C69" s="312"/>
      <c r="D69" s="313"/>
      <c r="E69" s="145"/>
      <c r="F69" s="109" t="s">
        <v>156</v>
      </c>
      <c r="H69" s="147"/>
      <c r="I69" s="147"/>
      <c r="J69" s="147"/>
      <c r="K69" s="146"/>
      <c r="O69" s="119"/>
      <c r="P69" s="119"/>
      <c r="Q69" s="119"/>
      <c r="R69" s="119"/>
      <c r="S69" s="119"/>
      <c r="T69" s="119"/>
      <c r="U69" s="119"/>
      <c r="V69" s="119"/>
      <c r="W69" s="119"/>
    </row>
    <row r="70" spans="1:23" s="83" customFormat="1" ht="15" customHeight="1" x14ac:dyDescent="0.25">
      <c r="B70" s="314"/>
      <c r="C70" s="315"/>
      <c r="D70" s="316"/>
      <c r="E70" s="145"/>
      <c r="F70" s="311"/>
      <c r="G70" s="312"/>
      <c r="H70" s="312"/>
      <c r="I70" s="312"/>
      <c r="J70" s="312"/>
      <c r="K70" s="313"/>
      <c r="O70" s="119"/>
      <c r="P70" s="119"/>
      <c r="Q70" s="119"/>
      <c r="R70" s="119"/>
      <c r="S70" s="119"/>
      <c r="T70" s="119"/>
      <c r="U70" s="119"/>
      <c r="V70" s="119"/>
      <c r="W70" s="119"/>
    </row>
    <row r="71" spans="1:23" s="83" customFormat="1" ht="15" customHeight="1" x14ac:dyDescent="0.25">
      <c r="B71" s="314"/>
      <c r="C71" s="315"/>
      <c r="D71" s="316"/>
      <c r="E71" s="145"/>
      <c r="F71" s="314"/>
      <c r="G71" s="315"/>
      <c r="H71" s="315"/>
      <c r="I71" s="315"/>
      <c r="J71" s="315"/>
      <c r="K71" s="316"/>
      <c r="O71" s="119"/>
      <c r="P71" s="119"/>
      <c r="Q71" s="119"/>
      <c r="R71" s="119"/>
      <c r="S71" s="119"/>
      <c r="T71" s="119"/>
      <c r="U71" s="119"/>
      <c r="V71" s="119"/>
      <c r="W71" s="119"/>
    </row>
    <row r="72" spans="1:23" s="83" customFormat="1" ht="15" customHeight="1" x14ac:dyDescent="0.25">
      <c r="B72" s="314"/>
      <c r="C72" s="315"/>
      <c r="D72" s="316"/>
      <c r="E72" s="145"/>
      <c r="F72" s="314"/>
      <c r="G72" s="315"/>
      <c r="H72" s="315"/>
      <c r="I72" s="315"/>
      <c r="J72" s="315"/>
      <c r="K72" s="316"/>
      <c r="O72" s="119"/>
      <c r="P72" s="119"/>
      <c r="Q72" s="119"/>
      <c r="R72" s="119"/>
      <c r="S72" s="119"/>
      <c r="T72" s="119"/>
      <c r="U72" s="119"/>
      <c r="V72" s="119"/>
      <c r="W72" s="119"/>
    </row>
    <row r="73" spans="1:23" s="83" customFormat="1" ht="15" customHeight="1" x14ac:dyDescent="0.25">
      <c r="B73" s="314"/>
      <c r="C73" s="315"/>
      <c r="D73" s="316"/>
      <c r="E73" s="145"/>
      <c r="F73" s="314"/>
      <c r="G73" s="315"/>
      <c r="H73" s="315"/>
      <c r="I73" s="315"/>
      <c r="J73" s="315"/>
      <c r="K73" s="316"/>
      <c r="O73" s="119"/>
      <c r="P73" s="119"/>
      <c r="Q73" s="119"/>
      <c r="R73" s="119"/>
      <c r="S73" s="119"/>
      <c r="T73" s="119"/>
      <c r="U73" s="119"/>
      <c r="V73" s="119"/>
      <c r="W73" s="119"/>
    </row>
    <row r="74" spans="1:23" s="83" customFormat="1" ht="15" customHeight="1" x14ac:dyDescent="0.25">
      <c r="B74" s="314"/>
      <c r="C74" s="315"/>
      <c r="D74" s="316"/>
      <c r="E74" s="145"/>
      <c r="F74" s="314"/>
      <c r="G74" s="315"/>
      <c r="H74" s="315"/>
      <c r="I74" s="315"/>
      <c r="J74" s="315"/>
      <c r="K74" s="316"/>
      <c r="O74" s="119"/>
      <c r="P74" s="119"/>
      <c r="Q74" s="119"/>
      <c r="R74" s="119"/>
      <c r="S74" s="119"/>
      <c r="T74" s="119"/>
      <c r="U74" s="119"/>
      <c r="V74" s="119"/>
      <c r="W74" s="119"/>
    </row>
    <row r="75" spans="1:23" s="83" customFormat="1" ht="15.75" customHeight="1" thickBot="1" x14ac:dyDescent="0.3">
      <c r="B75" s="317"/>
      <c r="C75" s="318"/>
      <c r="D75" s="319"/>
      <c r="E75" s="145"/>
      <c r="F75" s="317"/>
      <c r="G75" s="318"/>
      <c r="H75" s="318"/>
      <c r="I75" s="318"/>
      <c r="J75" s="318"/>
      <c r="K75" s="319"/>
      <c r="O75" s="119"/>
      <c r="P75" s="119"/>
      <c r="Q75" s="119"/>
      <c r="R75" s="119"/>
      <c r="S75" s="119"/>
      <c r="T75" s="119"/>
      <c r="U75" s="119"/>
      <c r="V75" s="119"/>
      <c r="W75" s="119"/>
    </row>
    <row r="76" spans="1:23" s="83" customFormat="1" ht="37.200000000000003" customHeight="1" x14ac:dyDescent="0.25">
      <c r="A76" s="83" t="s">
        <v>155</v>
      </c>
      <c r="B76" s="110" t="s">
        <v>154</v>
      </c>
      <c r="C76" s="109"/>
      <c r="K76" s="144"/>
      <c r="O76" s="119"/>
      <c r="P76" s="119"/>
      <c r="Q76" s="119"/>
      <c r="R76" s="119"/>
      <c r="S76" s="119"/>
      <c r="T76" s="119"/>
      <c r="U76" s="119"/>
      <c r="V76" s="119"/>
      <c r="W76" s="119"/>
    </row>
    <row r="77" spans="1:23" s="83" customFormat="1" ht="13.8" x14ac:dyDescent="0.25">
      <c r="B77" s="85"/>
      <c r="C77" s="109"/>
      <c r="K77" s="143"/>
    </row>
    <row r="78" spans="1:23" s="83" customFormat="1" ht="15" customHeight="1" x14ac:dyDescent="0.25">
      <c r="A78" s="142"/>
      <c r="B78" s="141" t="s">
        <v>153</v>
      </c>
      <c r="C78" s="140" t="s">
        <v>152</v>
      </c>
      <c r="D78" s="296" t="s">
        <v>151</v>
      </c>
      <c r="E78" s="296"/>
      <c r="F78" s="296"/>
      <c r="G78" s="296"/>
      <c r="H78" s="296"/>
      <c r="I78" s="297" t="s">
        <v>150</v>
      </c>
      <c r="J78" s="297"/>
      <c r="K78" s="297"/>
    </row>
    <row r="79" spans="1:23" s="83" customFormat="1" ht="42" customHeight="1" x14ac:dyDescent="0.25">
      <c r="A79" s="298" t="s">
        <v>149</v>
      </c>
      <c r="B79" s="299"/>
      <c r="C79" s="133">
        <f>172233.17</f>
        <v>172233.17</v>
      </c>
      <c r="D79" s="292"/>
      <c r="E79" s="293"/>
      <c r="F79" s="293"/>
      <c r="G79" s="293"/>
      <c r="H79" s="294"/>
      <c r="I79" s="113" t="s">
        <v>148</v>
      </c>
      <c r="J79" s="295" t="s">
        <v>147</v>
      </c>
      <c r="K79" s="295"/>
    </row>
    <row r="80" spans="1:23" s="83" customFormat="1" ht="27.6" x14ac:dyDescent="0.25">
      <c r="A80" s="139" t="s">
        <v>146</v>
      </c>
      <c r="B80" s="138" t="s">
        <v>145</v>
      </c>
      <c r="C80" s="133"/>
      <c r="D80" s="285"/>
      <c r="E80" s="285"/>
      <c r="F80" s="285"/>
      <c r="G80" s="285"/>
      <c r="H80" s="285"/>
      <c r="I80" s="132"/>
      <c r="J80" s="286"/>
      <c r="K80" s="286"/>
    </row>
    <row r="81" spans="1:15" s="83" customFormat="1" ht="27.6" x14ac:dyDescent="0.25">
      <c r="A81" s="139" t="s">
        <v>144</v>
      </c>
      <c r="B81" s="138" t="s">
        <v>143</v>
      </c>
      <c r="C81" s="133">
        <v>-213662.78</v>
      </c>
      <c r="D81" s="289"/>
      <c r="E81" s="290"/>
      <c r="F81" s="290"/>
      <c r="G81" s="290"/>
      <c r="H81" s="291"/>
      <c r="I81" s="132"/>
      <c r="J81" s="286"/>
      <c r="K81" s="286"/>
      <c r="L81" s="115"/>
      <c r="M81" s="115"/>
      <c r="N81" s="115"/>
      <c r="O81" s="115"/>
    </row>
    <row r="82" spans="1:15" s="83" customFormat="1" ht="27.6" x14ac:dyDescent="0.25">
      <c r="A82" s="139" t="s">
        <v>142</v>
      </c>
      <c r="B82" s="138" t="s">
        <v>141</v>
      </c>
      <c r="C82" s="133"/>
      <c r="D82" s="285"/>
      <c r="E82" s="285"/>
      <c r="F82" s="285"/>
      <c r="G82" s="285"/>
      <c r="H82" s="285"/>
      <c r="I82" s="132"/>
      <c r="J82" s="286"/>
      <c r="K82" s="286"/>
      <c r="L82" s="115"/>
      <c r="M82" s="115"/>
      <c r="N82" s="115"/>
      <c r="O82" s="115"/>
    </row>
    <row r="83" spans="1:15" s="83" customFormat="1" ht="27.6" x14ac:dyDescent="0.25">
      <c r="A83" s="139" t="s">
        <v>140</v>
      </c>
      <c r="B83" s="138" t="s">
        <v>139</v>
      </c>
      <c r="C83" s="133"/>
      <c r="D83" s="289"/>
      <c r="E83" s="290"/>
      <c r="F83" s="290"/>
      <c r="G83" s="290"/>
      <c r="H83" s="291"/>
      <c r="I83" s="132"/>
      <c r="J83" s="286"/>
      <c r="K83" s="286"/>
      <c r="L83" s="115"/>
      <c r="M83" s="115"/>
      <c r="N83" s="115"/>
      <c r="O83" s="115"/>
    </row>
    <row r="84" spans="1:15" s="83" customFormat="1" ht="27.6" x14ac:dyDescent="0.25">
      <c r="A84" s="139" t="s">
        <v>138</v>
      </c>
      <c r="B84" s="138" t="s">
        <v>137</v>
      </c>
      <c r="C84" s="133"/>
      <c r="D84" s="285"/>
      <c r="E84" s="285"/>
      <c r="F84" s="285"/>
      <c r="G84" s="285"/>
      <c r="H84" s="285"/>
      <c r="I84" s="132"/>
      <c r="J84" s="286"/>
      <c r="K84" s="286"/>
      <c r="L84" s="115"/>
      <c r="M84" s="115"/>
      <c r="N84" s="115"/>
      <c r="O84" s="115"/>
    </row>
    <row r="85" spans="1:15" s="83" customFormat="1" ht="27.6" x14ac:dyDescent="0.25">
      <c r="A85" s="139" t="s">
        <v>136</v>
      </c>
      <c r="B85" s="138" t="s">
        <v>135</v>
      </c>
      <c r="C85" s="133">
        <f>-5966.23+58.28+2054.23</f>
        <v>-3853.72</v>
      </c>
      <c r="D85" s="285"/>
      <c r="E85" s="285"/>
      <c r="F85" s="285"/>
      <c r="G85" s="285"/>
      <c r="H85" s="285"/>
      <c r="I85" s="132"/>
      <c r="J85" s="286"/>
      <c r="K85" s="286"/>
      <c r="L85" s="115"/>
      <c r="M85" s="115"/>
      <c r="N85" s="115"/>
      <c r="O85" s="115"/>
    </row>
    <row r="86" spans="1:15" s="83" customFormat="1" ht="33.75" customHeight="1" x14ac:dyDescent="0.25">
      <c r="A86" s="139">
        <v>4</v>
      </c>
      <c r="B86" s="138" t="s">
        <v>134</v>
      </c>
      <c r="C86" s="133"/>
      <c r="D86" s="285"/>
      <c r="E86" s="285"/>
      <c r="F86" s="285"/>
      <c r="G86" s="285"/>
      <c r="H86" s="285"/>
      <c r="I86" s="132"/>
      <c r="J86" s="286"/>
      <c r="K86" s="286"/>
      <c r="L86" s="115"/>
      <c r="M86" s="115"/>
      <c r="N86" s="115"/>
      <c r="O86" s="115"/>
    </row>
    <row r="87" spans="1:15" s="83" customFormat="1" ht="27.6" x14ac:dyDescent="0.25">
      <c r="A87" s="139">
        <v>5</v>
      </c>
      <c r="B87" s="138" t="s">
        <v>133</v>
      </c>
      <c r="C87" s="133"/>
      <c r="D87" s="285"/>
      <c r="E87" s="285"/>
      <c r="F87" s="285"/>
      <c r="G87" s="285"/>
      <c r="H87" s="285"/>
      <c r="I87" s="132"/>
      <c r="J87" s="286"/>
      <c r="K87" s="286"/>
      <c r="L87" s="115"/>
      <c r="M87" s="115"/>
      <c r="N87" s="115"/>
      <c r="O87" s="115"/>
    </row>
    <row r="88" spans="1:15" s="83" customFormat="1" ht="27.6" x14ac:dyDescent="0.25">
      <c r="A88" s="135">
        <v>6</v>
      </c>
      <c r="B88" s="137" t="s">
        <v>132</v>
      </c>
      <c r="C88" s="133"/>
      <c r="D88" s="285"/>
      <c r="E88" s="285"/>
      <c r="F88" s="285"/>
      <c r="G88" s="285"/>
      <c r="H88" s="285"/>
      <c r="I88" s="132"/>
      <c r="J88" s="286"/>
      <c r="K88" s="286"/>
    </row>
    <row r="89" spans="1:15" s="83" customFormat="1" ht="13.8" x14ac:dyDescent="0.25">
      <c r="A89" s="135">
        <v>7</v>
      </c>
      <c r="B89" s="136" t="s">
        <v>131</v>
      </c>
      <c r="C89" s="133"/>
      <c r="D89" s="285"/>
      <c r="E89" s="285"/>
      <c r="F89" s="285"/>
      <c r="G89" s="285"/>
      <c r="H89" s="285"/>
      <c r="I89" s="132"/>
      <c r="J89" s="286"/>
      <c r="K89" s="286"/>
    </row>
    <row r="90" spans="1:15" s="83" customFormat="1" ht="13.8" x14ac:dyDescent="0.25">
      <c r="A90" s="135">
        <v>8</v>
      </c>
      <c r="B90" s="136" t="s">
        <v>130</v>
      </c>
      <c r="C90" s="133"/>
      <c r="D90" s="285"/>
      <c r="E90" s="285"/>
      <c r="F90" s="285"/>
      <c r="G90" s="285"/>
      <c r="H90" s="285"/>
      <c r="I90" s="132"/>
      <c r="J90" s="286"/>
      <c r="K90" s="286"/>
    </row>
    <row r="91" spans="1:15" s="83" customFormat="1" ht="13.8" x14ac:dyDescent="0.25">
      <c r="A91" s="135">
        <v>9</v>
      </c>
      <c r="B91" s="134"/>
      <c r="C91" s="133"/>
      <c r="D91" s="289"/>
      <c r="E91" s="290"/>
      <c r="F91" s="290"/>
      <c r="G91" s="290"/>
      <c r="H91" s="291"/>
      <c r="I91" s="132"/>
      <c r="J91" s="286"/>
      <c r="K91" s="286"/>
    </row>
    <row r="92" spans="1:15" s="83" customFormat="1" ht="13.8" x14ac:dyDescent="0.25">
      <c r="A92" s="135">
        <v>10</v>
      </c>
      <c r="B92" s="134"/>
      <c r="C92" s="133"/>
      <c r="D92" s="285"/>
      <c r="E92" s="285"/>
      <c r="F92" s="285"/>
      <c r="G92" s="285"/>
      <c r="H92" s="285"/>
      <c r="I92" s="132"/>
      <c r="J92" s="286"/>
      <c r="K92" s="286"/>
    </row>
    <row r="93" spans="1:15" s="83" customFormat="1" ht="13.8" x14ac:dyDescent="0.25">
      <c r="A93" s="131"/>
      <c r="B93" s="131"/>
      <c r="C93" s="131"/>
      <c r="D93" s="131"/>
      <c r="E93" s="131"/>
      <c r="F93" s="131"/>
      <c r="G93" s="131"/>
      <c r="H93" s="287"/>
      <c r="I93" s="288"/>
      <c r="J93" s="288"/>
      <c r="K93" s="126"/>
    </row>
    <row r="94" spans="1:15" s="83" customFormat="1" ht="13.8" x14ac:dyDescent="0.25">
      <c r="A94" s="83" t="s">
        <v>129</v>
      </c>
      <c r="B94" s="130" t="s">
        <v>128</v>
      </c>
      <c r="C94" s="129">
        <f>SUM(C79:C92)</f>
        <v>-45283.329999999987</v>
      </c>
      <c r="D94" s="127"/>
      <c r="E94" s="127"/>
      <c r="F94" s="127"/>
      <c r="G94" s="127"/>
    </row>
    <row r="95" spans="1:15" s="83" customFormat="1" ht="27.6" x14ac:dyDescent="0.25">
      <c r="B95" s="125" t="s">
        <v>127</v>
      </c>
      <c r="C95" s="128">
        <f>K60</f>
        <v>173227.13915010603</v>
      </c>
      <c r="D95" s="127"/>
      <c r="E95" s="127"/>
      <c r="F95" s="127"/>
      <c r="G95" s="127"/>
    </row>
    <row r="96" spans="1:15" s="83" customFormat="1" ht="13.8" x14ac:dyDescent="0.25">
      <c r="B96" s="125" t="s">
        <v>126</v>
      </c>
      <c r="C96" s="126">
        <f>C94-C95</f>
        <v>-218510.46915010602</v>
      </c>
    </row>
    <row r="97" spans="2:7" s="83" customFormat="1" ht="28.2" thickBot="1" x14ac:dyDescent="0.3">
      <c r="B97" s="125" t="s">
        <v>125</v>
      </c>
      <c r="C97" s="124">
        <f>IF(ISERROR(C96/J53),0,C96/J53)</f>
        <v>-3.9404435480730769E-2</v>
      </c>
      <c r="D97" s="86" t="str">
        <f>IF(AND(C97&lt;0.01,C97&gt;-0.01),"","Unresolved differences of greater than + or - 1% should be explained")</f>
        <v>Unresolved differences of greater than + or - 1% should be explained</v>
      </c>
      <c r="F97" s="115"/>
    </row>
    <row r="98" spans="2:7" s="83" customFormat="1" thickTop="1" x14ac:dyDescent="0.25">
      <c r="B98" s="109"/>
      <c r="C98" s="122"/>
      <c r="D98" s="123"/>
      <c r="G98" s="115"/>
    </row>
    <row r="99" spans="2:7" s="83" customFormat="1" ht="13.8" x14ac:dyDescent="0.25">
      <c r="B99" s="109"/>
      <c r="C99" s="122"/>
      <c r="D99" s="121"/>
    </row>
    <row r="100" spans="2:7" s="83" customFormat="1" ht="13.8" x14ac:dyDescent="0.25"/>
    <row r="101" spans="2:7" s="83" customFormat="1" ht="13.8" x14ac:dyDescent="0.25"/>
  </sheetData>
  <mergeCells count="45">
    <mergeCell ref="D78:H78"/>
    <mergeCell ref="I78:K78"/>
    <mergeCell ref="A79:B79"/>
    <mergeCell ref="H64:J64"/>
    <mergeCell ref="B13:C13"/>
    <mergeCell ref="E13:F13"/>
    <mergeCell ref="B19:H19"/>
    <mergeCell ref="B25:F25"/>
    <mergeCell ref="B27:F27"/>
    <mergeCell ref="G58:K58"/>
    <mergeCell ref="G59:K59"/>
    <mergeCell ref="H65:J65"/>
    <mergeCell ref="H66:J66"/>
    <mergeCell ref="H67:J67"/>
    <mergeCell ref="B69:D75"/>
    <mergeCell ref="F70:K75"/>
    <mergeCell ref="D79:H79"/>
    <mergeCell ref="J79:K79"/>
    <mergeCell ref="D80:H80"/>
    <mergeCell ref="J80:K80"/>
    <mergeCell ref="D82:H82"/>
    <mergeCell ref="J82:K82"/>
    <mergeCell ref="D81:H81"/>
    <mergeCell ref="J81:K81"/>
    <mergeCell ref="D83:H83"/>
    <mergeCell ref="J83:K83"/>
    <mergeCell ref="D84:H84"/>
    <mergeCell ref="J84:K84"/>
    <mergeCell ref="D85:H85"/>
    <mergeCell ref="J85:K85"/>
    <mergeCell ref="D86:H86"/>
    <mergeCell ref="J86:K86"/>
    <mergeCell ref="D87:H87"/>
    <mergeCell ref="J87:K87"/>
    <mergeCell ref="D88:H88"/>
    <mergeCell ref="J88:K88"/>
    <mergeCell ref="D92:H92"/>
    <mergeCell ref="J92:K92"/>
    <mergeCell ref="H93:J93"/>
    <mergeCell ref="D89:H89"/>
    <mergeCell ref="J89:K89"/>
    <mergeCell ref="D90:H90"/>
    <mergeCell ref="J90:K90"/>
    <mergeCell ref="D91:H91"/>
    <mergeCell ref="J91:K91"/>
  </mergeCells>
  <dataValidations count="2">
    <dataValidation type="list" sqref="C23" xr:uid="{47876633-6E8D-4023-8856-ABA9F5492177}">
      <formula1>"1st Estimate, 2nd Estimate, Actual"</formula1>
    </dataValidation>
    <dataValidation type="list" allowBlank="1" showInputMessage="1" showErrorMessage="1" sqref="G27 I80:I92 G25" xr:uid="{E4F7B353-1AE9-4069-BAEC-9690BEE193E1}">
      <formula1>"Yes,No"</formula1>
    </dataValidation>
  </dataValidation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3A18A8-39F9-44F3-98BA-CDFC7211E1DA}">
  <dimension ref="A12:W101"/>
  <sheetViews>
    <sheetView topLeftCell="A82" workbookViewId="0">
      <selection activeCell="B89" sqref="B89"/>
    </sheetView>
  </sheetViews>
  <sheetFormatPr defaultColWidth="9" defaultRowHeight="14.4" x14ac:dyDescent="0.3"/>
  <cols>
    <col min="1" max="1" width="10.33203125" style="39" customWidth="1"/>
    <col min="2" max="2" width="53.88671875" style="39" customWidth="1"/>
    <col min="3" max="3" width="28" style="39" customWidth="1"/>
    <col min="4" max="4" width="23" style="39" customWidth="1"/>
    <col min="5" max="5" width="19" style="39" customWidth="1"/>
    <col min="6" max="6" width="24.33203125" style="39" customWidth="1"/>
    <col min="7" max="7" width="15.88671875" style="39" customWidth="1"/>
    <col min="8" max="8" width="18" style="39" customWidth="1"/>
    <col min="9" max="11" width="20.5546875" style="39" customWidth="1"/>
    <col min="12" max="12" width="10.5546875" style="39" customWidth="1"/>
    <col min="13" max="13" width="10.33203125" style="39" customWidth="1"/>
    <col min="14" max="14" width="11.88671875" style="39" customWidth="1"/>
    <col min="15" max="15" width="10.5546875" style="39" customWidth="1"/>
    <col min="16" max="16" width="10.33203125" style="39" customWidth="1"/>
    <col min="17" max="18" width="10.5546875" style="39" customWidth="1"/>
    <col min="19" max="19" width="11" style="39" customWidth="1"/>
    <col min="20" max="20" width="13" style="39" customWidth="1"/>
    <col min="21" max="21" width="10.88671875" style="39" customWidth="1"/>
    <col min="22" max="22" width="11.33203125" style="39" customWidth="1"/>
    <col min="23" max="16384" width="9" style="39"/>
  </cols>
  <sheetData>
    <row r="12" spans="1:19" s="83" customFormat="1" ht="13.8" x14ac:dyDescent="0.25">
      <c r="A12" s="115" t="s">
        <v>214</v>
      </c>
      <c r="B12" s="118" t="s">
        <v>213</v>
      </c>
      <c r="C12" s="117"/>
      <c r="D12" s="117"/>
      <c r="E12" s="117"/>
      <c r="F12" s="117"/>
      <c r="I12" s="115"/>
      <c r="J12" s="115"/>
      <c r="K12" s="115"/>
      <c r="L12" s="115"/>
      <c r="M12" s="115"/>
      <c r="N12" s="115"/>
      <c r="O12" s="115"/>
      <c r="P12" s="115"/>
      <c r="Q12" s="115"/>
      <c r="R12" s="115"/>
      <c r="S12" s="115"/>
    </row>
    <row r="13" spans="1:19" s="83" customFormat="1" ht="13.8" x14ac:dyDescent="0.25">
      <c r="A13" s="115"/>
      <c r="B13" s="301" t="s">
        <v>59</v>
      </c>
      <c r="C13" s="301"/>
      <c r="D13" s="116">
        <v>2016</v>
      </c>
      <c r="E13" s="302"/>
      <c r="F13" s="303"/>
      <c r="G13" s="115"/>
      <c r="H13" s="115"/>
      <c r="I13" s="115"/>
      <c r="J13" s="115"/>
      <c r="K13" s="115"/>
      <c r="L13" s="115"/>
      <c r="M13" s="115"/>
      <c r="N13" s="115"/>
      <c r="O13" s="115"/>
      <c r="P13" s="115"/>
      <c r="Q13" s="115"/>
    </row>
    <row r="14" spans="1:19" s="83" customFormat="1" thickBot="1" x14ac:dyDescent="0.3">
      <c r="A14" s="115"/>
      <c r="B14" s="114" t="s">
        <v>212</v>
      </c>
      <c r="C14" s="114" t="s">
        <v>211</v>
      </c>
      <c r="D14" s="202">
        <f>D15+D16</f>
        <v>183317003</v>
      </c>
      <c r="E14" s="199" t="s">
        <v>2</v>
      </c>
      <c r="F14" s="204">
        <v>1</v>
      </c>
      <c r="G14" s="115"/>
      <c r="H14" s="115"/>
      <c r="I14" s="115"/>
      <c r="J14" s="115"/>
      <c r="K14" s="115"/>
      <c r="L14" s="115"/>
      <c r="M14" s="115"/>
      <c r="N14" s="115"/>
      <c r="O14" s="115"/>
      <c r="P14" s="115"/>
      <c r="Q14" s="115"/>
    </row>
    <row r="15" spans="1:19" s="83" customFormat="1" ht="13.8" x14ac:dyDescent="0.25">
      <c r="B15" s="114" t="s">
        <v>210</v>
      </c>
      <c r="C15" s="114" t="s">
        <v>209</v>
      </c>
      <c r="D15" s="203">
        <v>115480648</v>
      </c>
      <c r="E15" s="199" t="s">
        <v>2</v>
      </c>
      <c r="F15" s="198">
        <f>IFERROR(D15/$D$14,0)</f>
        <v>0.62995055619581564</v>
      </c>
    </row>
    <row r="16" spans="1:19" s="83" customFormat="1" thickBot="1" x14ac:dyDescent="0.3">
      <c r="B16" s="114" t="s">
        <v>208</v>
      </c>
      <c r="C16" s="114" t="s">
        <v>207</v>
      </c>
      <c r="D16" s="202">
        <f>D17+D18</f>
        <v>67836355</v>
      </c>
      <c r="E16" s="199" t="s">
        <v>2</v>
      </c>
      <c r="F16" s="198">
        <f>IFERROR(D16/$D$14,0)</f>
        <v>0.37004944380418436</v>
      </c>
    </row>
    <row r="17" spans="1:8" s="83" customFormat="1" ht="13.8" x14ac:dyDescent="0.25">
      <c r="B17" s="114" t="s">
        <v>206</v>
      </c>
      <c r="C17" s="114" t="s">
        <v>205</v>
      </c>
      <c r="D17" s="201"/>
      <c r="E17" s="199" t="s">
        <v>2</v>
      </c>
      <c r="F17" s="198">
        <f>IFERROR(D17/$D$14,0)</f>
        <v>0</v>
      </c>
    </row>
    <row r="18" spans="1:8" s="83" customFormat="1" ht="13.8" x14ac:dyDescent="0.25">
      <c r="B18" s="114" t="s">
        <v>204</v>
      </c>
      <c r="C18" s="114" t="s">
        <v>203</v>
      </c>
      <c r="D18" s="200">
        <v>67836355</v>
      </c>
      <c r="E18" s="199" t="s">
        <v>2</v>
      </c>
      <c r="F18" s="198">
        <f>IFERROR(D18/$D$14,0)</f>
        <v>0.37004944380418436</v>
      </c>
    </row>
    <row r="19" spans="1:8" s="83" customFormat="1" ht="34.5" customHeight="1" x14ac:dyDescent="0.25">
      <c r="B19" s="304" t="s">
        <v>202</v>
      </c>
      <c r="C19" s="304"/>
      <c r="D19" s="304"/>
      <c r="E19" s="304"/>
      <c r="F19" s="304"/>
      <c r="G19" s="305"/>
      <c r="H19" s="305"/>
    </row>
    <row r="20" spans="1:8" s="83" customFormat="1" ht="13.8" x14ac:dyDescent="0.25">
      <c r="D20" s="197"/>
    </row>
    <row r="21" spans="1:8" s="83" customFormat="1" ht="13.8" x14ac:dyDescent="0.25">
      <c r="A21" s="83" t="s">
        <v>201</v>
      </c>
      <c r="B21" s="85" t="s">
        <v>200</v>
      </c>
    </row>
    <row r="22" spans="1:8" s="83" customFormat="1" ht="13.8" x14ac:dyDescent="0.25">
      <c r="B22" s="85"/>
    </row>
    <row r="23" spans="1:8" s="83" customFormat="1" ht="13.8" x14ac:dyDescent="0.25">
      <c r="B23" s="109" t="s">
        <v>199</v>
      </c>
      <c r="C23" s="132" t="s">
        <v>198</v>
      </c>
      <c r="E23" s="115"/>
    </row>
    <row r="24" spans="1:8" s="83" customFormat="1" ht="13.8" x14ac:dyDescent="0.25">
      <c r="E24" s="115"/>
    </row>
    <row r="25" spans="1:8" s="83" customFormat="1" x14ac:dyDescent="0.3">
      <c r="B25" s="306" t="s">
        <v>197</v>
      </c>
      <c r="C25" s="307"/>
      <c r="D25" s="307"/>
      <c r="E25" s="307"/>
      <c r="F25" s="307"/>
      <c r="G25" s="132" t="s">
        <v>124</v>
      </c>
    </row>
    <row r="26" spans="1:8" s="83" customFormat="1" ht="13.8" x14ac:dyDescent="0.25">
      <c r="E26" s="115"/>
    </row>
    <row r="27" spans="1:8" s="83" customFormat="1" x14ac:dyDescent="0.3">
      <c r="B27" s="306" t="s">
        <v>196</v>
      </c>
      <c r="C27" s="307"/>
      <c r="D27" s="307"/>
      <c r="E27" s="307"/>
      <c r="F27" s="307"/>
      <c r="G27" s="132" t="s">
        <v>124</v>
      </c>
    </row>
    <row r="28" spans="1:8" s="83" customFormat="1" ht="15" customHeight="1" x14ac:dyDescent="0.25">
      <c r="B28" s="130"/>
      <c r="C28" s="130"/>
      <c r="D28" s="130"/>
      <c r="E28" s="130"/>
      <c r="F28" s="130"/>
      <c r="G28" s="130"/>
      <c r="H28" s="130"/>
    </row>
    <row r="29" spans="1:8" s="83" customFormat="1" ht="15" hidden="1" customHeight="1" x14ac:dyDescent="0.25">
      <c r="B29" s="130"/>
      <c r="C29" s="130"/>
      <c r="D29" s="130"/>
      <c r="E29" s="130"/>
      <c r="F29" s="130"/>
      <c r="G29" s="130"/>
      <c r="H29" s="130"/>
    </row>
    <row r="30" spans="1:8" s="83" customFormat="1" ht="15" hidden="1" customHeight="1" x14ac:dyDescent="0.25">
      <c r="B30" s="130"/>
      <c r="C30" s="130"/>
      <c r="D30" s="130"/>
      <c r="E30" s="130"/>
      <c r="F30" s="130"/>
      <c r="G30" s="130"/>
      <c r="H30" s="130"/>
    </row>
    <row r="31" spans="1:8" s="83" customFormat="1" ht="15" hidden="1" customHeight="1" x14ac:dyDescent="0.25">
      <c r="B31" s="130"/>
      <c r="C31" s="130"/>
      <c r="D31" s="130"/>
      <c r="E31" s="130"/>
      <c r="F31" s="130"/>
      <c r="G31" s="130"/>
      <c r="H31" s="130"/>
    </row>
    <row r="32" spans="1:8" s="83" customFormat="1" ht="14.25" hidden="1" customHeight="1" x14ac:dyDescent="0.25">
      <c r="B32" s="130"/>
      <c r="C32" s="130"/>
      <c r="D32" s="130"/>
      <c r="E32" s="130"/>
      <c r="F32" s="130"/>
      <c r="G32" s="130"/>
      <c r="H32" s="130"/>
    </row>
    <row r="33" spans="1:23" s="83" customFormat="1" ht="14.25" hidden="1" customHeight="1" x14ac:dyDescent="0.25">
      <c r="B33" s="130"/>
      <c r="C33" s="130"/>
      <c r="D33" s="130"/>
      <c r="E33" s="130"/>
      <c r="F33" s="130"/>
      <c r="G33" s="130"/>
      <c r="H33" s="130"/>
    </row>
    <row r="34" spans="1:23" s="83" customFormat="1" ht="14.25" hidden="1" customHeight="1" x14ac:dyDescent="0.25">
      <c r="B34" s="130"/>
      <c r="C34" s="130"/>
      <c r="D34" s="130"/>
      <c r="E34" s="130"/>
      <c r="F34" s="130"/>
      <c r="G34" s="130"/>
      <c r="H34" s="130"/>
    </row>
    <row r="35" spans="1:23" s="83" customFormat="1" ht="14.25" hidden="1" customHeight="1" x14ac:dyDescent="0.25">
      <c r="B35" s="130"/>
      <c r="C35" s="130"/>
      <c r="D35" s="130"/>
      <c r="E35" s="130"/>
      <c r="F35" s="130"/>
      <c r="G35" s="130"/>
      <c r="H35" s="130"/>
    </row>
    <row r="36" spans="1:23" s="83" customFormat="1" ht="13.8" x14ac:dyDescent="0.25"/>
    <row r="37" spans="1:23" s="83" customFormat="1" ht="13.8" x14ac:dyDescent="0.25">
      <c r="A37" s="83" t="s">
        <v>195</v>
      </c>
      <c r="B37" s="110" t="s">
        <v>194</v>
      </c>
      <c r="C37" s="85"/>
    </row>
    <row r="38" spans="1:23" s="83" customFormat="1" ht="15" thickBot="1" x14ac:dyDescent="0.35">
      <c r="B38" s="109" t="s">
        <v>59</v>
      </c>
      <c r="C38" s="104">
        <v>2016</v>
      </c>
      <c r="D38" s="115"/>
      <c r="E38" s="115"/>
      <c r="F38" s="196"/>
      <c r="G38" s="109"/>
      <c r="H38" s="109"/>
      <c r="I38" s="109"/>
      <c r="J38" s="109"/>
      <c r="K38" s="109"/>
      <c r="N38" s="39"/>
      <c r="O38" s="39"/>
      <c r="P38" s="39"/>
      <c r="Q38" s="39"/>
      <c r="R38" s="39"/>
      <c r="S38" s="39"/>
      <c r="T38" s="39"/>
      <c r="U38" s="39"/>
      <c r="V38" s="39"/>
      <c r="W38" s="39"/>
    </row>
    <row r="39" spans="1:23" s="130" customFormat="1" ht="80.25" customHeight="1" thickBot="1" x14ac:dyDescent="0.35">
      <c r="B39" s="195" t="s">
        <v>193</v>
      </c>
      <c r="C39" s="194" t="s">
        <v>192</v>
      </c>
      <c r="D39" s="193" t="s">
        <v>191</v>
      </c>
      <c r="E39" s="192" t="s">
        <v>190</v>
      </c>
      <c r="F39" s="191" t="s">
        <v>189</v>
      </c>
      <c r="G39" s="190" t="s">
        <v>188</v>
      </c>
      <c r="H39" s="190" t="s">
        <v>187</v>
      </c>
      <c r="I39" s="190" t="s">
        <v>186</v>
      </c>
      <c r="J39" s="190" t="s">
        <v>185</v>
      </c>
      <c r="K39" s="189" t="s">
        <v>184</v>
      </c>
      <c r="N39" s="39"/>
      <c r="O39" s="39"/>
      <c r="P39" s="39"/>
      <c r="Q39" s="39"/>
      <c r="R39" s="39"/>
      <c r="S39" s="39"/>
      <c r="T39" s="39"/>
      <c r="U39" s="39"/>
      <c r="V39" s="39"/>
      <c r="W39" s="39"/>
    </row>
    <row r="40" spans="1:23" s="130" customFormat="1" x14ac:dyDescent="0.3">
      <c r="B40" s="188"/>
      <c r="C40" s="187" t="s">
        <v>183</v>
      </c>
      <c r="D40" s="187" t="s">
        <v>182</v>
      </c>
      <c r="E40" s="166" t="s">
        <v>181</v>
      </c>
      <c r="F40" s="166" t="s">
        <v>180</v>
      </c>
      <c r="G40" s="166" t="s">
        <v>179</v>
      </c>
      <c r="H40" s="186" t="s">
        <v>178</v>
      </c>
      <c r="I40" s="166" t="s">
        <v>177</v>
      </c>
      <c r="J40" s="186" t="s">
        <v>176</v>
      </c>
      <c r="K40" s="185" t="s">
        <v>175</v>
      </c>
      <c r="N40" s="39"/>
      <c r="O40" s="39"/>
      <c r="P40" s="39"/>
      <c r="Q40" s="39"/>
      <c r="R40" s="39"/>
      <c r="S40" s="39"/>
      <c r="T40" s="39"/>
      <c r="U40" s="39"/>
      <c r="V40" s="39"/>
      <c r="W40" s="39"/>
    </row>
    <row r="41" spans="1:23" s="83" customFormat="1" x14ac:dyDescent="0.3">
      <c r="B41" s="184" t="s">
        <v>12</v>
      </c>
      <c r="C41" s="182">
        <v>5648596</v>
      </c>
      <c r="D41" s="182">
        <v>5870529</v>
      </c>
      <c r="E41" s="181">
        <v>6228423</v>
      </c>
      <c r="F41" s="180">
        <f t="shared" ref="F41:F52" si="0">C41-D41+E41</f>
        <v>6006490</v>
      </c>
      <c r="G41" s="178">
        <f>IF($C$23="1st Estimate",'[1]GA Rates'!N4,IF($C$23="2nd Estimate",'[1]GA Rates'!O4,IF($C$23="Actual",'[1]GA Rates'!P4,0)))</f>
        <v>8.4229999999999999E-2</v>
      </c>
      <c r="H41" s="216">
        <f t="shared" ref="H41:H52" si="1">F41*G41</f>
        <v>505926.65269999998</v>
      </c>
      <c r="I41" s="178">
        <f>'[1]GA Rates'!P4</f>
        <v>9.1789999999999997E-2</v>
      </c>
      <c r="J41" s="215">
        <f t="shared" ref="J41:J52" si="2">F41*I41</f>
        <v>551335.71710000001</v>
      </c>
      <c r="K41" s="214">
        <f t="shared" ref="K41:K52" si="3">J41-H41</f>
        <v>45409.064400000032</v>
      </c>
      <c r="N41" s="39"/>
      <c r="O41" s="39"/>
      <c r="P41" s="39"/>
      <c r="Q41" s="39"/>
      <c r="R41" s="39"/>
      <c r="S41" s="39"/>
      <c r="T41" s="39"/>
      <c r="U41" s="39"/>
      <c r="V41" s="39"/>
      <c r="W41" s="39"/>
    </row>
    <row r="42" spans="1:23" s="83" customFormat="1" x14ac:dyDescent="0.3">
      <c r="B42" s="184" t="s">
        <v>13</v>
      </c>
      <c r="C42" s="182">
        <v>5938235</v>
      </c>
      <c r="D42" s="182">
        <v>6228423</v>
      </c>
      <c r="E42" s="181">
        <v>6137630</v>
      </c>
      <c r="F42" s="180">
        <f t="shared" si="0"/>
        <v>5847442</v>
      </c>
      <c r="G42" s="178">
        <f>IF($C$23="1st Estimate",'[1]GA Rates'!N5,IF($C$23="2nd Estimate",'[1]GA Rates'!O5,IF($C$23="Actual",'[1]GA Rates'!P5,0)))</f>
        <v>0.10384</v>
      </c>
      <c r="H42" s="216">
        <f t="shared" si="1"/>
        <v>607198.37728000002</v>
      </c>
      <c r="I42" s="178">
        <f>'[1]GA Rates'!P5</f>
        <v>9.851E-2</v>
      </c>
      <c r="J42" s="215">
        <f t="shared" si="2"/>
        <v>576031.51142</v>
      </c>
      <c r="K42" s="214">
        <f t="shared" si="3"/>
        <v>-31166.86586000002</v>
      </c>
      <c r="N42" s="39"/>
      <c r="O42" s="39"/>
      <c r="P42" s="39"/>
      <c r="Q42" s="39"/>
      <c r="R42" s="39"/>
      <c r="S42" s="39"/>
      <c r="T42" s="39"/>
      <c r="U42" s="39"/>
      <c r="V42" s="39"/>
      <c r="W42" s="39"/>
    </row>
    <row r="43" spans="1:23" s="83" customFormat="1" x14ac:dyDescent="0.3">
      <c r="B43" s="184" t="s">
        <v>14</v>
      </c>
      <c r="C43" s="182">
        <v>6229109</v>
      </c>
      <c r="D43" s="182">
        <v>6137630</v>
      </c>
      <c r="E43" s="181">
        <v>5907359</v>
      </c>
      <c r="F43" s="180">
        <f t="shared" si="0"/>
        <v>5998838</v>
      </c>
      <c r="G43" s="178">
        <f>IF($C$23="1st Estimate",'[1]GA Rates'!N6,IF($C$23="2nd Estimate",'[1]GA Rates'!O6,IF($C$23="Actual",'[1]GA Rates'!P6,0)))</f>
        <v>9.0219999999999995E-2</v>
      </c>
      <c r="H43" s="216">
        <f t="shared" si="1"/>
        <v>541215.16435999994</v>
      </c>
      <c r="I43" s="178">
        <f>'[1]GA Rates'!P6</f>
        <v>0.1061</v>
      </c>
      <c r="J43" s="215">
        <f t="shared" si="2"/>
        <v>636476.71180000005</v>
      </c>
      <c r="K43" s="214">
        <f t="shared" si="3"/>
        <v>95261.547440000111</v>
      </c>
      <c r="N43" s="39"/>
      <c r="O43" s="39"/>
      <c r="P43" s="39"/>
      <c r="Q43" s="39"/>
      <c r="R43" s="39"/>
      <c r="S43" s="39"/>
      <c r="T43" s="39"/>
      <c r="U43" s="39"/>
      <c r="V43" s="39"/>
      <c r="W43" s="39"/>
    </row>
    <row r="44" spans="1:23" s="83" customFormat="1" x14ac:dyDescent="0.3">
      <c r="B44" s="184" t="s">
        <v>15</v>
      </c>
      <c r="C44" s="182">
        <v>5767603</v>
      </c>
      <c r="D44" s="182">
        <v>5907359</v>
      </c>
      <c r="E44" s="181">
        <v>5352820</v>
      </c>
      <c r="F44" s="180">
        <f t="shared" si="0"/>
        <v>5213064</v>
      </c>
      <c r="G44" s="178">
        <f>IF($C$23="1st Estimate",'[1]GA Rates'!N7,IF($C$23="2nd Estimate",'[1]GA Rates'!O7,IF($C$23="Actual",'[1]GA Rates'!P7,0)))</f>
        <v>0.12114999999999999</v>
      </c>
      <c r="H44" s="216">
        <f t="shared" si="1"/>
        <v>631562.70360000001</v>
      </c>
      <c r="I44" s="178">
        <f>'[1]GA Rates'!P7</f>
        <v>0.11132</v>
      </c>
      <c r="J44" s="215">
        <f t="shared" si="2"/>
        <v>580318.28448000003</v>
      </c>
      <c r="K44" s="214">
        <f t="shared" si="3"/>
        <v>-51244.419119999977</v>
      </c>
      <c r="N44" s="39"/>
      <c r="O44" s="39"/>
      <c r="P44" s="39"/>
      <c r="Q44" s="39"/>
      <c r="R44" s="39"/>
      <c r="S44" s="39"/>
      <c r="T44" s="39"/>
      <c r="U44" s="39"/>
      <c r="V44" s="39"/>
      <c r="W44" s="39"/>
    </row>
    <row r="45" spans="1:23" s="83" customFormat="1" x14ac:dyDescent="0.3">
      <c r="B45" s="184" t="s">
        <v>16</v>
      </c>
      <c r="C45" s="182">
        <v>5427643</v>
      </c>
      <c r="D45" s="182">
        <v>5352820</v>
      </c>
      <c r="E45" s="181">
        <v>5182488</v>
      </c>
      <c r="F45" s="180">
        <f t="shared" si="0"/>
        <v>5257311</v>
      </c>
      <c r="G45" s="178">
        <f>IF($C$23="1st Estimate",'[1]GA Rates'!N8,IF($C$23="2nd Estimate",'[1]GA Rates'!O8,IF($C$23="Actual",'[1]GA Rates'!P8,0)))</f>
        <v>0.10405</v>
      </c>
      <c r="H45" s="216">
        <f t="shared" si="1"/>
        <v>547023.20955000003</v>
      </c>
      <c r="I45" s="178">
        <f>'[1]GA Rates'!P8</f>
        <v>0.10749</v>
      </c>
      <c r="J45" s="215">
        <f t="shared" si="2"/>
        <v>565108.35939</v>
      </c>
      <c r="K45" s="214">
        <f t="shared" si="3"/>
        <v>18085.149839999969</v>
      </c>
      <c r="N45" s="39"/>
      <c r="O45" s="39"/>
      <c r="P45" s="39"/>
      <c r="Q45" s="39"/>
      <c r="R45" s="39"/>
      <c r="S45" s="39"/>
      <c r="T45" s="39"/>
      <c r="U45" s="39"/>
      <c r="V45" s="39"/>
      <c r="W45" s="39"/>
    </row>
    <row r="46" spans="1:23" s="83" customFormat="1" x14ac:dyDescent="0.3">
      <c r="B46" s="184" t="s">
        <v>17</v>
      </c>
      <c r="C46" s="182">
        <v>5262976</v>
      </c>
      <c r="D46" s="182">
        <v>5182488</v>
      </c>
      <c r="E46" s="181">
        <v>5464164</v>
      </c>
      <c r="F46" s="180">
        <f t="shared" si="0"/>
        <v>5544652</v>
      </c>
      <c r="G46" s="178">
        <f>IF($C$23="1st Estimate",'[1]GA Rates'!N9,IF($C$23="2nd Estimate",'[1]GA Rates'!O9,IF($C$23="Actual",'[1]GA Rates'!P9,0)))</f>
        <v>0.11650000000000001</v>
      </c>
      <c r="H46" s="216">
        <f t="shared" si="1"/>
        <v>645951.95799999998</v>
      </c>
      <c r="I46" s="178">
        <f>'[1]GA Rates'!P9</f>
        <v>9.5449999999999993E-2</v>
      </c>
      <c r="J46" s="215">
        <f t="shared" si="2"/>
        <v>529237.03339999996</v>
      </c>
      <c r="K46" s="214">
        <f t="shared" si="3"/>
        <v>-116714.92460000003</v>
      </c>
      <c r="N46" s="39"/>
      <c r="O46" s="39"/>
      <c r="P46" s="39"/>
      <c r="Q46" s="39"/>
      <c r="R46" s="39"/>
      <c r="S46" s="39"/>
      <c r="T46" s="39"/>
      <c r="U46" s="39"/>
      <c r="V46" s="39"/>
      <c r="W46" s="39"/>
    </row>
    <row r="47" spans="1:23" s="83" customFormat="1" x14ac:dyDescent="0.3">
      <c r="B47" s="184" t="s">
        <v>18</v>
      </c>
      <c r="C47" s="181">
        <v>5425625</v>
      </c>
      <c r="D47" s="182">
        <v>5464164</v>
      </c>
      <c r="E47" s="181">
        <v>6065456</v>
      </c>
      <c r="F47" s="180">
        <f t="shared" si="0"/>
        <v>6026917</v>
      </c>
      <c r="G47" s="178">
        <f>IF($C$23="1st Estimate",'[1]GA Rates'!N10,IF($C$23="2nd Estimate",'[1]GA Rates'!O10,IF($C$23="Actual",'[1]GA Rates'!P10,0)))</f>
        <v>7.6670000000000002E-2</v>
      </c>
      <c r="H47" s="216">
        <f t="shared" si="1"/>
        <v>462083.72639000003</v>
      </c>
      <c r="I47" s="178">
        <f>'[1]GA Rates'!P10</f>
        <v>8.3059999999999995E-2</v>
      </c>
      <c r="J47" s="215">
        <f t="shared" si="2"/>
        <v>500595.72601999994</v>
      </c>
      <c r="K47" s="214">
        <f t="shared" si="3"/>
        <v>38511.999629999918</v>
      </c>
      <c r="N47" s="39"/>
      <c r="O47" s="39"/>
      <c r="P47" s="39"/>
      <c r="Q47" s="39"/>
      <c r="R47" s="39"/>
      <c r="S47" s="39"/>
      <c r="T47" s="39"/>
      <c r="U47" s="39"/>
      <c r="V47" s="39"/>
      <c r="W47" s="39"/>
    </row>
    <row r="48" spans="1:23" s="83" customFormat="1" x14ac:dyDescent="0.3">
      <c r="B48" s="184" t="s">
        <v>19</v>
      </c>
      <c r="C48" s="181">
        <v>5967194</v>
      </c>
      <c r="D48" s="182">
        <v>6065456</v>
      </c>
      <c r="E48" s="181">
        <v>6916614</v>
      </c>
      <c r="F48" s="180">
        <f t="shared" si="0"/>
        <v>6818352</v>
      </c>
      <c r="G48" s="178">
        <f>IF($C$23="1st Estimate",'[1]GA Rates'!N11,IF($C$23="2nd Estimate",'[1]GA Rates'!O11,IF($C$23="Actual",'[1]GA Rates'!P11,0)))</f>
        <v>8.5690000000000002E-2</v>
      </c>
      <c r="H48" s="216">
        <f t="shared" si="1"/>
        <v>584264.58288</v>
      </c>
      <c r="I48" s="178">
        <f>'[1]GA Rates'!P11</f>
        <v>7.1029999999999996E-2</v>
      </c>
      <c r="J48" s="215">
        <f t="shared" si="2"/>
        <v>484307.54255999997</v>
      </c>
      <c r="K48" s="214">
        <f t="shared" si="3"/>
        <v>-99957.040320000029</v>
      </c>
      <c r="N48" s="39"/>
      <c r="O48" s="39"/>
      <c r="P48" s="39"/>
      <c r="Q48" s="39"/>
      <c r="R48" s="39"/>
      <c r="S48" s="39"/>
      <c r="T48" s="39"/>
      <c r="U48" s="39"/>
      <c r="V48" s="39"/>
      <c r="W48" s="39"/>
    </row>
    <row r="49" spans="2:23" s="83" customFormat="1" x14ac:dyDescent="0.3">
      <c r="B49" s="184" t="s">
        <v>20</v>
      </c>
      <c r="C49" s="181">
        <v>6968506</v>
      </c>
      <c r="D49" s="182">
        <v>6916614</v>
      </c>
      <c r="E49" s="181">
        <v>5512463</v>
      </c>
      <c r="F49" s="180">
        <f t="shared" si="0"/>
        <v>5564355</v>
      </c>
      <c r="G49" s="178">
        <f>IF($C$23="1st Estimate",'[1]GA Rates'!N12,IF($C$23="2nd Estimate",'[1]GA Rates'!O12,IF($C$23="Actual",'[1]GA Rates'!P12,0)))</f>
        <v>7.0599999999999996E-2</v>
      </c>
      <c r="H49" s="216">
        <f t="shared" si="1"/>
        <v>392843.46299999999</v>
      </c>
      <c r="I49" s="178">
        <f>'[1]GA Rates'!P12</f>
        <v>9.5310000000000006E-2</v>
      </c>
      <c r="J49" s="215">
        <f t="shared" si="2"/>
        <v>530338.67505000008</v>
      </c>
      <c r="K49" s="214">
        <f t="shared" si="3"/>
        <v>137495.21205000009</v>
      </c>
      <c r="N49" s="39"/>
      <c r="O49" s="39"/>
      <c r="P49" s="39"/>
      <c r="Q49" s="39"/>
      <c r="R49" s="39"/>
      <c r="S49" s="39"/>
      <c r="T49" s="39"/>
      <c r="U49" s="39"/>
      <c r="V49" s="39"/>
      <c r="W49" s="39"/>
    </row>
    <row r="50" spans="2:23" s="83" customFormat="1" x14ac:dyDescent="0.3">
      <c r="B50" s="184" t="s">
        <v>21</v>
      </c>
      <c r="C50" s="181">
        <v>5837381</v>
      </c>
      <c r="D50" s="182">
        <v>5512463</v>
      </c>
      <c r="E50" s="181">
        <v>5624634</v>
      </c>
      <c r="F50" s="180">
        <f t="shared" si="0"/>
        <v>5949552</v>
      </c>
      <c r="G50" s="178">
        <f>IF($C$23="1st Estimate",'[1]GA Rates'!N13,IF($C$23="2nd Estimate",'[1]GA Rates'!O13,IF($C$23="Actual",'[1]GA Rates'!P13,0)))</f>
        <v>9.7199999999999995E-2</v>
      </c>
      <c r="H50" s="216">
        <f t="shared" si="1"/>
        <v>578296.45439999993</v>
      </c>
      <c r="I50" s="178">
        <f>'[1]GA Rates'!P13</f>
        <v>0.11226</v>
      </c>
      <c r="J50" s="215">
        <f t="shared" si="2"/>
        <v>667896.70751999994</v>
      </c>
      <c r="K50" s="214">
        <f t="shared" si="3"/>
        <v>89600.253120000008</v>
      </c>
      <c r="N50" s="39"/>
      <c r="O50" s="39"/>
      <c r="P50" s="39"/>
      <c r="Q50" s="39"/>
      <c r="R50" s="39"/>
      <c r="S50" s="39"/>
      <c r="T50" s="39"/>
      <c r="U50" s="39"/>
      <c r="V50" s="39"/>
      <c r="W50" s="39"/>
    </row>
    <row r="51" spans="2:23" s="83" customFormat="1" x14ac:dyDescent="0.3">
      <c r="B51" s="184" t="s">
        <v>174</v>
      </c>
      <c r="C51" s="181">
        <v>4512724</v>
      </c>
      <c r="D51" s="182">
        <v>5624634</v>
      </c>
      <c r="E51" s="181">
        <v>7841842</v>
      </c>
      <c r="F51" s="180">
        <f t="shared" si="0"/>
        <v>6729932</v>
      </c>
      <c r="G51" s="178">
        <f>IF($C$23="1st Estimate",'[1]GA Rates'!N14,IF($C$23="2nd Estimate",'[1]GA Rates'!O14,IF($C$23="Actual",'[1]GA Rates'!P14,0)))</f>
        <v>0.12271</v>
      </c>
      <c r="H51" s="216">
        <f t="shared" si="1"/>
        <v>825829.95571999997</v>
      </c>
      <c r="I51" s="178">
        <f>'[1]GA Rates'!P14</f>
        <v>0.11108999999999999</v>
      </c>
      <c r="J51" s="215">
        <f t="shared" si="2"/>
        <v>747628.14587999997</v>
      </c>
      <c r="K51" s="214">
        <f t="shared" si="3"/>
        <v>-78201.809840000002</v>
      </c>
      <c r="N51" s="39"/>
      <c r="O51" s="39"/>
      <c r="P51" s="39"/>
      <c r="Q51" s="39"/>
      <c r="R51" s="39"/>
      <c r="S51" s="39"/>
      <c r="T51" s="39"/>
      <c r="U51" s="39"/>
      <c r="V51" s="39"/>
      <c r="W51" s="39"/>
    </row>
    <row r="52" spans="2:23" s="83" customFormat="1" x14ac:dyDescent="0.3">
      <c r="B52" s="184" t="s">
        <v>23</v>
      </c>
      <c r="C52" s="183">
        <v>6710731</v>
      </c>
      <c r="D52" s="182">
        <v>7841842</v>
      </c>
      <c r="E52" s="181">
        <v>7641403</v>
      </c>
      <c r="F52" s="180">
        <f t="shared" si="0"/>
        <v>6510292</v>
      </c>
      <c r="G52" s="178">
        <f>IF($C$23="1st Estimate",'[1]GA Rates'!N15,IF($C$23="2nd Estimate",'[1]GA Rates'!O15,IF($C$23="Actual",'[1]GA Rates'!P15,0)))</f>
        <v>0.10594000000000001</v>
      </c>
      <c r="H52" s="216">
        <f t="shared" si="1"/>
        <v>689700.33448000008</v>
      </c>
      <c r="I52" s="178">
        <f>'[1]GA Rates'!P15</f>
        <v>8.7080000000000005E-2</v>
      </c>
      <c r="J52" s="215">
        <f t="shared" si="2"/>
        <v>566916.22736000002</v>
      </c>
      <c r="K52" s="214">
        <f t="shared" si="3"/>
        <v>-122784.10712000006</v>
      </c>
      <c r="N52" s="39"/>
      <c r="O52" s="39"/>
      <c r="P52" s="39"/>
      <c r="Q52" s="39"/>
      <c r="R52" s="39"/>
      <c r="S52" s="39"/>
      <c r="T52" s="39"/>
      <c r="U52" s="39"/>
      <c r="V52" s="39"/>
      <c r="W52" s="39"/>
    </row>
    <row r="53" spans="2:23" s="83" customFormat="1" ht="28.8" thickBot="1" x14ac:dyDescent="0.35">
      <c r="B53" s="175" t="s">
        <v>173</v>
      </c>
      <c r="C53" s="174">
        <f>SUM(C41:C52)</f>
        <v>69696323</v>
      </c>
      <c r="D53" s="174">
        <f>SUM(D41:D52)</f>
        <v>72104422</v>
      </c>
      <c r="E53" s="174">
        <f>SUM(E41:E52)</f>
        <v>73875296</v>
      </c>
      <c r="F53" s="174">
        <f>SUM(F41:F52)</f>
        <v>71467197</v>
      </c>
      <c r="G53" s="173"/>
      <c r="H53" s="213">
        <f>SUM(H41:H52)</f>
        <v>7011896.5823599994</v>
      </c>
      <c r="I53" s="173"/>
      <c r="J53" s="213">
        <f>SUM(J41:J52)</f>
        <v>6936190.6419799989</v>
      </c>
      <c r="K53" s="212">
        <f>SUM(K41:K52)</f>
        <v>-75705.940379999985</v>
      </c>
      <c r="N53" s="39"/>
      <c r="O53" s="39"/>
      <c r="P53" s="39"/>
      <c r="Q53" s="39"/>
      <c r="R53" s="39"/>
      <c r="S53" s="39"/>
      <c r="T53" s="39"/>
      <c r="U53" s="39"/>
      <c r="V53" s="39"/>
      <c r="W53" s="39"/>
    </row>
    <row r="54" spans="2:23" s="83" customFormat="1" thickBot="1" x14ac:dyDescent="0.3">
      <c r="G54" s="115"/>
      <c r="H54" s="115"/>
      <c r="I54" s="115"/>
      <c r="J54" s="170"/>
      <c r="K54" s="211"/>
      <c r="O54" s="119"/>
      <c r="P54" s="119"/>
      <c r="Q54" s="119"/>
      <c r="R54" s="119"/>
      <c r="S54" s="119"/>
      <c r="T54" s="119"/>
      <c r="U54" s="119"/>
      <c r="V54" s="119"/>
      <c r="W54" s="119"/>
    </row>
    <row r="55" spans="2:23" s="83" customFormat="1" ht="55.8" x14ac:dyDescent="0.3">
      <c r="B55" s="125"/>
      <c r="C55" s="169"/>
      <c r="D55" s="169"/>
      <c r="E55" s="169"/>
      <c r="F55" s="169"/>
      <c r="G55" s="168" t="s">
        <v>172</v>
      </c>
      <c r="H55" s="167" t="s">
        <v>171</v>
      </c>
      <c r="I55" s="166" t="s">
        <v>170</v>
      </c>
      <c r="J55" s="165" t="s">
        <v>169</v>
      </c>
      <c r="K55" s="164" t="s">
        <v>168</v>
      </c>
      <c r="N55" s="39"/>
      <c r="O55" s="39"/>
      <c r="P55" s="39"/>
      <c r="Q55" s="39"/>
      <c r="R55" s="39"/>
      <c r="S55" s="39"/>
      <c r="T55" s="39"/>
      <c r="U55" s="39"/>
      <c r="V55" s="39"/>
      <c r="W55" s="39"/>
    </row>
    <row r="56" spans="2:23" s="83" customFormat="1" ht="13.8" x14ac:dyDescent="0.25">
      <c r="G56" s="163" t="s">
        <v>167</v>
      </c>
      <c r="H56" s="162" t="s">
        <v>166</v>
      </c>
      <c r="I56" s="161" t="s">
        <v>165</v>
      </c>
      <c r="J56" s="160" t="s">
        <v>164</v>
      </c>
      <c r="K56" s="159" t="s">
        <v>163</v>
      </c>
      <c r="O56" s="119"/>
      <c r="P56" s="119"/>
      <c r="Q56" s="119"/>
      <c r="R56" s="119"/>
      <c r="S56" s="119"/>
      <c r="T56" s="119"/>
      <c r="U56" s="119"/>
      <c r="V56" s="119"/>
      <c r="W56" s="119"/>
    </row>
    <row r="57" spans="2:23" s="83" customFormat="1" thickBot="1" x14ac:dyDescent="0.3">
      <c r="G57" s="158">
        <v>72827375.450985819</v>
      </c>
      <c r="H57" s="157">
        <f>F53</f>
        <v>71467197</v>
      </c>
      <c r="I57" s="157">
        <f>G57-H57</f>
        <v>1360178.4509858191</v>
      </c>
      <c r="J57" s="156">
        <v>8.7636662868558798E-2</v>
      </c>
      <c r="K57" s="155">
        <f>I57*J57</f>
        <v>119201.50035012276</v>
      </c>
      <c r="O57" s="119"/>
      <c r="P57" s="119"/>
      <c r="Q57" s="119"/>
      <c r="R57" s="119"/>
      <c r="S57" s="119"/>
      <c r="T57" s="119"/>
      <c r="U57" s="119"/>
      <c r="V57" s="119"/>
      <c r="W57" s="119"/>
    </row>
    <row r="58" spans="2:23" s="83" customFormat="1" ht="35.700000000000003" customHeight="1" x14ac:dyDescent="0.25">
      <c r="G58" s="308" t="s">
        <v>162</v>
      </c>
      <c r="H58" s="308"/>
      <c r="I58" s="308"/>
      <c r="J58" s="308"/>
      <c r="K58" s="308"/>
      <c r="O58" s="119"/>
      <c r="P58" s="119"/>
      <c r="Q58" s="119"/>
      <c r="R58" s="119"/>
      <c r="S58" s="119"/>
      <c r="T58" s="119"/>
      <c r="U58" s="119"/>
      <c r="V58" s="119"/>
      <c r="W58" s="119"/>
    </row>
    <row r="59" spans="2:23" s="83" customFormat="1" ht="45.6" customHeight="1" thickBot="1" x14ac:dyDescent="0.3">
      <c r="G59" s="309" t="s">
        <v>161</v>
      </c>
      <c r="H59" s="309"/>
      <c r="I59" s="309"/>
      <c r="J59" s="309"/>
      <c r="K59" s="309"/>
      <c r="O59" s="119"/>
      <c r="P59" s="119"/>
      <c r="Q59" s="119"/>
      <c r="R59" s="119"/>
      <c r="S59" s="119"/>
      <c r="T59" s="119"/>
      <c r="U59" s="119"/>
      <c r="V59" s="119"/>
      <c r="W59" s="119"/>
    </row>
    <row r="60" spans="2:23" s="83" customFormat="1" thickBot="1" x14ac:dyDescent="0.3">
      <c r="G60" s="154"/>
      <c r="H60" s="153"/>
      <c r="I60" s="152"/>
      <c r="J60" s="151" t="s">
        <v>160</v>
      </c>
      <c r="K60" s="150">
        <f>K53+K57</f>
        <v>43495.559970122777</v>
      </c>
      <c r="O60" s="119"/>
      <c r="P60" s="119"/>
      <c r="Q60" s="119"/>
      <c r="R60" s="119"/>
      <c r="S60" s="119"/>
      <c r="T60" s="119"/>
      <c r="U60" s="119"/>
      <c r="V60" s="119"/>
      <c r="W60" s="119"/>
    </row>
    <row r="61" spans="2:23" s="83" customFormat="1" x14ac:dyDescent="0.3">
      <c r="G61" s="115"/>
      <c r="H61" s="39"/>
      <c r="I61" s="39"/>
      <c r="J61" s="39"/>
      <c r="K61" s="39"/>
      <c r="O61" s="119"/>
      <c r="P61" s="119"/>
      <c r="Q61" s="119"/>
      <c r="R61" s="119"/>
      <c r="S61" s="119"/>
      <c r="T61" s="119"/>
      <c r="U61" s="119"/>
      <c r="V61" s="119"/>
      <c r="W61" s="119"/>
    </row>
    <row r="62" spans="2:23" s="83" customFormat="1" x14ac:dyDescent="0.3">
      <c r="G62" s="115"/>
      <c r="H62" s="39"/>
      <c r="I62" s="39"/>
      <c r="J62" s="39"/>
      <c r="K62" s="39"/>
      <c r="O62" s="119"/>
      <c r="P62" s="119"/>
      <c r="Q62" s="119"/>
      <c r="R62" s="119"/>
      <c r="S62" s="119"/>
      <c r="T62" s="119"/>
      <c r="U62" s="119"/>
      <c r="V62" s="119"/>
      <c r="W62" s="119"/>
    </row>
    <row r="63" spans="2:23" s="83" customFormat="1" x14ac:dyDescent="0.3">
      <c r="G63" s="115"/>
      <c r="H63" s="39"/>
      <c r="I63" s="39"/>
      <c r="J63" s="39"/>
      <c r="K63" s="39"/>
      <c r="O63" s="119"/>
      <c r="P63" s="119"/>
      <c r="Q63" s="119"/>
      <c r="R63" s="119"/>
      <c r="S63" s="119"/>
      <c r="T63" s="119"/>
      <c r="U63" s="119"/>
      <c r="V63" s="119"/>
      <c r="W63" s="119"/>
    </row>
    <row r="64" spans="2:23" s="83" customFormat="1" ht="13.8" x14ac:dyDescent="0.25">
      <c r="G64" s="115"/>
      <c r="H64" s="300"/>
      <c r="I64" s="300"/>
      <c r="J64" s="300"/>
      <c r="K64" s="210"/>
      <c r="O64" s="119"/>
      <c r="P64" s="119"/>
      <c r="Q64" s="119"/>
      <c r="R64" s="119"/>
      <c r="S64" s="119"/>
      <c r="T64" s="119"/>
      <c r="U64" s="119"/>
      <c r="V64" s="119"/>
      <c r="W64" s="119"/>
    </row>
    <row r="65" spans="1:23" s="83" customFormat="1" ht="13.8" x14ac:dyDescent="0.25">
      <c r="H65" s="310" t="s">
        <v>159</v>
      </c>
      <c r="I65" s="310"/>
      <c r="J65" s="310"/>
      <c r="K65" s="146">
        <f>IFERROR(F53/D18,0)</f>
        <v>1.0535235420594165</v>
      </c>
      <c r="O65" s="119"/>
      <c r="P65" s="119"/>
      <c r="Q65" s="119"/>
      <c r="R65" s="119"/>
      <c r="S65" s="119"/>
      <c r="T65" s="119"/>
      <c r="U65" s="119"/>
      <c r="V65" s="119"/>
      <c r="W65" s="119"/>
    </row>
    <row r="66" spans="1:23" s="83" customFormat="1" ht="29.25" customHeight="1" x14ac:dyDescent="0.25">
      <c r="H66" s="310" t="s">
        <v>158</v>
      </c>
      <c r="I66" s="310"/>
      <c r="J66" s="310"/>
      <c r="K66" s="148">
        <v>1.0457000000000001</v>
      </c>
      <c r="O66" s="119"/>
      <c r="P66" s="119"/>
      <c r="Q66" s="119"/>
      <c r="R66" s="119"/>
      <c r="S66" s="119"/>
      <c r="T66" s="119"/>
      <c r="U66" s="119"/>
      <c r="V66" s="119"/>
      <c r="W66" s="119"/>
    </row>
    <row r="67" spans="1:23" s="83" customFormat="1" ht="13.8" x14ac:dyDescent="0.25">
      <c r="H67" s="310" t="s">
        <v>25</v>
      </c>
      <c r="I67" s="310"/>
      <c r="J67" s="310"/>
      <c r="K67" s="146">
        <f>K65-K66</f>
        <v>7.8235420594163774E-3</v>
      </c>
      <c r="O67" s="119"/>
      <c r="P67" s="119"/>
      <c r="Q67" s="119"/>
      <c r="R67" s="119"/>
      <c r="S67" s="119"/>
      <c r="T67" s="119"/>
      <c r="U67" s="119"/>
      <c r="V67" s="119"/>
      <c r="W67" s="119"/>
    </row>
    <row r="68" spans="1:23" s="83" customFormat="1" thickBot="1" x14ac:dyDescent="0.3">
      <c r="B68" s="109" t="s">
        <v>157</v>
      </c>
      <c r="H68" s="147"/>
      <c r="I68" s="147"/>
      <c r="J68" s="147"/>
      <c r="K68" s="146"/>
      <c r="O68" s="119"/>
      <c r="P68" s="119"/>
      <c r="Q68" s="119"/>
      <c r="R68" s="119"/>
      <c r="S68" s="119"/>
      <c r="T68" s="119"/>
      <c r="U68" s="119"/>
      <c r="V68" s="119"/>
      <c r="W68" s="119"/>
    </row>
    <row r="69" spans="1:23" s="83" customFormat="1" thickBot="1" x14ac:dyDescent="0.3">
      <c r="B69" s="311"/>
      <c r="C69" s="312"/>
      <c r="D69" s="313"/>
      <c r="F69" s="109" t="s">
        <v>156</v>
      </c>
      <c r="H69" s="147"/>
      <c r="I69" s="147"/>
      <c r="J69" s="147"/>
      <c r="K69" s="146"/>
      <c r="O69" s="119"/>
      <c r="P69" s="119"/>
      <c r="Q69" s="119"/>
      <c r="R69" s="119"/>
      <c r="S69" s="119"/>
      <c r="T69" s="119"/>
      <c r="U69" s="119"/>
      <c r="V69" s="119"/>
      <c r="W69" s="119"/>
    </row>
    <row r="70" spans="1:23" s="83" customFormat="1" ht="15" customHeight="1" x14ac:dyDescent="0.25">
      <c r="B70" s="314"/>
      <c r="C70" s="315"/>
      <c r="D70" s="316"/>
      <c r="F70" s="311"/>
      <c r="G70" s="312"/>
      <c r="H70" s="312"/>
      <c r="I70" s="312"/>
      <c r="J70" s="312"/>
      <c r="K70" s="313"/>
      <c r="O70" s="119"/>
      <c r="P70" s="119"/>
      <c r="Q70" s="119"/>
      <c r="R70" s="119"/>
      <c r="S70" s="119"/>
      <c r="T70" s="119"/>
      <c r="U70" s="119"/>
      <c r="V70" s="119"/>
      <c r="W70" s="119"/>
    </row>
    <row r="71" spans="1:23" s="83" customFormat="1" ht="15" customHeight="1" x14ac:dyDescent="0.25">
      <c r="B71" s="314"/>
      <c r="C71" s="315"/>
      <c r="D71" s="316"/>
      <c r="F71" s="314"/>
      <c r="G71" s="315"/>
      <c r="H71" s="315"/>
      <c r="I71" s="315"/>
      <c r="J71" s="315"/>
      <c r="K71" s="316"/>
      <c r="O71" s="119"/>
      <c r="P71" s="119"/>
      <c r="Q71" s="119"/>
      <c r="R71" s="119"/>
      <c r="S71" s="119"/>
      <c r="T71" s="119"/>
      <c r="U71" s="119"/>
      <c r="V71" s="119"/>
      <c r="W71" s="119"/>
    </row>
    <row r="72" spans="1:23" s="83" customFormat="1" ht="15" customHeight="1" x14ac:dyDescent="0.25">
      <c r="B72" s="314"/>
      <c r="C72" s="315"/>
      <c r="D72" s="316"/>
      <c r="F72" s="314"/>
      <c r="G72" s="315"/>
      <c r="H72" s="315"/>
      <c r="I72" s="315"/>
      <c r="J72" s="315"/>
      <c r="K72" s="316"/>
      <c r="O72" s="119"/>
      <c r="P72" s="119"/>
      <c r="Q72" s="119"/>
      <c r="R72" s="119"/>
      <c r="S72" s="119"/>
      <c r="T72" s="119"/>
      <c r="U72" s="119"/>
      <c r="V72" s="119"/>
      <c r="W72" s="119"/>
    </row>
    <row r="73" spans="1:23" s="83" customFormat="1" ht="15" customHeight="1" x14ac:dyDescent="0.25">
      <c r="B73" s="314"/>
      <c r="C73" s="315"/>
      <c r="D73" s="316"/>
      <c r="F73" s="314"/>
      <c r="G73" s="315"/>
      <c r="H73" s="315"/>
      <c r="I73" s="315"/>
      <c r="J73" s="315"/>
      <c r="K73" s="316"/>
      <c r="O73" s="119"/>
      <c r="P73" s="119"/>
      <c r="Q73" s="119"/>
      <c r="R73" s="119"/>
      <c r="S73" s="119"/>
      <c r="T73" s="119"/>
      <c r="U73" s="119"/>
      <c r="V73" s="119"/>
      <c r="W73" s="119"/>
    </row>
    <row r="74" spans="1:23" s="83" customFormat="1" ht="15" customHeight="1" x14ac:dyDescent="0.25">
      <c r="B74" s="314"/>
      <c r="C74" s="315"/>
      <c r="D74" s="316"/>
      <c r="F74" s="314"/>
      <c r="G74" s="315"/>
      <c r="H74" s="315"/>
      <c r="I74" s="315"/>
      <c r="J74" s="315"/>
      <c r="K74" s="316"/>
      <c r="O74" s="119"/>
      <c r="P74" s="119"/>
      <c r="Q74" s="119"/>
      <c r="R74" s="119"/>
      <c r="S74" s="119"/>
      <c r="T74" s="119"/>
      <c r="U74" s="119"/>
      <c r="V74" s="119"/>
      <c r="W74" s="119"/>
    </row>
    <row r="75" spans="1:23" s="83" customFormat="1" ht="15" customHeight="1" thickBot="1" x14ac:dyDescent="0.3">
      <c r="B75" s="317"/>
      <c r="C75" s="318"/>
      <c r="D75" s="319"/>
      <c r="F75" s="317"/>
      <c r="G75" s="318"/>
      <c r="H75" s="318"/>
      <c r="I75" s="318"/>
      <c r="J75" s="318"/>
      <c r="K75" s="319"/>
      <c r="O75" s="119"/>
      <c r="P75" s="119"/>
      <c r="Q75" s="119"/>
      <c r="R75" s="119"/>
      <c r="S75" s="119"/>
      <c r="T75" s="119"/>
      <c r="U75" s="119"/>
      <c r="V75" s="119"/>
      <c r="W75" s="119"/>
    </row>
    <row r="76" spans="1:23" s="83" customFormat="1" ht="31.35" customHeight="1" x14ac:dyDescent="0.25">
      <c r="A76" s="83" t="s">
        <v>155</v>
      </c>
      <c r="B76" s="110" t="s">
        <v>154</v>
      </c>
      <c r="C76" s="109"/>
      <c r="K76" s="144"/>
      <c r="O76" s="119"/>
      <c r="P76" s="119"/>
      <c r="Q76" s="119"/>
      <c r="R76" s="119"/>
      <c r="S76" s="119"/>
      <c r="T76" s="119"/>
      <c r="U76" s="119"/>
      <c r="V76" s="119"/>
      <c r="W76" s="119"/>
    </row>
    <row r="77" spans="1:23" s="83" customFormat="1" ht="13.8" x14ac:dyDescent="0.25">
      <c r="B77" s="85"/>
      <c r="C77" s="109"/>
      <c r="K77" s="143"/>
    </row>
    <row r="78" spans="1:23" s="83" customFormat="1" ht="15" customHeight="1" x14ac:dyDescent="0.25">
      <c r="A78" s="142"/>
      <c r="B78" s="141" t="s">
        <v>153</v>
      </c>
      <c r="C78" s="140" t="s">
        <v>152</v>
      </c>
      <c r="D78" s="296" t="s">
        <v>151</v>
      </c>
      <c r="E78" s="296"/>
      <c r="F78" s="296"/>
      <c r="G78" s="296"/>
      <c r="H78" s="296"/>
      <c r="I78" s="297" t="s">
        <v>150</v>
      </c>
      <c r="J78" s="297"/>
      <c r="K78" s="297"/>
    </row>
    <row r="79" spans="1:23" s="83" customFormat="1" ht="42" customHeight="1" x14ac:dyDescent="0.25">
      <c r="A79" s="298" t="s">
        <v>149</v>
      </c>
      <c r="B79" s="299"/>
      <c r="C79" s="133">
        <f>282741.98</f>
        <v>282741.98</v>
      </c>
      <c r="D79" s="292"/>
      <c r="E79" s="293"/>
      <c r="F79" s="293"/>
      <c r="G79" s="293"/>
      <c r="H79" s="294"/>
      <c r="I79" s="113" t="s">
        <v>148</v>
      </c>
      <c r="J79" s="295" t="s">
        <v>147</v>
      </c>
      <c r="K79" s="295"/>
    </row>
    <row r="80" spans="1:23" s="83" customFormat="1" ht="27.6" x14ac:dyDescent="0.25">
      <c r="A80" s="139" t="s">
        <v>146</v>
      </c>
      <c r="B80" s="138" t="s">
        <v>145</v>
      </c>
      <c r="C80" s="133"/>
      <c r="D80" s="285"/>
      <c r="E80" s="285"/>
      <c r="F80" s="285"/>
      <c r="G80" s="285"/>
      <c r="H80" s="285"/>
      <c r="I80" s="132"/>
      <c r="J80" s="286"/>
      <c r="K80" s="286"/>
    </row>
    <row r="81" spans="1:15" s="83" customFormat="1" ht="27.6" x14ac:dyDescent="0.25">
      <c r="A81" s="139" t="s">
        <v>144</v>
      </c>
      <c r="B81" s="138" t="s">
        <v>143</v>
      </c>
      <c r="C81" s="133">
        <v>-247511.67</v>
      </c>
      <c r="D81" s="289"/>
      <c r="E81" s="290"/>
      <c r="F81" s="290"/>
      <c r="G81" s="290"/>
      <c r="H81" s="291"/>
      <c r="I81" s="132"/>
      <c r="J81" s="286"/>
      <c r="K81" s="286"/>
      <c r="L81" s="115"/>
      <c r="M81" s="115"/>
      <c r="N81" s="115"/>
      <c r="O81" s="115"/>
    </row>
    <row r="82" spans="1:15" s="83" customFormat="1" ht="27.6" x14ac:dyDescent="0.25">
      <c r="A82" s="139" t="s">
        <v>142</v>
      </c>
      <c r="B82" s="138" t="s">
        <v>141</v>
      </c>
      <c r="C82" s="133"/>
      <c r="D82" s="285"/>
      <c r="E82" s="285"/>
      <c r="F82" s="285"/>
      <c r="G82" s="285"/>
      <c r="H82" s="285"/>
      <c r="I82" s="132"/>
      <c r="J82" s="286"/>
      <c r="K82" s="286"/>
      <c r="L82" s="115"/>
      <c r="M82" s="115"/>
      <c r="N82" s="115"/>
      <c r="O82" s="115"/>
    </row>
    <row r="83" spans="1:15" s="83" customFormat="1" ht="27.6" x14ac:dyDescent="0.25">
      <c r="A83" s="139" t="s">
        <v>140</v>
      </c>
      <c r="B83" s="138" t="s">
        <v>139</v>
      </c>
      <c r="C83" s="133"/>
      <c r="D83" s="289"/>
      <c r="E83" s="290"/>
      <c r="F83" s="290"/>
      <c r="G83" s="290"/>
      <c r="H83" s="291"/>
      <c r="I83" s="132"/>
      <c r="J83" s="286"/>
      <c r="K83" s="286"/>
      <c r="L83" s="115"/>
      <c r="M83" s="115"/>
      <c r="N83" s="115"/>
      <c r="O83" s="115"/>
    </row>
    <row r="84" spans="1:15" s="83" customFormat="1" ht="27.6" x14ac:dyDescent="0.25">
      <c r="A84" s="139" t="s">
        <v>138</v>
      </c>
      <c r="B84" s="138" t="s">
        <v>137</v>
      </c>
      <c r="C84" s="133">
        <v>-727</v>
      </c>
      <c r="D84" s="285"/>
      <c r="E84" s="285"/>
      <c r="F84" s="285"/>
      <c r="G84" s="285"/>
      <c r="H84" s="285"/>
      <c r="I84" s="132"/>
      <c r="J84" s="286"/>
      <c r="K84" s="286"/>
      <c r="L84" s="115"/>
      <c r="M84" s="115"/>
      <c r="N84" s="115"/>
      <c r="O84" s="115"/>
    </row>
    <row r="85" spans="1:15" s="83" customFormat="1" ht="27.6" x14ac:dyDescent="0.25">
      <c r="A85" s="139" t="s">
        <v>136</v>
      </c>
      <c r="B85" s="138" t="s">
        <v>135</v>
      </c>
      <c r="C85" s="133">
        <f>-176621.61</f>
        <v>-176621.61</v>
      </c>
      <c r="D85" s="285"/>
      <c r="E85" s="285"/>
      <c r="F85" s="285"/>
      <c r="G85" s="285"/>
      <c r="H85" s="285"/>
      <c r="I85" s="132"/>
      <c r="J85" s="286"/>
      <c r="K85" s="286"/>
      <c r="L85" s="115"/>
      <c r="M85" s="115"/>
      <c r="N85" s="115"/>
      <c r="O85" s="115"/>
    </row>
    <row r="86" spans="1:15" s="83" customFormat="1" ht="33.75" customHeight="1" x14ac:dyDescent="0.25">
      <c r="A86" s="139">
        <v>4</v>
      </c>
      <c r="B86" s="138" t="s">
        <v>134</v>
      </c>
      <c r="C86" s="133"/>
      <c r="D86" s="285"/>
      <c r="E86" s="285"/>
      <c r="F86" s="285"/>
      <c r="G86" s="285"/>
      <c r="H86" s="285"/>
      <c r="I86" s="132"/>
      <c r="J86" s="286"/>
      <c r="K86" s="286"/>
      <c r="L86" s="115"/>
      <c r="M86" s="115"/>
      <c r="N86" s="115"/>
      <c r="O86" s="115"/>
    </row>
    <row r="87" spans="1:15" s="83" customFormat="1" ht="27.6" x14ac:dyDescent="0.25">
      <c r="A87" s="139">
        <v>5</v>
      </c>
      <c r="B87" s="138" t="s">
        <v>133</v>
      </c>
      <c r="C87" s="133"/>
      <c r="D87" s="285"/>
      <c r="E87" s="285"/>
      <c r="F87" s="285"/>
      <c r="G87" s="285"/>
      <c r="H87" s="285"/>
      <c r="I87" s="132"/>
      <c r="J87" s="286"/>
      <c r="K87" s="286"/>
      <c r="L87" s="115"/>
      <c r="M87" s="115"/>
      <c r="N87" s="115"/>
      <c r="O87" s="115"/>
    </row>
    <row r="88" spans="1:15" s="83" customFormat="1" ht="27.6" x14ac:dyDescent="0.25">
      <c r="A88" s="135">
        <v>6</v>
      </c>
      <c r="B88" s="137" t="s">
        <v>132</v>
      </c>
      <c r="C88" s="133"/>
      <c r="D88" s="285"/>
      <c r="E88" s="285"/>
      <c r="F88" s="285"/>
      <c r="G88" s="285"/>
      <c r="H88" s="285"/>
      <c r="I88" s="132"/>
      <c r="J88" s="286"/>
      <c r="K88" s="286"/>
    </row>
    <row r="89" spans="1:15" s="83" customFormat="1" ht="13.8" x14ac:dyDescent="0.25">
      <c r="A89" s="135">
        <v>7</v>
      </c>
      <c r="B89" s="136" t="s">
        <v>131</v>
      </c>
      <c r="C89" s="133"/>
      <c r="D89" s="285"/>
      <c r="E89" s="285"/>
      <c r="F89" s="285"/>
      <c r="G89" s="285"/>
      <c r="H89" s="285"/>
      <c r="I89" s="132"/>
      <c r="J89" s="286"/>
      <c r="K89" s="286"/>
    </row>
    <row r="90" spans="1:15" s="83" customFormat="1" ht="13.8" x14ac:dyDescent="0.25">
      <c r="A90" s="135">
        <v>8</v>
      </c>
      <c r="B90" s="136" t="s">
        <v>130</v>
      </c>
      <c r="C90" s="133">
        <v>-59952</v>
      </c>
      <c r="D90" s="285" t="s">
        <v>215</v>
      </c>
      <c r="E90" s="285"/>
      <c r="F90" s="285"/>
      <c r="G90" s="285"/>
      <c r="H90" s="285"/>
      <c r="I90" s="132"/>
      <c r="J90" s="286"/>
      <c r="K90" s="286"/>
    </row>
    <row r="91" spans="1:15" s="83" customFormat="1" ht="13.8" x14ac:dyDescent="0.25">
      <c r="A91" s="135">
        <v>9</v>
      </c>
      <c r="B91" s="134"/>
      <c r="C91" s="133"/>
      <c r="D91" s="289"/>
      <c r="E91" s="290"/>
      <c r="F91" s="290"/>
      <c r="G91" s="290"/>
      <c r="H91" s="291"/>
      <c r="I91" s="132"/>
      <c r="J91" s="286"/>
      <c r="K91" s="286"/>
    </row>
    <row r="92" spans="1:15" s="83" customFormat="1" ht="13.8" x14ac:dyDescent="0.25">
      <c r="A92" s="135">
        <v>10</v>
      </c>
      <c r="B92" s="134"/>
      <c r="C92" s="133"/>
      <c r="D92" s="285"/>
      <c r="E92" s="285"/>
      <c r="F92" s="285"/>
      <c r="G92" s="285"/>
      <c r="H92" s="285"/>
      <c r="I92" s="132"/>
      <c r="J92" s="286"/>
      <c r="K92" s="286"/>
    </row>
    <row r="93" spans="1:15" s="83" customFormat="1" ht="13.8" x14ac:dyDescent="0.25">
      <c r="A93" s="131"/>
      <c r="B93" s="131"/>
      <c r="C93" s="131"/>
      <c r="D93" s="131"/>
      <c r="E93" s="131"/>
      <c r="F93" s="131"/>
      <c r="G93" s="131"/>
      <c r="H93" s="287"/>
      <c r="I93" s="288"/>
      <c r="J93" s="288"/>
      <c r="K93" s="206"/>
    </row>
    <row r="94" spans="1:15" s="83" customFormat="1" ht="13.8" x14ac:dyDescent="0.25">
      <c r="A94" s="83" t="s">
        <v>129</v>
      </c>
      <c r="B94" s="130" t="s">
        <v>128</v>
      </c>
      <c r="C94" s="209">
        <f>SUM(C79:C92)</f>
        <v>-202070.30000000002</v>
      </c>
      <c r="D94" s="207"/>
      <c r="E94" s="207"/>
      <c r="F94" s="207"/>
      <c r="G94" s="207"/>
    </row>
    <row r="95" spans="1:15" s="83" customFormat="1" ht="27.6" x14ac:dyDescent="0.25">
      <c r="B95" s="125" t="s">
        <v>127</v>
      </c>
      <c r="C95" s="208">
        <f>K60</f>
        <v>43495.559970122777</v>
      </c>
      <c r="D95" s="207"/>
      <c r="E95" s="207"/>
      <c r="F95" s="207"/>
      <c r="G95" s="207"/>
    </row>
    <row r="96" spans="1:15" s="83" customFormat="1" ht="13.8" x14ac:dyDescent="0.25">
      <c r="B96" s="125" t="s">
        <v>126</v>
      </c>
      <c r="C96" s="206">
        <f>C94-C95</f>
        <v>-245565.85997012281</v>
      </c>
    </row>
    <row r="97" spans="2:7" s="83" customFormat="1" ht="28.2" thickBot="1" x14ac:dyDescent="0.3">
      <c r="B97" s="125" t="s">
        <v>125</v>
      </c>
      <c r="C97" s="124">
        <f>IF(ISERROR(C96/J53),0,C96/J53)</f>
        <v>-3.5403562653523575E-2</v>
      </c>
      <c r="D97" s="86" t="str">
        <f>IF(AND(C97&lt;0.01,C97&gt;-0.01),"","Unresolved differences of greater than + or - 1% should be explained")</f>
        <v>Unresolved differences of greater than + or - 1% should be explained</v>
      </c>
      <c r="F97" s="115"/>
    </row>
    <row r="98" spans="2:7" s="83" customFormat="1" thickTop="1" x14ac:dyDescent="0.25">
      <c r="B98" s="109"/>
      <c r="C98" s="205"/>
      <c r="D98" s="123"/>
      <c r="G98" s="115"/>
    </row>
    <row r="99" spans="2:7" s="83" customFormat="1" ht="13.8" x14ac:dyDescent="0.25">
      <c r="B99" s="109"/>
      <c r="C99" s="205"/>
      <c r="D99" s="121"/>
    </row>
    <row r="100" spans="2:7" s="83" customFormat="1" ht="13.8" x14ac:dyDescent="0.25"/>
    <row r="101" spans="2:7" s="83" customFormat="1" ht="13.8" x14ac:dyDescent="0.25"/>
  </sheetData>
  <mergeCells count="45">
    <mergeCell ref="D78:H78"/>
    <mergeCell ref="I78:K78"/>
    <mergeCell ref="A79:B79"/>
    <mergeCell ref="H64:J64"/>
    <mergeCell ref="B13:C13"/>
    <mergeCell ref="E13:F13"/>
    <mergeCell ref="B19:H19"/>
    <mergeCell ref="B25:F25"/>
    <mergeCell ref="B27:F27"/>
    <mergeCell ref="G58:K58"/>
    <mergeCell ref="G59:K59"/>
    <mergeCell ref="H65:J65"/>
    <mergeCell ref="H66:J66"/>
    <mergeCell ref="H67:J67"/>
    <mergeCell ref="B69:D75"/>
    <mergeCell ref="F70:K75"/>
    <mergeCell ref="D79:H79"/>
    <mergeCell ref="J79:K79"/>
    <mergeCell ref="D80:H80"/>
    <mergeCell ref="J80:K80"/>
    <mergeCell ref="D82:H82"/>
    <mergeCell ref="J82:K82"/>
    <mergeCell ref="D81:H81"/>
    <mergeCell ref="J81:K81"/>
    <mergeCell ref="D83:H83"/>
    <mergeCell ref="J83:K83"/>
    <mergeCell ref="D84:H84"/>
    <mergeCell ref="J84:K84"/>
    <mergeCell ref="D85:H85"/>
    <mergeCell ref="J85:K85"/>
    <mergeCell ref="D86:H86"/>
    <mergeCell ref="J86:K86"/>
    <mergeCell ref="D87:H87"/>
    <mergeCell ref="J87:K87"/>
    <mergeCell ref="D88:H88"/>
    <mergeCell ref="J88:K88"/>
    <mergeCell ref="D92:H92"/>
    <mergeCell ref="J92:K92"/>
    <mergeCell ref="H93:J93"/>
    <mergeCell ref="D89:H89"/>
    <mergeCell ref="J89:K89"/>
    <mergeCell ref="D90:H90"/>
    <mergeCell ref="J90:K90"/>
    <mergeCell ref="D91:H91"/>
    <mergeCell ref="J91:K91"/>
  </mergeCells>
  <dataValidations count="2">
    <dataValidation type="list" allowBlank="1" showInputMessage="1" showErrorMessage="1" sqref="G27 I80:I92 G25" xr:uid="{BE012F41-7033-4E00-8AD3-473A431FE91E}">
      <formula1>"Yes,No"</formula1>
    </dataValidation>
    <dataValidation type="list" sqref="C23" xr:uid="{1320DFD7-2A49-4665-AE82-2CC0ED2959CA}">
      <formula1>"1st Estimate, 2nd Estimate, Actual"</formula1>
    </dataValidation>
  </dataValidation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95"/>
  <sheetViews>
    <sheetView workbookViewId="0">
      <selection activeCell="B29" sqref="B29"/>
    </sheetView>
  </sheetViews>
  <sheetFormatPr defaultRowHeight="14.4" x14ac:dyDescent="0.3"/>
  <cols>
    <col min="1" max="1" width="44.88671875" customWidth="1"/>
    <col min="2" max="5" width="30.6640625" customWidth="1"/>
  </cols>
  <sheetData>
    <row r="1" spans="1:5" x14ac:dyDescent="0.3">
      <c r="A1" s="284" t="s">
        <v>0</v>
      </c>
      <c r="B1" s="284"/>
      <c r="C1" s="284"/>
      <c r="D1" s="284"/>
      <c r="E1" s="49"/>
    </row>
    <row r="2" spans="1:5" x14ac:dyDescent="0.3">
      <c r="A2" s="284" t="s">
        <v>86</v>
      </c>
      <c r="B2" s="284"/>
      <c r="C2" s="284"/>
      <c r="D2" s="284"/>
      <c r="E2" s="49"/>
    </row>
    <row r="3" spans="1:5" x14ac:dyDescent="0.3">
      <c r="A3" s="284">
        <v>2021</v>
      </c>
      <c r="B3" s="284"/>
      <c r="C3" s="284"/>
      <c r="D3" s="284"/>
      <c r="E3" s="49"/>
    </row>
    <row r="4" spans="1:5" ht="15" thickBot="1" x14ac:dyDescent="0.35">
      <c r="A4" s="1"/>
    </row>
    <row r="5" spans="1:5" ht="15" thickBot="1" x14ac:dyDescent="0.35">
      <c r="A5" s="320" t="s">
        <v>78</v>
      </c>
      <c r="B5" s="326"/>
      <c r="C5" s="326"/>
      <c r="D5" s="321"/>
      <c r="E5" s="21"/>
    </row>
    <row r="6" spans="1:5" ht="15" thickBot="1" x14ac:dyDescent="0.35">
      <c r="A6" s="11"/>
      <c r="B6" s="11"/>
      <c r="C6" s="11"/>
      <c r="D6" s="11"/>
      <c r="E6" s="11"/>
    </row>
    <row r="7" spans="1:5" ht="15" thickBot="1" x14ac:dyDescent="0.35">
      <c r="A7" s="320" t="s">
        <v>46</v>
      </c>
      <c r="B7" s="326"/>
      <c r="C7" s="326"/>
      <c r="D7" s="321"/>
      <c r="E7" s="21"/>
    </row>
    <row r="8" spans="1:5" ht="15" thickBot="1" x14ac:dyDescent="0.35">
      <c r="A8" s="29" t="s">
        <v>79</v>
      </c>
      <c r="B8" s="4" t="s">
        <v>44</v>
      </c>
      <c r="C8" s="30">
        <v>43952</v>
      </c>
      <c r="D8" s="30">
        <v>44317</v>
      </c>
      <c r="E8" s="48"/>
    </row>
    <row r="9" spans="1:5" x14ac:dyDescent="0.3">
      <c r="A9" s="16" t="s">
        <v>1</v>
      </c>
      <c r="B9" s="31" t="s">
        <v>2</v>
      </c>
      <c r="C9" s="25">
        <v>8.0000000000000004E-4</v>
      </c>
      <c r="D9" s="25">
        <v>8.0000000000000004E-4</v>
      </c>
      <c r="E9" s="45"/>
    </row>
    <row r="10" spans="1:5" x14ac:dyDescent="0.3">
      <c r="A10" s="16" t="s">
        <v>3</v>
      </c>
      <c r="B10" s="31" t="s">
        <v>2</v>
      </c>
      <c r="C10" s="25">
        <v>6.9999999999999999E-4</v>
      </c>
      <c r="D10" s="25">
        <v>6.9999999999999999E-4</v>
      </c>
      <c r="E10" s="45"/>
    </row>
    <row r="11" spans="1:5" x14ac:dyDescent="0.3">
      <c r="A11" s="16" t="s">
        <v>4</v>
      </c>
      <c r="B11" s="31" t="s">
        <v>45</v>
      </c>
      <c r="C11" s="25">
        <v>0.2787</v>
      </c>
      <c r="D11" s="25">
        <v>0.2787</v>
      </c>
      <c r="E11" s="45"/>
    </row>
    <row r="12" spans="1:5" x14ac:dyDescent="0.3">
      <c r="A12" s="16" t="s">
        <v>6</v>
      </c>
      <c r="B12" s="31" t="s">
        <v>5</v>
      </c>
      <c r="C12" s="25">
        <v>0.22</v>
      </c>
      <c r="D12" s="25">
        <v>0.22</v>
      </c>
      <c r="E12" s="45"/>
    </row>
    <row r="13" spans="1:5" x14ac:dyDescent="0.3">
      <c r="A13" s="16" t="s">
        <v>7</v>
      </c>
      <c r="B13" s="31" t="s">
        <v>5</v>
      </c>
      <c r="C13" s="25">
        <v>0.2155</v>
      </c>
      <c r="D13" s="25">
        <v>0.2155</v>
      </c>
      <c r="E13" s="45"/>
    </row>
    <row r="14" spans="1:5" x14ac:dyDescent="0.3">
      <c r="A14" s="16" t="s">
        <v>8</v>
      </c>
      <c r="B14" s="31" t="s">
        <v>2</v>
      </c>
      <c r="C14" s="25">
        <v>6.9999999999999999E-4</v>
      </c>
      <c r="D14" s="25">
        <v>6.9999999999999999E-4</v>
      </c>
      <c r="E14" s="45"/>
    </row>
    <row r="15" spans="1:5" ht="15" thickBot="1" x14ac:dyDescent="0.35"/>
    <row r="16" spans="1:5" ht="15" thickBot="1" x14ac:dyDescent="0.35">
      <c r="A16" s="320" t="s">
        <v>47</v>
      </c>
      <c r="B16" s="326"/>
      <c r="C16" s="321"/>
      <c r="D16" s="21"/>
      <c r="E16" s="21"/>
    </row>
    <row r="17" spans="1:5" ht="15" thickBot="1" x14ac:dyDescent="0.35">
      <c r="A17" s="29" t="s">
        <v>79</v>
      </c>
      <c r="B17" s="4" t="s">
        <v>44</v>
      </c>
      <c r="C17" s="30">
        <v>44197</v>
      </c>
      <c r="D17" s="43"/>
      <c r="E17" s="43"/>
    </row>
    <row r="18" spans="1:5" x14ac:dyDescent="0.3">
      <c r="A18" s="16" t="s">
        <v>80</v>
      </c>
      <c r="B18" s="32" t="s">
        <v>75</v>
      </c>
      <c r="C18" s="73">
        <v>582.74</v>
      </c>
      <c r="D18" s="44"/>
      <c r="E18" s="45"/>
    </row>
    <row r="19" spans="1:5" s="39" customFormat="1" x14ac:dyDescent="0.3">
      <c r="A19" s="16" t="s">
        <v>81</v>
      </c>
      <c r="B19" s="32" t="s">
        <v>83</v>
      </c>
      <c r="C19" s="73">
        <v>729.56</v>
      </c>
      <c r="D19" s="44"/>
      <c r="E19" s="45"/>
    </row>
    <row r="20" spans="1:5" s="39" customFormat="1" x14ac:dyDescent="0.3">
      <c r="A20" s="16" t="s">
        <v>84</v>
      </c>
      <c r="B20" s="32" t="s">
        <v>85</v>
      </c>
      <c r="C20" s="73">
        <v>1.5335000000000001</v>
      </c>
      <c r="D20" s="44"/>
      <c r="E20" s="45"/>
    </row>
    <row r="21" spans="1:5" s="39" customFormat="1" x14ac:dyDescent="0.3">
      <c r="A21" s="16" t="s">
        <v>82</v>
      </c>
      <c r="B21" s="32" t="s">
        <v>5</v>
      </c>
      <c r="C21" s="73">
        <v>1.6671</v>
      </c>
      <c r="D21" s="44"/>
      <c r="E21" s="44"/>
    </row>
    <row r="22" spans="1:5" s="39" customFormat="1" x14ac:dyDescent="0.3">
      <c r="A22" s="16" t="s">
        <v>89</v>
      </c>
      <c r="B22" s="32" t="s">
        <v>75</v>
      </c>
      <c r="C22" s="73">
        <v>36.18</v>
      </c>
      <c r="D22" s="44"/>
      <c r="E22" s="44"/>
    </row>
    <row r="23" spans="1:5" s="39" customFormat="1" x14ac:dyDescent="0.3">
      <c r="A23" s="16" t="s">
        <v>90</v>
      </c>
      <c r="B23" s="32" t="s">
        <v>75</v>
      </c>
      <c r="C23" s="73">
        <v>-15.7</v>
      </c>
      <c r="D23" s="44"/>
      <c r="E23" s="44"/>
    </row>
    <row r="24" spans="1:5" s="39" customFormat="1" x14ac:dyDescent="0.3">
      <c r="A24" s="16" t="s">
        <v>91</v>
      </c>
      <c r="B24" s="32" t="s">
        <v>85</v>
      </c>
      <c r="C24" s="73">
        <v>5.3999999999999999E-2</v>
      </c>
      <c r="D24" s="44"/>
      <c r="E24" s="44"/>
    </row>
    <row r="25" spans="1:5" s="39" customFormat="1" x14ac:dyDescent="0.3">
      <c r="A25" s="16" t="s">
        <v>87</v>
      </c>
      <c r="B25" s="32" t="s">
        <v>85</v>
      </c>
      <c r="C25" s="73">
        <v>-2779.69</v>
      </c>
      <c r="D25" s="44"/>
      <c r="E25" s="44"/>
    </row>
    <row r="26" spans="1:5" x14ac:dyDescent="0.3">
      <c r="A26" s="16" t="s">
        <v>88</v>
      </c>
      <c r="B26" s="32" t="s">
        <v>85</v>
      </c>
      <c r="C26" s="73">
        <v>2328.0300000000002</v>
      </c>
      <c r="D26" s="44"/>
      <c r="E26" s="44"/>
    </row>
    <row r="27" spans="1:5" ht="15" thickBot="1" x14ac:dyDescent="0.35">
      <c r="A27" s="16"/>
      <c r="B27" s="3"/>
      <c r="C27" s="11"/>
      <c r="D27" s="16"/>
      <c r="E27" s="3"/>
    </row>
    <row r="28" spans="1:5" ht="15" thickBot="1" x14ac:dyDescent="0.35">
      <c r="A28" s="322" t="s">
        <v>48</v>
      </c>
      <c r="B28" s="323"/>
      <c r="C28" s="324"/>
      <c r="D28" s="17"/>
      <c r="E28" s="17"/>
    </row>
    <row r="29" spans="1:5" ht="15" thickBot="1" x14ac:dyDescent="0.35">
      <c r="A29" s="16"/>
      <c r="B29" s="3"/>
      <c r="C29" s="11"/>
      <c r="D29" s="16"/>
      <c r="E29" s="3"/>
    </row>
    <row r="30" spans="1:5" ht="15" thickBot="1" x14ac:dyDescent="0.35">
      <c r="A30" s="322" t="s">
        <v>55</v>
      </c>
      <c r="B30" s="323"/>
      <c r="C30" s="324"/>
      <c r="D30" s="17"/>
      <c r="E30" s="3"/>
    </row>
    <row r="31" spans="1:5" ht="15" thickBot="1" x14ac:dyDescent="0.35">
      <c r="A31" s="46" t="s">
        <v>49</v>
      </c>
      <c r="B31" s="46" t="s">
        <v>44</v>
      </c>
      <c r="C31" s="46">
        <v>2021</v>
      </c>
      <c r="D31" s="20"/>
      <c r="E31" s="11"/>
    </row>
    <row r="32" spans="1:5" x14ac:dyDescent="0.3">
      <c r="A32" s="16" t="s">
        <v>1</v>
      </c>
      <c r="B32" s="31" t="s">
        <v>2</v>
      </c>
      <c r="C32" s="72">
        <v>85333074</v>
      </c>
      <c r="D32" s="47"/>
      <c r="E32" s="11"/>
    </row>
    <row r="33" spans="1:5" x14ac:dyDescent="0.3">
      <c r="A33" s="16" t="s">
        <v>3</v>
      </c>
      <c r="B33" s="31" t="s">
        <v>2</v>
      </c>
      <c r="C33" s="72">
        <v>27003039</v>
      </c>
      <c r="D33" s="47"/>
      <c r="E33" s="11"/>
    </row>
    <row r="34" spans="1:5" x14ac:dyDescent="0.3">
      <c r="A34" s="16" t="s">
        <v>4</v>
      </c>
      <c r="B34" s="31" t="s">
        <v>45</v>
      </c>
      <c r="C34" s="72">
        <v>188052.4</v>
      </c>
      <c r="D34" s="47"/>
      <c r="E34" s="11"/>
    </row>
    <row r="35" spans="1:5" x14ac:dyDescent="0.3">
      <c r="A35" s="16" t="s">
        <v>6</v>
      </c>
      <c r="B35" s="31" t="s">
        <v>5</v>
      </c>
      <c r="C35" s="72">
        <v>511.5</v>
      </c>
      <c r="D35" s="47"/>
      <c r="E35" s="11"/>
    </row>
    <row r="36" spans="1:5" x14ac:dyDescent="0.3">
      <c r="A36" s="16" t="s">
        <v>7</v>
      </c>
      <c r="B36" s="31" t="s">
        <v>5</v>
      </c>
      <c r="C36" s="72">
        <v>2822.7</v>
      </c>
      <c r="D36" s="47"/>
      <c r="E36" s="11"/>
    </row>
    <row r="37" spans="1:5" x14ac:dyDescent="0.3">
      <c r="A37" s="16" t="s">
        <v>8</v>
      </c>
      <c r="B37" s="31" t="s">
        <v>2</v>
      </c>
      <c r="C37" s="72">
        <v>613644</v>
      </c>
      <c r="D37" s="47"/>
      <c r="E37" s="11"/>
    </row>
    <row r="38" spans="1:5" ht="15" thickBot="1" x14ac:dyDescent="0.35">
      <c r="A38" s="16"/>
      <c r="B38" s="31"/>
      <c r="C38" s="34"/>
      <c r="D38" s="34"/>
      <c r="E38" s="11"/>
    </row>
    <row r="39" spans="1:5" ht="15" thickBot="1" x14ac:dyDescent="0.35">
      <c r="A39" s="322" t="s">
        <v>56</v>
      </c>
      <c r="B39" s="323"/>
      <c r="C39" s="324"/>
      <c r="D39" s="17"/>
      <c r="E39" s="3"/>
    </row>
    <row r="40" spans="1:5" ht="15" thickBot="1" x14ac:dyDescent="0.35">
      <c r="A40" s="46" t="s">
        <v>49</v>
      </c>
      <c r="B40" s="46" t="s">
        <v>44</v>
      </c>
      <c r="C40" s="46">
        <v>2021</v>
      </c>
      <c r="D40" s="20"/>
      <c r="E40" s="11"/>
    </row>
    <row r="41" spans="1:5" x14ac:dyDescent="0.3">
      <c r="A41" s="16" t="s">
        <v>1</v>
      </c>
      <c r="B41" s="31" t="s">
        <v>2</v>
      </c>
      <c r="C41" s="34">
        <f>ROUND(C32*1.0457,2)</f>
        <v>89232795.480000004</v>
      </c>
      <c r="D41" s="47"/>
      <c r="E41" s="11"/>
    </row>
    <row r="42" spans="1:5" x14ac:dyDescent="0.3">
      <c r="A42" s="16" t="s">
        <v>3</v>
      </c>
      <c r="B42" s="31" t="s">
        <v>2</v>
      </c>
      <c r="C42" s="34">
        <f t="shared" ref="C42:C46" si="0">ROUND(C33*1.0457,2)</f>
        <v>28237077.879999999</v>
      </c>
      <c r="D42" s="47"/>
      <c r="E42" s="11"/>
    </row>
    <row r="43" spans="1:5" x14ac:dyDescent="0.3">
      <c r="A43" s="16" t="s">
        <v>4</v>
      </c>
      <c r="B43" s="31" t="s">
        <v>45</v>
      </c>
      <c r="C43" s="34">
        <f t="shared" si="0"/>
        <v>196646.39</v>
      </c>
      <c r="D43" s="47"/>
      <c r="E43" s="11"/>
    </row>
    <row r="44" spans="1:5" x14ac:dyDescent="0.3">
      <c r="A44" s="16" t="s">
        <v>6</v>
      </c>
      <c r="B44" s="31" t="s">
        <v>5</v>
      </c>
      <c r="C44" s="34">
        <f t="shared" si="0"/>
        <v>534.88</v>
      </c>
      <c r="D44" s="47"/>
      <c r="E44" s="11"/>
    </row>
    <row r="45" spans="1:5" x14ac:dyDescent="0.3">
      <c r="A45" s="16" t="s">
        <v>7</v>
      </c>
      <c r="B45" s="31" t="s">
        <v>5</v>
      </c>
      <c r="C45" s="34">
        <f t="shared" si="0"/>
        <v>2951.7</v>
      </c>
      <c r="D45" s="47"/>
      <c r="E45" s="11"/>
    </row>
    <row r="46" spans="1:5" x14ac:dyDescent="0.3">
      <c r="A46" s="16" t="s">
        <v>8</v>
      </c>
      <c r="B46" s="31" t="s">
        <v>2</v>
      </c>
      <c r="C46" s="34">
        <f t="shared" si="0"/>
        <v>641687.53</v>
      </c>
      <c r="D46" s="47"/>
      <c r="E46" s="11"/>
    </row>
    <row r="47" spans="1:5" ht="15" thickBot="1" x14ac:dyDescent="0.35">
      <c r="A47" s="11"/>
      <c r="B47" s="11"/>
      <c r="C47" s="11"/>
      <c r="D47" s="11"/>
      <c r="E47" s="11"/>
    </row>
    <row r="48" spans="1:5" ht="15" thickBot="1" x14ac:dyDescent="0.35">
      <c r="A48" s="322" t="s">
        <v>54</v>
      </c>
      <c r="B48" s="324"/>
      <c r="C48" s="17"/>
      <c r="D48" s="17"/>
      <c r="E48" s="11"/>
    </row>
    <row r="49" spans="1:5" ht="15" thickBot="1" x14ac:dyDescent="0.35">
      <c r="A49" s="4" t="s">
        <v>49</v>
      </c>
      <c r="B49" s="4">
        <v>2021</v>
      </c>
      <c r="C49" s="50"/>
      <c r="D49" s="50"/>
      <c r="E49" s="39"/>
    </row>
    <row r="50" spans="1:5" x14ac:dyDescent="0.3">
      <c r="A50" s="16" t="s">
        <v>1</v>
      </c>
      <c r="B50" s="33">
        <f t="shared" ref="B50:B55" si="1">ROUND(((C9/12*4)+(D9/12*8))*C41,2)</f>
        <v>71386.240000000005</v>
      </c>
      <c r="C50" s="47"/>
      <c r="D50" s="51"/>
      <c r="E50" s="39"/>
    </row>
    <row r="51" spans="1:5" x14ac:dyDescent="0.3">
      <c r="A51" s="16" t="s">
        <v>3</v>
      </c>
      <c r="B51" s="33">
        <f t="shared" si="1"/>
        <v>19765.95</v>
      </c>
      <c r="C51" s="47"/>
      <c r="D51" s="51"/>
      <c r="E51" s="39"/>
    </row>
    <row r="52" spans="1:5" x14ac:dyDescent="0.3">
      <c r="A52" s="16" t="s">
        <v>4</v>
      </c>
      <c r="B52" s="33">
        <f t="shared" si="1"/>
        <v>54805.35</v>
      </c>
      <c r="C52" s="47"/>
      <c r="D52" s="51"/>
      <c r="E52" s="39"/>
    </row>
    <row r="53" spans="1:5" x14ac:dyDescent="0.3">
      <c r="A53" s="16" t="s">
        <v>6</v>
      </c>
      <c r="B53" s="33">
        <f t="shared" si="1"/>
        <v>117.67</v>
      </c>
      <c r="C53" s="47"/>
      <c r="D53" s="51"/>
      <c r="E53" s="39"/>
    </row>
    <row r="54" spans="1:5" x14ac:dyDescent="0.3">
      <c r="A54" s="16" t="s">
        <v>7</v>
      </c>
      <c r="B54" s="33">
        <f t="shared" si="1"/>
        <v>636.09</v>
      </c>
      <c r="C54" s="47"/>
      <c r="D54" s="51"/>
      <c r="E54" s="39"/>
    </row>
    <row r="55" spans="1:5" x14ac:dyDescent="0.3">
      <c r="A55" s="16" t="s">
        <v>8</v>
      </c>
      <c r="B55" s="5">
        <f t="shared" si="1"/>
        <v>449.18</v>
      </c>
      <c r="C55" s="47"/>
      <c r="D55" s="51"/>
      <c r="E55" s="39"/>
    </row>
    <row r="56" spans="1:5" x14ac:dyDescent="0.3">
      <c r="A56" s="39"/>
      <c r="B56" s="39"/>
      <c r="C56" s="52"/>
      <c r="D56" s="52"/>
      <c r="E56" s="39"/>
    </row>
    <row r="57" spans="1:5" x14ac:dyDescent="0.3">
      <c r="A57" s="16" t="s">
        <v>50</v>
      </c>
      <c r="B57" s="33">
        <f>SUM(B50:B55)</f>
        <v>147160.48000000001</v>
      </c>
      <c r="C57" s="47"/>
      <c r="D57" s="47"/>
      <c r="E57" s="39"/>
    </row>
    <row r="58" spans="1:5" x14ac:dyDescent="0.3">
      <c r="A58" s="16" t="s">
        <v>51</v>
      </c>
      <c r="B58" s="28">
        <v>144386.60999999999</v>
      </c>
      <c r="C58" s="47"/>
      <c r="D58" s="51"/>
      <c r="E58" s="39"/>
    </row>
    <row r="59" spans="1:5" x14ac:dyDescent="0.3">
      <c r="A59" s="39"/>
      <c r="B59" s="39"/>
      <c r="C59" s="52"/>
      <c r="D59" s="52"/>
      <c r="E59" s="39"/>
    </row>
    <row r="60" spans="1:5" ht="15" thickBot="1" x14ac:dyDescent="0.35">
      <c r="A60" s="16" t="s">
        <v>52</v>
      </c>
      <c r="B60" s="35">
        <f>B57-B58</f>
        <v>2773.8700000000244</v>
      </c>
      <c r="C60" s="51"/>
      <c r="D60" s="51"/>
      <c r="E60" s="39"/>
    </row>
    <row r="61" spans="1:5" ht="15" thickBot="1" x14ac:dyDescent="0.35">
      <c r="A61" s="16" t="s">
        <v>53</v>
      </c>
      <c r="B61" s="36">
        <f>B60/B58</f>
        <v>1.9211407484392248E-2</v>
      </c>
      <c r="C61" s="53"/>
      <c r="D61" s="53"/>
      <c r="E61" s="39"/>
    </row>
    <row r="62" spans="1:5" x14ac:dyDescent="0.3">
      <c r="A62" s="39"/>
      <c r="B62" s="39"/>
      <c r="C62" s="39"/>
      <c r="D62" s="39"/>
      <c r="E62" s="39"/>
    </row>
    <row r="63" spans="1:5" x14ac:dyDescent="0.3">
      <c r="A63" s="16" t="s">
        <v>57</v>
      </c>
      <c r="B63" s="39"/>
      <c r="C63" s="39"/>
      <c r="D63" s="39"/>
      <c r="E63" s="39"/>
    </row>
    <row r="64" spans="1:5" ht="15" thickBot="1" x14ac:dyDescent="0.35"/>
    <row r="65" spans="1:5" ht="15" thickBot="1" x14ac:dyDescent="0.35">
      <c r="A65" s="322" t="s">
        <v>58</v>
      </c>
      <c r="B65" s="323"/>
      <c r="C65" s="324"/>
      <c r="D65" s="17"/>
      <c r="E65" s="17"/>
    </row>
    <row r="66" spans="1:5" ht="15" thickBot="1" x14ac:dyDescent="0.35">
      <c r="A66" s="39"/>
      <c r="B66" s="39"/>
      <c r="C66" s="39"/>
      <c r="D66" s="39"/>
      <c r="E66" s="39"/>
    </row>
    <row r="67" spans="1:5" ht="15" thickBot="1" x14ac:dyDescent="0.35">
      <c r="A67" s="320" t="s">
        <v>27</v>
      </c>
      <c r="B67" s="326"/>
      <c r="C67" s="321"/>
      <c r="D67" s="21"/>
      <c r="E67" s="21"/>
    </row>
    <row r="68" spans="1:5" ht="15" thickBot="1" x14ac:dyDescent="0.35">
      <c r="A68" s="4" t="s">
        <v>59</v>
      </c>
      <c r="B68" s="40" t="s">
        <v>60</v>
      </c>
      <c r="C68" s="4" t="s">
        <v>61</v>
      </c>
      <c r="D68" s="20"/>
      <c r="E68" s="39"/>
    </row>
    <row r="69" spans="1:5" x14ac:dyDescent="0.3">
      <c r="A69" s="325">
        <v>2021</v>
      </c>
      <c r="B69" s="38" t="s">
        <v>12</v>
      </c>
      <c r="C69" s="70">
        <v>52013.43</v>
      </c>
      <c r="D69" s="39"/>
      <c r="E69" s="39"/>
    </row>
    <row r="70" spans="1:5" x14ac:dyDescent="0.3">
      <c r="A70" s="325"/>
      <c r="B70" s="38" t="s">
        <v>13</v>
      </c>
      <c r="C70" s="70">
        <v>54391.08</v>
      </c>
      <c r="D70" s="39"/>
      <c r="E70" s="39"/>
    </row>
    <row r="71" spans="1:5" x14ac:dyDescent="0.3">
      <c r="A71" s="325"/>
      <c r="B71" s="38" t="s">
        <v>14</v>
      </c>
      <c r="C71" s="70">
        <v>51630.12</v>
      </c>
      <c r="D71" s="39"/>
      <c r="E71" s="39"/>
    </row>
    <row r="72" spans="1:5" x14ac:dyDescent="0.3">
      <c r="A72" s="325"/>
      <c r="B72" s="38" t="s">
        <v>15</v>
      </c>
      <c r="C72" s="70">
        <v>35348.42</v>
      </c>
      <c r="D72" s="39"/>
      <c r="E72" s="39"/>
    </row>
    <row r="73" spans="1:5" x14ac:dyDescent="0.3">
      <c r="A73" s="325"/>
      <c r="B73" s="38" t="s">
        <v>16</v>
      </c>
      <c r="C73" s="70">
        <v>41569.11</v>
      </c>
      <c r="D73" s="39"/>
      <c r="E73" s="39"/>
    </row>
    <row r="74" spans="1:5" x14ac:dyDescent="0.3">
      <c r="A74" s="325"/>
      <c r="B74" s="38" t="s">
        <v>17</v>
      </c>
      <c r="C74" s="70">
        <v>56746.13</v>
      </c>
      <c r="D74" s="39"/>
      <c r="E74" s="39"/>
    </row>
    <row r="75" spans="1:5" x14ac:dyDescent="0.3">
      <c r="A75" s="325"/>
      <c r="B75" s="38" t="s">
        <v>18</v>
      </c>
      <c r="C75" s="70">
        <v>53226.6</v>
      </c>
      <c r="D75" s="39"/>
      <c r="E75" s="39"/>
    </row>
    <row r="76" spans="1:5" x14ac:dyDescent="0.3">
      <c r="A76" s="325"/>
      <c r="B76" s="38" t="s">
        <v>19</v>
      </c>
      <c r="C76" s="70">
        <v>54238.19</v>
      </c>
      <c r="D76" s="39"/>
      <c r="E76" s="39"/>
    </row>
    <row r="77" spans="1:5" x14ac:dyDescent="0.3">
      <c r="A77" s="325"/>
      <c r="B77" s="38" t="s">
        <v>20</v>
      </c>
      <c r="C77" s="70">
        <v>41923.86</v>
      </c>
      <c r="D77" s="39"/>
      <c r="E77" s="39"/>
    </row>
    <row r="78" spans="1:5" x14ac:dyDescent="0.3">
      <c r="A78" s="325"/>
      <c r="B78" s="38" t="s">
        <v>21</v>
      </c>
      <c r="C78" s="70">
        <v>42961.59</v>
      </c>
      <c r="D78" s="39"/>
      <c r="E78" s="39"/>
    </row>
    <row r="79" spans="1:5" x14ac:dyDescent="0.3">
      <c r="A79" s="325"/>
      <c r="B79" s="38" t="s">
        <v>22</v>
      </c>
      <c r="C79" s="70">
        <v>51241.88</v>
      </c>
      <c r="D79" s="39"/>
      <c r="E79" s="39"/>
    </row>
    <row r="80" spans="1:5" x14ac:dyDescent="0.3">
      <c r="A80" s="325"/>
      <c r="B80" s="38" t="s">
        <v>23</v>
      </c>
      <c r="C80" s="71">
        <v>52900.19</v>
      </c>
      <c r="D80" s="39"/>
      <c r="E80" s="39"/>
    </row>
    <row r="81" spans="1:5" x14ac:dyDescent="0.3">
      <c r="A81" s="39"/>
      <c r="B81" s="39"/>
      <c r="C81" s="39"/>
      <c r="D81" s="39"/>
      <c r="E81" s="39"/>
    </row>
    <row r="82" spans="1:5" x14ac:dyDescent="0.3">
      <c r="A82" s="42" t="s">
        <v>62</v>
      </c>
      <c r="B82" s="39"/>
      <c r="C82" s="35">
        <f>SUM(C69:C80)</f>
        <v>588190.59999999986</v>
      </c>
      <c r="D82" s="39"/>
      <c r="E82" s="39"/>
    </row>
    <row r="83" spans="1:5" ht="15" thickBot="1" x14ac:dyDescent="0.35">
      <c r="A83" s="39"/>
      <c r="B83" s="39"/>
      <c r="C83" s="39"/>
      <c r="D83" s="39"/>
      <c r="E83" s="39"/>
    </row>
    <row r="84" spans="1:5" ht="15" thickBot="1" x14ac:dyDescent="0.35">
      <c r="A84" s="320" t="s">
        <v>63</v>
      </c>
      <c r="B84" s="321"/>
      <c r="C84" s="21"/>
      <c r="D84" s="21"/>
      <c r="E84" s="21"/>
    </row>
    <row r="85" spans="1:5" x14ac:dyDescent="0.3">
      <c r="A85" s="39"/>
      <c r="B85" s="39"/>
      <c r="C85" s="39"/>
      <c r="D85" s="39"/>
      <c r="E85" s="39"/>
    </row>
    <row r="86" spans="1:5" x14ac:dyDescent="0.3">
      <c r="A86" s="39" t="s">
        <v>62</v>
      </c>
      <c r="B86" s="6">
        <f>C82</f>
        <v>588190.59999999986</v>
      </c>
      <c r="C86" s="39"/>
      <c r="D86" s="39"/>
      <c r="E86" s="39"/>
    </row>
    <row r="87" spans="1:5" x14ac:dyDescent="0.3">
      <c r="A87" s="39" t="s">
        <v>64</v>
      </c>
      <c r="B87" s="37">
        <f>B58</f>
        <v>144386.60999999999</v>
      </c>
      <c r="C87" s="39"/>
      <c r="D87" s="39"/>
      <c r="E87" s="39"/>
    </row>
    <row r="88" spans="1:5" x14ac:dyDescent="0.3">
      <c r="A88" s="39"/>
      <c r="B88" s="39"/>
      <c r="C88" s="39"/>
      <c r="D88" s="39"/>
      <c r="E88" s="39"/>
    </row>
    <row r="89" spans="1:5" x14ac:dyDescent="0.3">
      <c r="A89" s="39" t="s">
        <v>65</v>
      </c>
      <c r="B89" s="6">
        <f>B86-B87</f>
        <v>443803.98999999987</v>
      </c>
      <c r="C89" s="39"/>
      <c r="D89" s="39"/>
      <c r="E89" s="39"/>
    </row>
    <row r="90" spans="1:5" ht="28.8" x14ac:dyDescent="0.3">
      <c r="A90" s="54" t="s">
        <v>92</v>
      </c>
      <c r="B90" s="28">
        <f>789079.3-345266</f>
        <v>443813.30000000005</v>
      </c>
      <c r="C90" s="39"/>
      <c r="D90" s="39"/>
      <c r="E90" s="39"/>
    </row>
    <row r="91" spans="1:5" x14ac:dyDescent="0.3">
      <c r="A91" s="39"/>
      <c r="B91" s="39"/>
      <c r="C91" s="39"/>
      <c r="D91" s="39"/>
      <c r="E91" s="39"/>
    </row>
    <row r="92" spans="1:5" ht="15" thickBot="1" x14ac:dyDescent="0.35">
      <c r="A92" s="39" t="s">
        <v>25</v>
      </c>
      <c r="B92" s="41">
        <f>B89-B90</f>
        <v>-9.3100000001722947</v>
      </c>
      <c r="C92" s="39"/>
      <c r="D92" s="39"/>
      <c r="E92" s="39"/>
    </row>
    <row r="93" spans="1:5" ht="15" thickBot="1" x14ac:dyDescent="0.35">
      <c r="A93" s="39" t="s">
        <v>67</v>
      </c>
      <c r="B93" s="36">
        <f>B92/B87</f>
        <v>-6.4479663316233379E-5</v>
      </c>
      <c r="C93" s="39"/>
      <c r="D93" s="39"/>
      <c r="E93" s="39"/>
    </row>
    <row r="94" spans="1:5" x14ac:dyDescent="0.3">
      <c r="A94" s="39"/>
      <c r="B94" s="39"/>
      <c r="C94" s="39"/>
      <c r="D94" s="39"/>
      <c r="E94" s="39"/>
    </row>
    <row r="95" spans="1:5" x14ac:dyDescent="0.3">
      <c r="A95" s="39" t="s">
        <v>66</v>
      </c>
      <c r="B95" s="39"/>
      <c r="C95" s="39"/>
      <c r="D95" s="39"/>
      <c r="E95" s="39"/>
    </row>
  </sheetData>
  <mergeCells count="14">
    <mergeCell ref="A84:B84"/>
    <mergeCell ref="A2:D2"/>
    <mergeCell ref="A1:D1"/>
    <mergeCell ref="A28:C28"/>
    <mergeCell ref="A69:A80"/>
    <mergeCell ref="A67:C67"/>
    <mergeCell ref="A39:C39"/>
    <mergeCell ref="A48:B48"/>
    <mergeCell ref="A65:C65"/>
    <mergeCell ref="A16:C16"/>
    <mergeCell ref="A30:C30"/>
    <mergeCell ref="A7:D7"/>
    <mergeCell ref="A5:D5"/>
    <mergeCell ref="A3:D3"/>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92"/>
  <sheetViews>
    <sheetView topLeftCell="A33" workbookViewId="0">
      <selection activeCell="A85" sqref="A85"/>
    </sheetView>
  </sheetViews>
  <sheetFormatPr defaultRowHeight="14.4" x14ac:dyDescent="0.3"/>
  <cols>
    <col min="1" max="1" width="37.44140625" customWidth="1"/>
    <col min="2" max="5" width="30.6640625" customWidth="1"/>
    <col min="9" max="9" width="30.6640625" customWidth="1"/>
    <col min="13" max="13" width="30.6640625" customWidth="1"/>
  </cols>
  <sheetData>
    <row r="1" spans="1:5" x14ac:dyDescent="0.3">
      <c r="A1" s="284" t="s">
        <v>0</v>
      </c>
      <c r="B1" s="284"/>
      <c r="C1" s="284"/>
      <c r="D1" s="284"/>
      <c r="E1" s="284"/>
    </row>
    <row r="2" spans="1:5" x14ac:dyDescent="0.3">
      <c r="A2" s="284" t="s">
        <v>97</v>
      </c>
      <c r="B2" s="284"/>
      <c r="C2" s="284"/>
      <c r="D2" s="284"/>
      <c r="E2" s="284"/>
    </row>
    <row r="3" spans="1:5" x14ac:dyDescent="0.3">
      <c r="A3" s="284">
        <v>2021</v>
      </c>
      <c r="B3" s="284"/>
      <c r="C3" s="284"/>
      <c r="D3" s="284"/>
      <c r="E3" s="284"/>
    </row>
    <row r="4" spans="1:5" ht="15" thickBot="1" x14ac:dyDescent="0.35">
      <c r="A4" s="11"/>
      <c r="B4" s="11"/>
      <c r="C4" s="11"/>
      <c r="D4" s="11"/>
      <c r="E4" s="11"/>
    </row>
    <row r="5" spans="1:5" ht="15" thickBot="1" x14ac:dyDescent="0.35">
      <c r="A5" s="320" t="s">
        <v>38</v>
      </c>
      <c r="B5" s="326"/>
      <c r="C5" s="326"/>
      <c r="D5" s="326"/>
      <c r="E5" s="321"/>
    </row>
    <row r="6" spans="1:5" x14ac:dyDescent="0.3">
      <c r="A6" s="11"/>
      <c r="B6" s="11"/>
      <c r="C6" s="11"/>
      <c r="D6" s="11"/>
      <c r="E6" s="11"/>
    </row>
    <row r="7" spans="1:5" x14ac:dyDescent="0.3">
      <c r="A7" s="15" t="s">
        <v>95</v>
      </c>
      <c r="B7" s="11"/>
      <c r="C7" s="11"/>
      <c r="D7" s="15" t="s">
        <v>98</v>
      </c>
      <c r="E7" s="11"/>
    </row>
    <row r="8" spans="1:5" x14ac:dyDescent="0.3">
      <c r="A8" s="16" t="s">
        <v>1</v>
      </c>
      <c r="B8" s="25">
        <v>3.0000000000000001E-3</v>
      </c>
      <c r="C8" s="11"/>
      <c r="D8" s="16" t="s">
        <v>1</v>
      </c>
      <c r="E8" s="25">
        <v>4.0000000000000002E-4</v>
      </c>
    </row>
    <row r="9" spans="1:5" x14ac:dyDescent="0.3">
      <c r="A9" s="16" t="s">
        <v>3</v>
      </c>
      <c r="B9" s="25">
        <v>3.0000000000000001E-3</v>
      </c>
      <c r="C9" s="11"/>
      <c r="D9" s="16" t="s">
        <v>3</v>
      </c>
      <c r="E9" s="25">
        <v>4.0000000000000002E-4</v>
      </c>
    </row>
    <row r="10" spans="1:5" x14ac:dyDescent="0.3">
      <c r="A10" s="16" t="s">
        <v>4</v>
      </c>
      <c r="B10" s="25">
        <v>3.0000000000000001E-3</v>
      </c>
      <c r="C10" s="11"/>
      <c r="D10" s="16" t="s">
        <v>4</v>
      </c>
      <c r="E10" s="25">
        <v>4.0000000000000002E-4</v>
      </c>
    </row>
    <row r="11" spans="1:5" x14ac:dyDescent="0.3">
      <c r="A11" s="16" t="s">
        <v>6</v>
      </c>
      <c r="B11" s="25">
        <v>3.0000000000000001E-3</v>
      </c>
      <c r="C11" s="11"/>
      <c r="D11" s="16" t="s">
        <v>6</v>
      </c>
      <c r="E11" s="25">
        <v>4.0000000000000002E-4</v>
      </c>
    </row>
    <row r="12" spans="1:5" x14ac:dyDescent="0.3">
      <c r="A12" s="16" t="s">
        <v>7</v>
      </c>
      <c r="B12" s="25">
        <v>3.0000000000000001E-3</v>
      </c>
      <c r="C12" s="11"/>
      <c r="D12" s="16" t="s">
        <v>7</v>
      </c>
      <c r="E12" s="25">
        <v>4.0000000000000002E-4</v>
      </c>
    </row>
    <row r="13" spans="1:5" x14ac:dyDescent="0.3">
      <c r="A13" s="16" t="s">
        <v>8</v>
      </c>
      <c r="B13" s="25">
        <v>3.0000000000000001E-3</v>
      </c>
      <c r="C13" s="11"/>
      <c r="D13" s="16" t="s">
        <v>8</v>
      </c>
      <c r="E13" s="25">
        <v>4.0000000000000002E-4</v>
      </c>
    </row>
    <row r="14" spans="1:5" x14ac:dyDescent="0.3">
      <c r="A14" s="11"/>
      <c r="B14" s="11"/>
      <c r="C14" s="11"/>
      <c r="D14" s="11"/>
      <c r="E14" s="11"/>
    </row>
    <row r="15" spans="1:5" x14ac:dyDescent="0.3">
      <c r="A15" s="15" t="s">
        <v>96</v>
      </c>
      <c r="B15" s="11"/>
      <c r="C15" s="11"/>
      <c r="D15" s="15" t="s">
        <v>99</v>
      </c>
      <c r="E15" s="11"/>
    </row>
    <row r="16" spans="1:5" x14ac:dyDescent="0.3">
      <c r="A16" s="16" t="s">
        <v>1</v>
      </c>
      <c r="B16" s="25">
        <v>3.0000000000000001E-3</v>
      </c>
      <c r="C16" s="11"/>
      <c r="D16" s="16" t="s">
        <v>1</v>
      </c>
      <c r="E16" s="25">
        <v>4.0000000000000002E-4</v>
      </c>
    </row>
    <row r="17" spans="1:5" x14ac:dyDescent="0.3">
      <c r="A17" s="16" t="s">
        <v>3</v>
      </c>
      <c r="B17" s="25">
        <v>3.0000000000000001E-3</v>
      </c>
      <c r="C17" s="11"/>
      <c r="D17" s="16" t="s">
        <v>3</v>
      </c>
      <c r="E17" s="25">
        <v>4.0000000000000002E-4</v>
      </c>
    </row>
    <row r="18" spans="1:5" x14ac:dyDescent="0.3">
      <c r="A18" s="16" t="s">
        <v>4</v>
      </c>
      <c r="B18" s="25">
        <v>3.0000000000000001E-3</v>
      </c>
      <c r="C18" s="11"/>
      <c r="D18" s="16" t="s">
        <v>4</v>
      </c>
      <c r="E18" s="25">
        <v>4.0000000000000002E-4</v>
      </c>
    </row>
    <row r="19" spans="1:5" x14ac:dyDescent="0.3">
      <c r="A19" s="16" t="s">
        <v>6</v>
      </c>
      <c r="B19" s="25">
        <v>3.0000000000000001E-3</v>
      </c>
      <c r="C19" s="11"/>
      <c r="D19" s="16" t="s">
        <v>6</v>
      </c>
      <c r="E19" s="25">
        <v>4.0000000000000002E-4</v>
      </c>
    </row>
    <row r="20" spans="1:5" x14ac:dyDescent="0.3">
      <c r="A20" s="16" t="s">
        <v>7</v>
      </c>
      <c r="B20" s="25">
        <v>3.0000000000000001E-3</v>
      </c>
      <c r="C20" s="11"/>
      <c r="D20" s="16" t="s">
        <v>7</v>
      </c>
      <c r="E20" s="25">
        <v>4.0000000000000002E-4</v>
      </c>
    </row>
    <row r="21" spans="1:5" x14ac:dyDescent="0.3">
      <c r="A21" s="16" t="s">
        <v>8</v>
      </c>
      <c r="B21" s="25">
        <v>3.0000000000000001E-3</v>
      </c>
      <c r="C21" s="11"/>
      <c r="D21" s="16" t="s">
        <v>8</v>
      </c>
      <c r="E21" s="25">
        <v>4.0000000000000002E-4</v>
      </c>
    </row>
    <row r="22" spans="1:5" x14ac:dyDescent="0.3">
      <c r="A22" s="11"/>
      <c r="B22" s="11"/>
      <c r="C22" s="11"/>
      <c r="D22" s="56"/>
      <c r="E22" s="56"/>
    </row>
    <row r="23" spans="1:5" x14ac:dyDescent="0.3">
      <c r="A23" s="15" t="s">
        <v>94</v>
      </c>
      <c r="B23" s="11"/>
      <c r="C23" s="11"/>
      <c r="D23" s="55"/>
      <c r="E23" s="56"/>
    </row>
    <row r="24" spans="1:5" x14ac:dyDescent="0.3">
      <c r="A24" s="16" t="s">
        <v>1</v>
      </c>
      <c r="B24" s="25">
        <v>5.0000000000000001E-4</v>
      </c>
      <c r="C24" s="11"/>
      <c r="D24" s="16"/>
      <c r="E24" s="22"/>
    </row>
    <row r="25" spans="1:5" x14ac:dyDescent="0.3">
      <c r="A25" s="16" t="s">
        <v>3</v>
      </c>
      <c r="B25" s="25">
        <v>5.0000000000000001E-4</v>
      </c>
      <c r="C25" s="11"/>
      <c r="D25" s="16"/>
      <c r="E25" s="22"/>
    </row>
    <row r="26" spans="1:5" x14ac:dyDescent="0.3">
      <c r="A26" s="16" t="s">
        <v>4</v>
      </c>
      <c r="B26" s="25">
        <v>5.0000000000000001E-4</v>
      </c>
      <c r="C26" s="11"/>
      <c r="D26" s="16"/>
      <c r="E26" s="22"/>
    </row>
    <row r="27" spans="1:5" x14ac:dyDescent="0.3">
      <c r="A27" s="16" t="s">
        <v>6</v>
      </c>
      <c r="B27" s="25">
        <v>5.0000000000000001E-4</v>
      </c>
      <c r="C27" s="11"/>
      <c r="D27" s="16"/>
      <c r="E27" s="22"/>
    </row>
    <row r="28" spans="1:5" x14ac:dyDescent="0.3">
      <c r="A28" s="16" t="s">
        <v>7</v>
      </c>
      <c r="B28" s="25">
        <v>5.0000000000000001E-4</v>
      </c>
      <c r="C28" s="11"/>
      <c r="D28" s="16"/>
      <c r="E28" s="22"/>
    </row>
    <row r="29" spans="1:5" x14ac:dyDescent="0.3">
      <c r="A29" s="16" t="s">
        <v>8</v>
      </c>
      <c r="B29" s="25">
        <v>5.0000000000000001E-4</v>
      </c>
      <c r="C29" s="11"/>
      <c r="D29" s="16"/>
      <c r="E29" s="22"/>
    </row>
    <row r="30" spans="1:5" x14ac:dyDescent="0.3">
      <c r="A30" s="11"/>
      <c r="B30" s="11"/>
      <c r="C30" s="11"/>
      <c r="D30" s="11"/>
      <c r="E30" s="11"/>
    </row>
    <row r="31" spans="1:5" x14ac:dyDescent="0.3">
      <c r="A31" s="15" t="s">
        <v>93</v>
      </c>
      <c r="B31" s="11"/>
      <c r="C31" s="11"/>
    </row>
    <row r="32" spans="1:5" x14ac:dyDescent="0.3">
      <c r="A32" s="16" t="s">
        <v>1</v>
      </c>
      <c r="B32" s="25">
        <v>5.0000000000000001E-4</v>
      </c>
      <c r="C32" s="11"/>
    </row>
    <row r="33" spans="1:5" x14ac:dyDescent="0.3">
      <c r="A33" s="16" t="s">
        <v>3</v>
      </c>
      <c r="B33" s="25">
        <v>5.0000000000000001E-4</v>
      </c>
      <c r="C33" s="11"/>
    </row>
    <row r="34" spans="1:5" x14ac:dyDescent="0.3">
      <c r="A34" s="16" t="s">
        <v>4</v>
      </c>
      <c r="B34" s="25">
        <v>5.0000000000000001E-4</v>
      </c>
      <c r="C34" s="11"/>
    </row>
    <row r="35" spans="1:5" x14ac:dyDescent="0.3">
      <c r="A35" s="16" t="s">
        <v>6</v>
      </c>
      <c r="B35" s="25">
        <v>5.0000000000000001E-4</v>
      </c>
      <c r="C35" s="11"/>
    </row>
    <row r="36" spans="1:5" x14ac:dyDescent="0.3">
      <c r="A36" s="16" t="s">
        <v>7</v>
      </c>
      <c r="B36" s="25">
        <v>5.0000000000000001E-4</v>
      </c>
      <c r="C36" s="11"/>
    </row>
    <row r="37" spans="1:5" x14ac:dyDescent="0.3">
      <c r="A37" s="16" t="s">
        <v>8</v>
      </c>
      <c r="B37" s="25">
        <v>5.0000000000000001E-4</v>
      </c>
      <c r="C37" s="11"/>
    </row>
    <row r="38" spans="1:5" ht="15" thickBot="1" x14ac:dyDescent="0.35">
      <c r="A38" s="11"/>
      <c r="B38" s="11"/>
      <c r="C38" s="11"/>
      <c r="D38" s="11"/>
      <c r="E38" s="11"/>
    </row>
    <row r="39" spans="1:5" ht="15" thickBot="1" x14ac:dyDescent="0.35">
      <c r="A39" s="320" t="s">
        <v>41</v>
      </c>
      <c r="B39" s="321"/>
      <c r="C39" s="21"/>
      <c r="D39" s="21"/>
      <c r="E39" s="11"/>
    </row>
    <row r="40" spans="1:5" x14ac:dyDescent="0.3">
      <c r="A40" s="11"/>
      <c r="B40" s="7">
        <v>2021</v>
      </c>
      <c r="C40" s="7"/>
      <c r="D40" s="7"/>
      <c r="E40" s="11"/>
    </row>
    <row r="41" spans="1:5" x14ac:dyDescent="0.3">
      <c r="A41" s="17" t="s">
        <v>40</v>
      </c>
      <c r="B41" s="18">
        <f>ROUND(($B$16/12*8)+($B$8/12*4),4)</f>
        <v>3.0000000000000001E-3</v>
      </c>
      <c r="C41" s="18"/>
      <c r="D41" s="18"/>
      <c r="E41" s="11"/>
    </row>
    <row r="42" spans="1:5" x14ac:dyDescent="0.3">
      <c r="A42" s="17" t="s">
        <v>35</v>
      </c>
      <c r="B42" s="18">
        <f>ROUND(($B$32/12*8)+($B$24/12*4),4)</f>
        <v>5.0000000000000001E-4</v>
      </c>
      <c r="C42" s="18"/>
      <c r="D42" s="18"/>
      <c r="E42" s="11"/>
    </row>
    <row r="43" spans="1:5" x14ac:dyDescent="0.3">
      <c r="A43" s="42" t="s">
        <v>100</v>
      </c>
      <c r="B43" s="18">
        <f>ROUND(($E$16/12*8)+($E$8/12*4),4)</f>
        <v>4.0000000000000002E-4</v>
      </c>
      <c r="C43" s="11"/>
      <c r="D43" s="11"/>
      <c r="E43" s="11"/>
    </row>
    <row r="44" spans="1:5" ht="15" thickBot="1" x14ac:dyDescent="0.35">
      <c r="A44" s="11"/>
      <c r="B44" s="11"/>
      <c r="C44" s="11"/>
      <c r="D44" s="11"/>
      <c r="E44" s="11"/>
    </row>
    <row r="45" spans="1:5" ht="14.4" customHeight="1" thickBot="1" x14ac:dyDescent="0.35">
      <c r="A45" s="327" t="s">
        <v>33</v>
      </c>
      <c r="B45" s="328"/>
      <c r="C45" s="21"/>
      <c r="D45" s="21"/>
      <c r="E45" s="11"/>
    </row>
    <row r="46" spans="1:5" x14ac:dyDescent="0.3">
      <c r="A46" s="11"/>
      <c r="B46" s="2">
        <v>2021</v>
      </c>
      <c r="C46" s="50"/>
      <c r="D46" s="50"/>
      <c r="E46" s="11"/>
    </row>
    <row r="47" spans="1:5" x14ac:dyDescent="0.3">
      <c r="A47" s="16" t="s">
        <v>28</v>
      </c>
      <c r="B47" s="23">
        <v>85333074</v>
      </c>
      <c r="C47" s="57"/>
      <c r="D47" s="57"/>
      <c r="E47" s="11"/>
    </row>
    <row r="48" spans="1:5" x14ac:dyDescent="0.3">
      <c r="A48" s="16" t="s">
        <v>29</v>
      </c>
      <c r="B48" s="23">
        <v>27003039</v>
      </c>
      <c r="C48" s="57"/>
      <c r="D48" s="57"/>
      <c r="E48" s="11"/>
    </row>
    <row r="49" spans="1:5" x14ac:dyDescent="0.3">
      <c r="A49" s="16" t="s">
        <v>31</v>
      </c>
      <c r="B49" s="23">
        <v>67960294</v>
      </c>
      <c r="C49" s="57"/>
      <c r="D49" s="57"/>
      <c r="E49" s="11"/>
    </row>
    <row r="50" spans="1:5" x14ac:dyDescent="0.3">
      <c r="A50" s="16" t="s">
        <v>11</v>
      </c>
      <c r="B50" s="23">
        <v>189809</v>
      </c>
      <c r="C50" s="57"/>
      <c r="D50" s="57"/>
      <c r="E50" s="11"/>
    </row>
    <row r="51" spans="1:5" x14ac:dyDescent="0.3">
      <c r="A51" s="16" t="s">
        <v>32</v>
      </c>
      <c r="B51" s="23">
        <v>1012636</v>
      </c>
      <c r="C51" s="57"/>
      <c r="D51" s="57"/>
      <c r="E51" s="11"/>
    </row>
    <row r="52" spans="1:5" x14ac:dyDescent="0.3">
      <c r="A52" s="16" t="s">
        <v>30</v>
      </c>
      <c r="B52" s="24">
        <v>613644</v>
      </c>
      <c r="C52" s="57"/>
      <c r="D52" s="57"/>
      <c r="E52" s="11"/>
    </row>
    <row r="53" spans="1:5" x14ac:dyDescent="0.3">
      <c r="A53" s="11"/>
      <c r="B53" s="11"/>
      <c r="C53" s="58"/>
      <c r="D53" s="58"/>
      <c r="E53" s="11"/>
    </row>
    <row r="54" spans="1:5" ht="15" thickBot="1" x14ac:dyDescent="0.35">
      <c r="A54" s="17" t="s">
        <v>24</v>
      </c>
      <c r="B54" s="19">
        <f>SUM(B47:B52)</f>
        <v>182112496</v>
      </c>
      <c r="C54" s="59"/>
      <c r="D54" s="59"/>
      <c r="E54" s="11"/>
    </row>
    <row r="55" spans="1:5" ht="15" thickBot="1" x14ac:dyDescent="0.35">
      <c r="A55" s="11"/>
      <c r="B55" s="11"/>
      <c r="C55" s="11"/>
      <c r="D55" s="11"/>
      <c r="E55" s="11"/>
    </row>
    <row r="56" spans="1:5" ht="15" thickBot="1" x14ac:dyDescent="0.35">
      <c r="A56" s="327" t="s">
        <v>101</v>
      </c>
      <c r="B56" s="328"/>
      <c r="C56" s="21"/>
      <c r="D56" s="21"/>
      <c r="E56" s="21"/>
    </row>
    <row r="57" spans="1:5" x14ac:dyDescent="0.3">
      <c r="A57" s="11"/>
      <c r="B57" s="2">
        <v>2021</v>
      </c>
      <c r="C57" s="20"/>
      <c r="D57" s="20"/>
    </row>
    <row r="58" spans="1:5" x14ac:dyDescent="0.3">
      <c r="A58" s="16" t="s">
        <v>1</v>
      </c>
      <c r="B58" s="8">
        <f t="shared" ref="B58:B63" si="0">(B$41+B$42+B$43)*B47</f>
        <v>332798.98860000004</v>
      </c>
      <c r="C58" s="60"/>
      <c r="D58" s="60"/>
    </row>
    <row r="59" spans="1:5" x14ac:dyDescent="0.3">
      <c r="A59" s="16" t="s">
        <v>3</v>
      </c>
      <c r="B59" s="8">
        <f t="shared" si="0"/>
        <v>105311.8521</v>
      </c>
      <c r="C59" s="60"/>
      <c r="D59" s="60"/>
    </row>
    <row r="60" spans="1:5" x14ac:dyDescent="0.3">
      <c r="A60" s="16" t="s">
        <v>4</v>
      </c>
      <c r="B60" s="8">
        <f t="shared" si="0"/>
        <v>265045.14660000004</v>
      </c>
      <c r="C60" s="60"/>
      <c r="D60" s="60"/>
    </row>
    <row r="61" spans="1:5" x14ac:dyDescent="0.3">
      <c r="A61" s="16" t="s">
        <v>6</v>
      </c>
      <c r="B61" s="8">
        <f t="shared" si="0"/>
        <v>740.25510000000008</v>
      </c>
      <c r="C61" s="60"/>
      <c r="D61" s="60"/>
    </row>
    <row r="62" spans="1:5" x14ac:dyDescent="0.3">
      <c r="A62" s="16" t="s">
        <v>7</v>
      </c>
      <c r="B62" s="8">
        <f t="shared" si="0"/>
        <v>3949.2804000000001</v>
      </c>
      <c r="C62" s="60"/>
      <c r="D62" s="60"/>
    </row>
    <row r="63" spans="1:5" x14ac:dyDescent="0.3">
      <c r="A63" s="16" t="s">
        <v>8</v>
      </c>
      <c r="B63" s="9">
        <f t="shared" si="0"/>
        <v>2393.2116000000001</v>
      </c>
      <c r="C63" s="60"/>
      <c r="D63" s="60"/>
    </row>
    <row r="64" spans="1:5" x14ac:dyDescent="0.3">
      <c r="A64" s="11"/>
      <c r="B64" s="11"/>
      <c r="C64" s="61"/>
      <c r="D64" s="61"/>
    </row>
    <row r="65" spans="1:5" x14ac:dyDescent="0.3">
      <c r="A65" s="17" t="s">
        <v>9</v>
      </c>
      <c r="B65" s="62">
        <f>SUM(B58:B63)</f>
        <v>710238.73440000019</v>
      </c>
      <c r="C65" s="62"/>
      <c r="D65" s="62"/>
    </row>
    <row r="66" spans="1:5" x14ac:dyDescent="0.3">
      <c r="A66" s="17" t="s">
        <v>10</v>
      </c>
      <c r="B66" s="26">
        <v>728091.03</v>
      </c>
      <c r="C66" s="65"/>
      <c r="D66" s="63"/>
    </row>
    <row r="67" spans="1:5" x14ac:dyDescent="0.3">
      <c r="A67" s="17"/>
      <c r="B67" s="11"/>
      <c r="C67" s="61"/>
      <c r="D67" s="58"/>
    </row>
    <row r="68" spans="1:5" ht="15" thickBot="1" x14ac:dyDescent="0.35">
      <c r="A68" s="17" t="s">
        <v>25</v>
      </c>
      <c r="B68" s="13">
        <f>B65-B66</f>
        <v>-17852.295599999838</v>
      </c>
      <c r="C68" s="66">
        <f>B68/B66</f>
        <v>-2.4519318140754785E-2</v>
      </c>
      <c r="D68" s="64"/>
    </row>
    <row r="69" spans="1:5" x14ac:dyDescent="0.3">
      <c r="A69" s="17"/>
      <c r="B69" s="12"/>
      <c r="C69" s="12"/>
      <c r="D69" s="12"/>
      <c r="E69" s="12"/>
    </row>
    <row r="70" spans="1:5" x14ac:dyDescent="0.3">
      <c r="A70" s="17" t="s">
        <v>102</v>
      </c>
      <c r="B70" s="12"/>
      <c r="C70" s="12"/>
      <c r="D70" s="12"/>
      <c r="E70" s="12"/>
    </row>
    <row r="71" spans="1:5" ht="15" thickBot="1" x14ac:dyDescent="0.35">
      <c r="A71" s="11"/>
      <c r="B71" s="11"/>
      <c r="C71" s="11"/>
      <c r="D71" s="11"/>
      <c r="E71" s="11"/>
    </row>
    <row r="72" spans="1:5" ht="15" thickBot="1" x14ac:dyDescent="0.35">
      <c r="A72" s="320" t="s">
        <v>39</v>
      </c>
      <c r="B72" s="326"/>
      <c r="C72" s="326"/>
      <c r="D72" s="326"/>
      <c r="E72" s="321"/>
    </row>
    <row r="73" spans="1:5" ht="15" thickBot="1" x14ac:dyDescent="0.35">
      <c r="A73" s="11"/>
      <c r="B73" s="11"/>
      <c r="C73" s="11"/>
      <c r="D73" s="11"/>
      <c r="E73" s="11"/>
    </row>
    <row r="74" spans="1:5" ht="15" thickBot="1" x14ac:dyDescent="0.35">
      <c r="A74" s="11"/>
      <c r="B74" s="320" t="s">
        <v>36</v>
      </c>
      <c r="C74" s="321"/>
      <c r="D74" s="10" t="s">
        <v>37</v>
      </c>
      <c r="E74" s="11"/>
    </row>
    <row r="75" spans="1:5" x14ac:dyDescent="0.3">
      <c r="A75" s="11"/>
      <c r="B75" s="2" t="s">
        <v>34</v>
      </c>
      <c r="C75" s="2" t="s">
        <v>35</v>
      </c>
      <c r="D75" s="2" t="s">
        <v>34</v>
      </c>
      <c r="E75" s="2" t="s">
        <v>24</v>
      </c>
    </row>
    <row r="76" spans="1:5" ht="15" thickBot="1" x14ac:dyDescent="0.35">
      <c r="A76" s="1">
        <v>2021</v>
      </c>
      <c r="B76" s="67">
        <v>512637.34</v>
      </c>
      <c r="C76" s="67">
        <v>61179.8</v>
      </c>
      <c r="D76" s="67">
        <v>59553.19</v>
      </c>
      <c r="E76" s="14">
        <f>B76+C76+D76</f>
        <v>633370.33000000007</v>
      </c>
    </row>
    <row r="78" spans="1:5" s="39" customFormat="1" ht="15" thickBot="1" x14ac:dyDescent="0.35"/>
    <row r="79" spans="1:5" s="39" customFormat="1" ht="15" thickBot="1" x14ac:dyDescent="0.35">
      <c r="A79" s="320" t="s">
        <v>63</v>
      </c>
      <c r="B79" s="321"/>
    </row>
    <row r="80" spans="1:5" s="39" customFormat="1" x14ac:dyDescent="0.3"/>
    <row r="81" spans="1:2" s="39" customFormat="1" x14ac:dyDescent="0.3">
      <c r="A81" s="39" t="s">
        <v>70</v>
      </c>
      <c r="B81" s="6">
        <f>E76</f>
        <v>633370.33000000007</v>
      </c>
    </row>
    <row r="82" spans="1:2" s="39" customFormat="1" x14ac:dyDescent="0.3">
      <c r="A82" s="39" t="s">
        <v>64</v>
      </c>
      <c r="B82" s="37">
        <f>B66</f>
        <v>728091.03</v>
      </c>
    </row>
    <row r="83" spans="1:2" s="39" customFormat="1" x14ac:dyDescent="0.3"/>
    <row r="84" spans="1:2" s="39" customFormat="1" x14ac:dyDescent="0.3">
      <c r="A84" s="39" t="s">
        <v>65</v>
      </c>
      <c r="B84" s="6">
        <f>B81-B82</f>
        <v>-94720.699999999953</v>
      </c>
    </row>
    <row r="85" spans="1:2" s="39" customFormat="1" ht="43.2" x14ac:dyDescent="0.3">
      <c r="A85" s="54" t="s">
        <v>103</v>
      </c>
      <c r="B85" s="28">
        <v>-94790</v>
      </c>
    </row>
    <row r="86" spans="1:2" s="39" customFormat="1" x14ac:dyDescent="0.3"/>
    <row r="87" spans="1:2" s="39" customFormat="1" ht="15" thickBot="1" x14ac:dyDescent="0.35">
      <c r="A87" s="39" t="s">
        <v>25</v>
      </c>
      <c r="B87" s="41">
        <f>B84-B85</f>
        <v>69.300000000046566</v>
      </c>
    </row>
    <row r="88" spans="1:2" s="39" customFormat="1" ht="15" thickBot="1" x14ac:dyDescent="0.35">
      <c r="A88" s="39" t="s">
        <v>67</v>
      </c>
      <c r="B88" s="36">
        <f>B87/B82</f>
        <v>9.5180406219324746E-5</v>
      </c>
    </row>
    <row r="89" spans="1:2" s="39" customFormat="1" x14ac:dyDescent="0.3"/>
    <row r="90" spans="1:2" s="39" customFormat="1" x14ac:dyDescent="0.3"/>
    <row r="91" spans="1:2" s="39" customFormat="1" x14ac:dyDescent="0.3"/>
    <row r="92" spans="1:2" x14ac:dyDescent="0.3">
      <c r="A92" s="42" t="s">
        <v>71</v>
      </c>
    </row>
  </sheetData>
  <mergeCells count="10">
    <mergeCell ref="A56:B56"/>
    <mergeCell ref="A79:B79"/>
    <mergeCell ref="A1:E1"/>
    <mergeCell ref="A2:E2"/>
    <mergeCell ref="A3:E3"/>
    <mergeCell ref="A5:E5"/>
    <mergeCell ref="A39:B39"/>
    <mergeCell ref="A45:B45"/>
    <mergeCell ref="A72:E72"/>
    <mergeCell ref="B74:C74"/>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88"/>
  <sheetViews>
    <sheetView topLeftCell="A71" workbookViewId="0">
      <selection activeCell="A83" sqref="A83"/>
    </sheetView>
  </sheetViews>
  <sheetFormatPr defaultColWidth="9.109375" defaultRowHeight="14.4" x14ac:dyDescent="0.3"/>
  <cols>
    <col min="1" max="1" width="44.88671875" style="39" customWidth="1"/>
    <col min="2" max="5" width="30.6640625" style="39" customWidth="1"/>
    <col min="6" max="8" width="9.109375" style="39"/>
    <col min="9" max="9" width="30.6640625" style="39" customWidth="1"/>
    <col min="10" max="12" width="9.109375" style="39"/>
    <col min="13" max="13" width="30.6640625" style="39" customWidth="1"/>
    <col min="14" max="16384" width="9.109375" style="39"/>
  </cols>
  <sheetData>
    <row r="1" spans="1:5" x14ac:dyDescent="0.3">
      <c r="A1" s="284" t="s">
        <v>0</v>
      </c>
      <c r="B1" s="284"/>
      <c r="C1" s="284"/>
      <c r="D1" s="284"/>
      <c r="E1" s="284"/>
    </row>
    <row r="2" spans="1:5" x14ac:dyDescent="0.3">
      <c r="A2" s="284" t="s">
        <v>107</v>
      </c>
      <c r="B2" s="284"/>
      <c r="C2" s="284"/>
      <c r="D2" s="284"/>
      <c r="E2" s="284"/>
    </row>
    <row r="3" spans="1:5" x14ac:dyDescent="0.3">
      <c r="A3" s="284">
        <v>2021</v>
      </c>
      <c r="B3" s="284"/>
      <c r="C3" s="284"/>
      <c r="D3" s="284"/>
      <c r="E3" s="284"/>
    </row>
    <row r="4" spans="1:5" ht="15" thickBot="1" x14ac:dyDescent="0.35">
      <c r="A4" s="11"/>
      <c r="B4" s="11"/>
      <c r="C4" s="11"/>
      <c r="D4" s="11"/>
      <c r="E4" s="11"/>
    </row>
    <row r="5" spans="1:5" ht="15" thickBot="1" x14ac:dyDescent="0.35">
      <c r="A5" s="320" t="s">
        <v>68</v>
      </c>
      <c r="B5" s="326"/>
      <c r="C5" s="326"/>
      <c r="D5" s="326"/>
      <c r="E5" s="321"/>
    </row>
    <row r="6" spans="1:5" ht="15" thickBot="1" x14ac:dyDescent="0.35">
      <c r="A6" s="11"/>
      <c r="B6" s="11"/>
      <c r="C6" s="11"/>
      <c r="D6" s="11"/>
      <c r="E6" s="11"/>
    </row>
    <row r="7" spans="1:5" ht="15" thickBot="1" x14ac:dyDescent="0.35">
      <c r="A7" s="329" t="s">
        <v>46</v>
      </c>
      <c r="B7" s="330"/>
      <c r="C7" s="330"/>
      <c r="D7" s="331"/>
      <c r="E7" s="75"/>
    </row>
    <row r="8" spans="1:5" ht="15" thickBot="1" x14ac:dyDescent="0.35">
      <c r="A8" s="29" t="s">
        <v>69</v>
      </c>
      <c r="B8" s="4" t="s">
        <v>44</v>
      </c>
      <c r="C8" s="30">
        <v>43952</v>
      </c>
      <c r="D8" s="30">
        <v>44317</v>
      </c>
      <c r="E8" s="48"/>
    </row>
    <row r="9" spans="1:5" x14ac:dyDescent="0.3">
      <c r="A9" s="16" t="s">
        <v>1</v>
      </c>
      <c r="B9" s="31" t="s">
        <v>2</v>
      </c>
      <c r="C9" s="25">
        <v>6.0000000000000001E-3</v>
      </c>
      <c r="D9" s="25">
        <v>5.8999999999999999E-3</v>
      </c>
      <c r="E9" s="45"/>
    </row>
    <row r="10" spans="1:5" x14ac:dyDescent="0.3">
      <c r="A10" s="16" t="s">
        <v>3</v>
      </c>
      <c r="B10" s="31" t="s">
        <v>2</v>
      </c>
      <c r="C10" s="25">
        <v>5.3E-3</v>
      </c>
      <c r="D10" s="25">
        <v>5.1999999999999998E-3</v>
      </c>
      <c r="E10" s="45"/>
    </row>
    <row r="11" spans="1:5" x14ac:dyDescent="0.3">
      <c r="A11" s="16" t="s">
        <v>4</v>
      </c>
      <c r="B11" s="31" t="s">
        <v>45</v>
      </c>
      <c r="C11" s="25">
        <v>2.2134999999999998</v>
      </c>
      <c r="D11" s="25">
        <v>2.1772999999999998</v>
      </c>
      <c r="E11" s="45"/>
    </row>
    <row r="12" spans="1:5" x14ac:dyDescent="0.3">
      <c r="A12" s="16" t="s">
        <v>6</v>
      </c>
      <c r="B12" s="31" t="s">
        <v>5</v>
      </c>
      <c r="C12" s="25">
        <v>1.6776</v>
      </c>
      <c r="D12" s="25">
        <v>1.6501999999999999</v>
      </c>
      <c r="E12" s="45"/>
    </row>
    <row r="13" spans="1:5" x14ac:dyDescent="0.3">
      <c r="A13" s="16" t="s">
        <v>7</v>
      </c>
      <c r="B13" s="31" t="s">
        <v>5</v>
      </c>
      <c r="C13" s="25">
        <v>1.6693</v>
      </c>
      <c r="D13" s="25">
        <v>1.6419999999999999</v>
      </c>
      <c r="E13" s="45"/>
    </row>
    <row r="14" spans="1:5" x14ac:dyDescent="0.3">
      <c r="A14" s="16" t="s">
        <v>8</v>
      </c>
      <c r="B14" s="31" t="s">
        <v>2</v>
      </c>
      <c r="C14" s="25">
        <v>5.3E-3</v>
      </c>
      <c r="D14" s="25">
        <v>5.1999999999999998E-3</v>
      </c>
      <c r="E14" s="45"/>
    </row>
    <row r="15" spans="1:5" ht="15" thickBot="1" x14ac:dyDescent="0.35">
      <c r="A15" s="11"/>
      <c r="B15" s="11"/>
      <c r="C15" s="11"/>
      <c r="D15" s="11"/>
      <c r="E15" s="11"/>
    </row>
    <row r="16" spans="1:5" ht="15" thickBot="1" x14ac:dyDescent="0.35">
      <c r="A16" s="320" t="s">
        <v>47</v>
      </c>
      <c r="B16" s="326"/>
      <c r="C16" s="321"/>
      <c r="D16" s="21"/>
      <c r="E16" s="21"/>
    </row>
    <row r="17" spans="1:5" ht="15" thickBot="1" x14ac:dyDescent="0.35">
      <c r="A17" s="29" t="s">
        <v>69</v>
      </c>
      <c r="B17" s="4" t="s">
        <v>44</v>
      </c>
      <c r="C17" s="30">
        <v>44197</v>
      </c>
      <c r="D17" s="48"/>
      <c r="E17" s="48"/>
    </row>
    <row r="18" spans="1:5" x14ac:dyDescent="0.3">
      <c r="A18" s="16" t="s">
        <v>27</v>
      </c>
      <c r="B18" s="32" t="s">
        <v>5</v>
      </c>
      <c r="C18" s="73">
        <v>3.4777999999999998</v>
      </c>
      <c r="D18" s="44"/>
      <c r="E18" s="45"/>
    </row>
    <row r="19" spans="1:5" x14ac:dyDescent="0.3">
      <c r="A19" s="16" t="s">
        <v>26</v>
      </c>
      <c r="B19" s="32" t="s">
        <v>5</v>
      </c>
      <c r="C19" s="73">
        <f>C18*0.5</f>
        <v>1.7388999999999999</v>
      </c>
      <c r="D19" s="44"/>
      <c r="E19" s="44"/>
    </row>
    <row r="20" spans="1:5" ht="15" thickBot="1" x14ac:dyDescent="0.35">
      <c r="A20" s="16"/>
      <c r="B20" s="3"/>
      <c r="C20" s="11"/>
      <c r="D20" s="16"/>
      <c r="E20" s="3"/>
    </row>
    <row r="21" spans="1:5" ht="15" thickBot="1" x14ac:dyDescent="0.35">
      <c r="A21" s="322" t="s">
        <v>48</v>
      </c>
      <c r="B21" s="323"/>
      <c r="C21" s="323"/>
      <c r="D21" s="323"/>
      <c r="E21" s="324"/>
    </row>
    <row r="22" spans="1:5" ht="15" thickBot="1" x14ac:dyDescent="0.35">
      <c r="A22" s="16"/>
      <c r="B22" s="3"/>
      <c r="C22" s="11"/>
      <c r="D22" s="16"/>
      <c r="E22" s="3"/>
    </row>
    <row r="23" spans="1:5" ht="15" thickBot="1" x14ac:dyDescent="0.35">
      <c r="A23" s="322" t="s">
        <v>55</v>
      </c>
      <c r="B23" s="323"/>
      <c r="C23" s="324"/>
      <c r="D23" s="17"/>
      <c r="E23" s="3"/>
    </row>
    <row r="24" spans="1:5" ht="15" thickBot="1" x14ac:dyDescent="0.35">
      <c r="A24" s="46" t="s">
        <v>49</v>
      </c>
      <c r="B24" s="46" t="s">
        <v>44</v>
      </c>
      <c r="C24" s="46">
        <v>2021</v>
      </c>
      <c r="D24" s="50"/>
      <c r="E24" s="11"/>
    </row>
    <row r="25" spans="1:5" x14ac:dyDescent="0.3">
      <c r="A25" s="16" t="s">
        <v>1</v>
      </c>
      <c r="B25" s="31" t="s">
        <v>2</v>
      </c>
      <c r="C25" s="72">
        <v>85333074</v>
      </c>
      <c r="D25" s="47"/>
      <c r="E25" s="11"/>
    </row>
    <row r="26" spans="1:5" x14ac:dyDescent="0.3">
      <c r="A26" s="16" t="s">
        <v>3</v>
      </c>
      <c r="B26" s="31" t="s">
        <v>2</v>
      </c>
      <c r="C26" s="72">
        <v>27003039</v>
      </c>
      <c r="D26" s="47"/>
      <c r="E26" s="11"/>
    </row>
    <row r="27" spans="1:5" x14ac:dyDescent="0.3">
      <c r="A27" s="16" t="s">
        <v>4</v>
      </c>
      <c r="B27" s="31" t="s">
        <v>45</v>
      </c>
      <c r="C27" s="72">
        <v>188052.4</v>
      </c>
      <c r="D27" s="47"/>
      <c r="E27" s="11"/>
    </row>
    <row r="28" spans="1:5" x14ac:dyDescent="0.3">
      <c r="A28" s="16" t="s">
        <v>6</v>
      </c>
      <c r="B28" s="31" t="s">
        <v>5</v>
      </c>
      <c r="C28" s="72">
        <v>511.5</v>
      </c>
      <c r="D28" s="47"/>
      <c r="E28" s="11"/>
    </row>
    <row r="29" spans="1:5" x14ac:dyDescent="0.3">
      <c r="A29" s="16" t="s">
        <v>7</v>
      </c>
      <c r="B29" s="31" t="s">
        <v>5</v>
      </c>
      <c r="C29" s="72">
        <v>2822.7</v>
      </c>
      <c r="D29" s="47"/>
      <c r="E29" s="11"/>
    </row>
    <row r="30" spans="1:5" x14ac:dyDescent="0.3">
      <c r="A30" s="16" t="s">
        <v>8</v>
      </c>
      <c r="B30" s="31" t="s">
        <v>2</v>
      </c>
      <c r="C30" s="72">
        <v>613644</v>
      </c>
      <c r="D30" s="47"/>
      <c r="E30" s="11"/>
    </row>
    <row r="31" spans="1:5" ht="15" thickBot="1" x14ac:dyDescent="0.35">
      <c r="A31" s="16"/>
      <c r="B31" s="31"/>
      <c r="C31" s="34"/>
      <c r="D31" s="34"/>
      <c r="E31" s="11"/>
    </row>
    <row r="32" spans="1:5" ht="15" thickBot="1" x14ac:dyDescent="0.35">
      <c r="A32" s="322" t="s">
        <v>56</v>
      </c>
      <c r="B32" s="323"/>
      <c r="C32" s="324"/>
      <c r="D32" s="17"/>
      <c r="E32" s="3"/>
    </row>
    <row r="33" spans="1:5" ht="15" thickBot="1" x14ac:dyDescent="0.35">
      <c r="A33" s="46" t="s">
        <v>49</v>
      </c>
      <c r="B33" s="46" t="s">
        <v>44</v>
      </c>
      <c r="C33" s="46">
        <v>2021</v>
      </c>
      <c r="D33" s="20"/>
      <c r="E33" s="11"/>
    </row>
    <row r="34" spans="1:5" x14ac:dyDescent="0.3">
      <c r="A34" s="16" t="s">
        <v>1</v>
      </c>
      <c r="B34" s="31" t="s">
        <v>2</v>
      </c>
      <c r="C34" s="34">
        <f t="shared" ref="C34:C39" si="0">ROUND(C25*1.0457,2)</f>
        <v>89232795.480000004</v>
      </c>
      <c r="D34" s="47"/>
      <c r="E34" s="11"/>
    </row>
    <row r="35" spans="1:5" x14ac:dyDescent="0.3">
      <c r="A35" s="16" t="s">
        <v>3</v>
      </c>
      <c r="B35" s="31" t="s">
        <v>2</v>
      </c>
      <c r="C35" s="34">
        <f t="shared" si="0"/>
        <v>28237077.879999999</v>
      </c>
      <c r="D35" s="47"/>
      <c r="E35" s="11"/>
    </row>
    <row r="36" spans="1:5" x14ac:dyDescent="0.3">
      <c r="A36" s="16" t="s">
        <v>4</v>
      </c>
      <c r="B36" s="31" t="s">
        <v>45</v>
      </c>
      <c r="C36" s="34">
        <f t="shared" si="0"/>
        <v>196646.39</v>
      </c>
      <c r="D36" s="47"/>
      <c r="E36" s="11"/>
    </row>
    <row r="37" spans="1:5" x14ac:dyDescent="0.3">
      <c r="A37" s="16" t="s">
        <v>6</v>
      </c>
      <c r="B37" s="31" t="s">
        <v>5</v>
      </c>
      <c r="C37" s="34">
        <f t="shared" si="0"/>
        <v>534.88</v>
      </c>
      <c r="D37" s="47"/>
      <c r="E37" s="11"/>
    </row>
    <row r="38" spans="1:5" x14ac:dyDescent="0.3">
      <c r="A38" s="16" t="s">
        <v>7</v>
      </c>
      <c r="B38" s="31" t="s">
        <v>5</v>
      </c>
      <c r="C38" s="34">
        <f t="shared" si="0"/>
        <v>2951.7</v>
      </c>
      <c r="D38" s="47"/>
      <c r="E38" s="11"/>
    </row>
    <row r="39" spans="1:5" x14ac:dyDescent="0.3">
      <c r="A39" s="16" t="s">
        <v>8</v>
      </c>
      <c r="B39" s="31" t="s">
        <v>2</v>
      </c>
      <c r="C39" s="34">
        <f t="shared" si="0"/>
        <v>641687.53</v>
      </c>
      <c r="D39" s="47"/>
      <c r="E39" s="11"/>
    </row>
    <row r="40" spans="1:5" ht="15" thickBot="1" x14ac:dyDescent="0.35">
      <c r="A40" s="11"/>
      <c r="B40" s="11"/>
      <c r="C40" s="11"/>
      <c r="D40" s="11"/>
      <c r="E40" s="11"/>
    </row>
    <row r="41" spans="1:5" ht="15" thickBot="1" x14ac:dyDescent="0.35">
      <c r="A41" s="322" t="s">
        <v>54</v>
      </c>
      <c r="B41" s="324"/>
      <c r="C41" s="17"/>
      <c r="D41" s="17"/>
      <c r="E41" s="11"/>
    </row>
    <row r="42" spans="1:5" ht="15" thickBot="1" x14ac:dyDescent="0.35">
      <c r="A42" s="4" t="s">
        <v>49</v>
      </c>
      <c r="B42" s="4">
        <v>2021</v>
      </c>
      <c r="C42" s="50"/>
      <c r="D42" s="20"/>
    </row>
    <row r="43" spans="1:5" x14ac:dyDescent="0.3">
      <c r="A43" s="16" t="s">
        <v>1</v>
      </c>
      <c r="B43" s="33">
        <f>ROUND(((C9/12*4)+(D9/12*8))*C34,2)</f>
        <v>529447.92000000004</v>
      </c>
      <c r="C43" s="47"/>
      <c r="D43" s="76"/>
    </row>
    <row r="44" spans="1:5" x14ac:dyDescent="0.3">
      <c r="A44" s="16" t="s">
        <v>3</v>
      </c>
      <c r="B44" s="33">
        <f t="shared" ref="B44:B48" si="1">ROUND(((C10/12*4)+(D10/12*8))*C35,2)</f>
        <v>147774.04</v>
      </c>
      <c r="C44" s="47"/>
      <c r="D44" s="76"/>
    </row>
    <row r="45" spans="1:5" x14ac:dyDescent="0.3">
      <c r="A45" s="16" t="s">
        <v>4</v>
      </c>
      <c r="B45" s="33">
        <f t="shared" si="1"/>
        <v>430531.05</v>
      </c>
      <c r="C45" s="47"/>
      <c r="D45" s="76"/>
    </row>
    <row r="46" spans="1:5" x14ac:dyDescent="0.3">
      <c r="A46" s="16" t="s">
        <v>6</v>
      </c>
      <c r="B46" s="33">
        <f t="shared" si="1"/>
        <v>887.54</v>
      </c>
      <c r="C46" s="47"/>
      <c r="D46" s="76"/>
    </row>
    <row r="47" spans="1:5" x14ac:dyDescent="0.3">
      <c r="A47" s="16" t="s">
        <v>7</v>
      </c>
      <c r="B47" s="33">
        <f t="shared" si="1"/>
        <v>4873.55</v>
      </c>
      <c r="C47" s="47"/>
      <c r="D47" s="76"/>
    </row>
    <row r="48" spans="1:5" x14ac:dyDescent="0.3">
      <c r="A48" s="16" t="s">
        <v>8</v>
      </c>
      <c r="B48" s="5">
        <f t="shared" si="1"/>
        <v>3358.16</v>
      </c>
      <c r="C48" s="47"/>
      <c r="D48" s="76"/>
    </row>
    <row r="49" spans="1:5" x14ac:dyDescent="0.3">
      <c r="C49" s="52"/>
      <c r="D49" s="68"/>
    </row>
    <row r="50" spans="1:5" x14ac:dyDescent="0.3">
      <c r="A50" s="16" t="s">
        <v>50</v>
      </c>
      <c r="B50" s="33">
        <f>SUM(B43:B48)</f>
        <v>1116872.26</v>
      </c>
      <c r="C50" s="47"/>
      <c r="D50" s="69"/>
    </row>
    <row r="51" spans="1:5" x14ac:dyDescent="0.3">
      <c r="A51" s="16" t="s">
        <v>51</v>
      </c>
      <c r="B51" s="28">
        <v>1115969.82</v>
      </c>
      <c r="C51" s="47"/>
      <c r="D51" s="76"/>
    </row>
    <row r="52" spans="1:5" x14ac:dyDescent="0.3">
      <c r="C52" s="52"/>
      <c r="D52" s="68"/>
    </row>
    <row r="53" spans="1:5" ht="15" thickBot="1" x14ac:dyDescent="0.35">
      <c r="A53" s="16" t="s">
        <v>52</v>
      </c>
      <c r="B53" s="35">
        <f>B50-B51</f>
        <v>902.43999999994412</v>
      </c>
      <c r="C53" s="51"/>
      <c r="D53" s="76"/>
    </row>
    <row r="54" spans="1:5" ht="15" thickBot="1" x14ac:dyDescent="0.35">
      <c r="A54" s="16" t="s">
        <v>53</v>
      </c>
      <c r="B54" s="36">
        <f>B53/B51</f>
        <v>8.0865986142881899E-4</v>
      </c>
      <c r="C54" s="53"/>
      <c r="D54" s="77"/>
    </row>
    <row r="56" spans="1:5" x14ac:dyDescent="0.3">
      <c r="A56" s="16" t="s">
        <v>57</v>
      </c>
    </row>
    <row r="57" spans="1:5" ht="15" thickBot="1" x14ac:dyDescent="0.35"/>
    <row r="58" spans="1:5" ht="15" thickBot="1" x14ac:dyDescent="0.35">
      <c r="A58" s="322" t="s">
        <v>58</v>
      </c>
      <c r="B58" s="323"/>
      <c r="C58" s="323"/>
      <c r="D58" s="323"/>
      <c r="E58" s="324"/>
    </row>
    <row r="59" spans="1:5" ht="15" thickBot="1" x14ac:dyDescent="0.35"/>
    <row r="60" spans="1:5" ht="15" thickBot="1" x14ac:dyDescent="0.35">
      <c r="A60" s="21"/>
      <c r="B60" s="21"/>
      <c r="C60" s="10" t="s">
        <v>27</v>
      </c>
      <c r="D60" s="10" t="s">
        <v>26</v>
      </c>
      <c r="E60" s="21"/>
    </row>
    <row r="61" spans="1:5" ht="15" thickBot="1" x14ac:dyDescent="0.35">
      <c r="A61" s="4" t="s">
        <v>59</v>
      </c>
      <c r="B61" s="40" t="s">
        <v>60</v>
      </c>
      <c r="C61" s="4" t="s">
        <v>61</v>
      </c>
      <c r="D61" s="4" t="s">
        <v>61</v>
      </c>
    </row>
    <row r="62" spans="1:5" x14ac:dyDescent="0.3">
      <c r="A62" s="325">
        <v>2021</v>
      </c>
      <c r="B62" s="38" t="s">
        <v>12</v>
      </c>
      <c r="C62" s="78">
        <v>106706.65</v>
      </c>
      <c r="D62" s="70">
        <v>109.51</v>
      </c>
    </row>
    <row r="63" spans="1:5" x14ac:dyDescent="0.3">
      <c r="A63" s="325"/>
      <c r="B63" s="38" t="s">
        <v>13</v>
      </c>
      <c r="C63" s="78">
        <v>112853.36</v>
      </c>
      <c r="D63" s="70">
        <v>1090.08</v>
      </c>
    </row>
    <row r="64" spans="1:5" x14ac:dyDescent="0.3">
      <c r="A64" s="325"/>
      <c r="B64" s="38" t="s">
        <v>14</v>
      </c>
      <c r="C64" s="78">
        <v>102487.62000000001</v>
      </c>
      <c r="D64" s="70">
        <v>0</v>
      </c>
    </row>
    <row r="65" spans="1:5" x14ac:dyDescent="0.3">
      <c r="A65" s="325"/>
      <c r="B65" s="38" t="s">
        <v>15</v>
      </c>
      <c r="C65" s="78">
        <v>60133.19</v>
      </c>
      <c r="D65" s="70">
        <v>3952.15</v>
      </c>
    </row>
    <row r="66" spans="1:5" x14ac:dyDescent="0.3">
      <c r="A66" s="325"/>
      <c r="B66" s="38" t="s">
        <v>16</v>
      </c>
      <c r="C66" s="79">
        <v>82604.53</v>
      </c>
      <c r="D66" s="70">
        <v>7640.49</v>
      </c>
    </row>
    <row r="67" spans="1:5" x14ac:dyDescent="0.3">
      <c r="A67" s="325"/>
      <c r="B67" s="38" t="s">
        <v>17</v>
      </c>
      <c r="C67" s="79">
        <v>122677.77</v>
      </c>
      <c r="D67" s="70">
        <v>7961.05</v>
      </c>
    </row>
    <row r="68" spans="1:5" x14ac:dyDescent="0.3">
      <c r="A68" s="325"/>
      <c r="B68" s="38" t="s">
        <v>18</v>
      </c>
      <c r="C68" s="79">
        <v>108572.58000000002</v>
      </c>
      <c r="D68" s="70">
        <v>0</v>
      </c>
    </row>
    <row r="69" spans="1:5" x14ac:dyDescent="0.3">
      <c r="A69" s="325"/>
      <c r="B69" s="38" t="s">
        <v>19</v>
      </c>
      <c r="C69" s="79">
        <v>109381.40000000001</v>
      </c>
      <c r="D69" s="70">
        <v>3117.51</v>
      </c>
    </row>
    <row r="70" spans="1:5" x14ac:dyDescent="0.3">
      <c r="A70" s="325"/>
      <c r="B70" s="38" t="s">
        <v>20</v>
      </c>
      <c r="C70" s="79">
        <v>81783.109999999986</v>
      </c>
      <c r="D70" s="70">
        <v>10541.87</v>
      </c>
    </row>
    <row r="71" spans="1:5" x14ac:dyDescent="0.3">
      <c r="A71" s="325"/>
      <c r="B71" s="38" t="s">
        <v>21</v>
      </c>
      <c r="C71" s="79">
        <v>82197.149999999994</v>
      </c>
      <c r="D71" s="70">
        <v>0</v>
      </c>
    </row>
    <row r="72" spans="1:5" x14ac:dyDescent="0.3">
      <c r="A72" s="325"/>
      <c r="B72" s="38" t="s">
        <v>22</v>
      </c>
      <c r="C72" s="79">
        <v>99331.170000000013</v>
      </c>
      <c r="D72" s="70">
        <v>35.479999999999997</v>
      </c>
    </row>
    <row r="73" spans="1:5" x14ac:dyDescent="0.3">
      <c r="A73" s="325"/>
      <c r="B73" s="38" t="s">
        <v>23</v>
      </c>
      <c r="C73" s="80">
        <v>102710.01999999999</v>
      </c>
      <c r="D73" s="71">
        <v>0</v>
      </c>
    </row>
    <row r="75" spans="1:5" ht="15" thickBot="1" x14ac:dyDescent="0.35">
      <c r="A75" s="42" t="s">
        <v>70</v>
      </c>
      <c r="C75" s="35">
        <f>SUM(C62:C73)</f>
        <v>1171438.55</v>
      </c>
      <c r="D75" s="35">
        <f>SUM(D62:D73)</f>
        <v>34448.140000000007</v>
      </c>
    </row>
    <row r="76" spans="1:5" ht="15" thickBot="1" x14ac:dyDescent="0.35"/>
    <row r="77" spans="1:5" ht="15" thickBot="1" x14ac:dyDescent="0.35">
      <c r="A77" s="320" t="s">
        <v>63</v>
      </c>
      <c r="B77" s="326"/>
      <c r="C77" s="326"/>
      <c r="D77" s="326"/>
      <c r="E77" s="321"/>
    </row>
    <row r="79" spans="1:5" x14ac:dyDescent="0.3">
      <c r="A79" s="39" t="s">
        <v>70</v>
      </c>
      <c r="B79" s="6">
        <f>C75+D75</f>
        <v>1205886.69</v>
      </c>
    </row>
    <row r="80" spans="1:5" x14ac:dyDescent="0.3">
      <c r="A80" s="39" t="s">
        <v>64</v>
      </c>
      <c r="B80" s="37">
        <f>B51</f>
        <v>1115969.82</v>
      </c>
    </row>
    <row r="82" spans="1:2" x14ac:dyDescent="0.3">
      <c r="A82" s="39" t="s">
        <v>65</v>
      </c>
      <c r="B82" s="6">
        <f>B79-B80</f>
        <v>89916.869999999879</v>
      </c>
    </row>
    <row r="83" spans="1:2" ht="28.8" x14ac:dyDescent="0.3">
      <c r="A83" s="54" t="s">
        <v>104</v>
      </c>
      <c r="B83" s="28">
        <v>75443</v>
      </c>
    </row>
    <row r="85" spans="1:2" ht="15" thickBot="1" x14ac:dyDescent="0.35">
      <c r="A85" s="39" t="s">
        <v>25</v>
      </c>
      <c r="B85" s="41">
        <f>B82-B83</f>
        <v>14473.869999999879</v>
      </c>
    </row>
    <row r="86" spans="1:2" ht="15" thickBot="1" x14ac:dyDescent="0.35">
      <c r="A86" s="39" t="s">
        <v>67</v>
      </c>
      <c r="B86" s="36">
        <f>B85/B80</f>
        <v>1.2969768304307619E-2</v>
      </c>
    </row>
    <row r="88" spans="1:2" x14ac:dyDescent="0.3">
      <c r="A88" s="39" t="s">
        <v>66</v>
      </c>
    </row>
  </sheetData>
  <mergeCells count="13">
    <mergeCell ref="A62:A73"/>
    <mergeCell ref="A77:E77"/>
    <mergeCell ref="A21:E21"/>
    <mergeCell ref="A58:E58"/>
    <mergeCell ref="A23:C23"/>
    <mergeCell ref="A32:C32"/>
    <mergeCell ref="A41:B41"/>
    <mergeCell ref="A16:C16"/>
    <mergeCell ref="A1:E1"/>
    <mergeCell ref="A2:E2"/>
    <mergeCell ref="A3:E3"/>
    <mergeCell ref="A5:E5"/>
    <mergeCell ref="A7:D7"/>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88"/>
  <sheetViews>
    <sheetView workbookViewId="0">
      <selection activeCell="A83" sqref="A83"/>
    </sheetView>
  </sheetViews>
  <sheetFormatPr defaultRowHeight="14.4" x14ac:dyDescent="0.3"/>
  <cols>
    <col min="1" max="1" width="44.88671875" customWidth="1"/>
    <col min="2" max="4" width="30.6640625" customWidth="1"/>
    <col min="8" max="8" width="30.6640625" customWidth="1"/>
    <col min="12" max="12" width="30.6640625" customWidth="1"/>
  </cols>
  <sheetData>
    <row r="1" spans="1:4" x14ac:dyDescent="0.3">
      <c r="A1" s="284" t="s">
        <v>0</v>
      </c>
      <c r="B1" s="284"/>
      <c r="C1" s="284"/>
      <c r="D1" s="284"/>
    </row>
    <row r="2" spans="1:4" x14ac:dyDescent="0.3">
      <c r="A2" s="284" t="s">
        <v>106</v>
      </c>
      <c r="B2" s="284"/>
      <c r="C2" s="284"/>
      <c r="D2" s="284"/>
    </row>
    <row r="3" spans="1:4" x14ac:dyDescent="0.3">
      <c r="A3" s="284">
        <v>2021</v>
      </c>
      <c r="B3" s="284"/>
      <c r="C3" s="284"/>
      <c r="D3" s="284"/>
    </row>
    <row r="4" spans="1:4" ht="15" thickBot="1" x14ac:dyDescent="0.35">
      <c r="A4" s="11"/>
      <c r="B4" s="11"/>
      <c r="C4" s="11"/>
      <c r="D4" s="11"/>
    </row>
    <row r="5" spans="1:4" ht="15" thickBot="1" x14ac:dyDescent="0.35">
      <c r="A5" s="320" t="s">
        <v>43</v>
      </c>
      <c r="B5" s="326"/>
      <c r="C5" s="326"/>
      <c r="D5" s="321"/>
    </row>
    <row r="6" spans="1:4" ht="15" thickBot="1" x14ac:dyDescent="0.35">
      <c r="A6" s="11"/>
      <c r="B6" s="11"/>
      <c r="C6" s="11"/>
      <c r="D6" s="11"/>
    </row>
    <row r="7" spans="1:4" ht="15" thickBot="1" x14ac:dyDescent="0.35">
      <c r="A7" s="320" t="s">
        <v>46</v>
      </c>
      <c r="B7" s="326"/>
      <c r="C7" s="326"/>
      <c r="D7" s="321"/>
    </row>
    <row r="8" spans="1:4" ht="15" thickBot="1" x14ac:dyDescent="0.35">
      <c r="A8" s="29" t="s">
        <v>42</v>
      </c>
      <c r="B8" s="4" t="s">
        <v>44</v>
      </c>
      <c r="C8" s="30">
        <v>43952</v>
      </c>
      <c r="D8" s="30">
        <v>44317</v>
      </c>
    </row>
    <row r="9" spans="1:4" x14ac:dyDescent="0.3">
      <c r="A9" s="16" t="s">
        <v>1</v>
      </c>
      <c r="B9" s="31" t="s">
        <v>2</v>
      </c>
      <c r="C9" s="25">
        <v>5.0000000000000001E-3</v>
      </c>
      <c r="D9" s="25">
        <v>5.0000000000000001E-3</v>
      </c>
    </row>
    <row r="10" spans="1:4" x14ac:dyDescent="0.3">
      <c r="A10" s="16" t="s">
        <v>3</v>
      </c>
      <c r="B10" s="31" t="s">
        <v>2</v>
      </c>
      <c r="C10" s="25">
        <v>4.4000000000000003E-3</v>
      </c>
      <c r="D10" s="25">
        <v>4.4000000000000003E-3</v>
      </c>
    </row>
    <row r="11" spans="1:4" x14ac:dyDescent="0.3">
      <c r="A11" s="16" t="s">
        <v>4</v>
      </c>
      <c r="B11" s="31" t="s">
        <v>45</v>
      </c>
      <c r="C11" s="25">
        <v>1.7725</v>
      </c>
      <c r="D11" s="25">
        <v>1.786</v>
      </c>
    </row>
    <row r="12" spans="1:4" x14ac:dyDescent="0.3">
      <c r="A12" s="16" t="s">
        <v>6</v>
      </c>
      <c r="B12" s="31" t="s">
        <v>5</v>
      </c>
      <c r="C12" s="25">
        <v>1.3993</v>
      </c>
      <c r="D12" s="25">
        <v>1.4098999999999999</v>
      </c>
    </row>
    <row r="13" spans="1:4" x14ac:dyDescent="0.3">
      <c r="A13" s="16" t="s">
        <v>7</v>
      </c>
      <c r="B13" s="31" t="s">
        <v>5</v>
      </c>
      <c r="C13" s="25">
        <v>1.3704000000000001</v>
      </c>
      <c r="D13" s="25">
        <v>1.3808</v>
      </c>
    </row>
    <row r="14" spans="1:4" x14ac:dyDescent="0.3">
      <c r="A14" s="16" t="s">
        <v>8</v>
      </c>
      <c r="B14" s="31" t="s">
        <v>2</v>
      </c>
      <c r="C14" s="25">
        <v>4.4000000000000003E-3</v>
      </c>
      <c r="D14" s="25">
        <v>4.4000000000000003E-3</v>
      </c>
    </row>
    <row r="15" spans="1:4" ht="15" thickBot="1" x14ac:dyDescent="0.35">
      <c r="A15" s="11"/>
      <c r="B15" s="11"/>
      <c r="C15" s="11"/>
      <c r="D15" s="11"/>
    </row>
    <row r="16" spans="1:4" ht="15" thickBot="1" x14ac:dyDescent="0.35">
      <c r="A16" s="320" t="s">
        <v>47</v>
      </c>
      <c r="B16" s="326"/>
      <c r="C16" s="326"/>
      <c r="D16" s="321"/>
    </row>
    <row r="17" spans="1:4" ht="15" thickBot="1" x14ac:dyDescent="0.35">
      <c r="A17" s="29" t="s">
        <v>42</v>
      </c>
      <c r="B17" s="4" t="s">
        <v>44</v>
      </c>
      <c r="C17" s="30">
        <v>44197</v>
      </c>
      <c r="D17" s="48"/>
    </row>
    <row r="18" spans="1:4" x14ac:dyDescent="0.3">
      <c r="A18" s="16" t="s">
        <v>27</v>
      </c>
      <c r="B18" s="32" t="s">
        <v>5</v>
      </c>
      <c r="C18" s="73">
        <f>0.8128+2.0458</f>
        <v>2.8586</v>
      </c>
      <c r="D18" s="44"/>
    </row>
    <row r="19" spans="1:4" x14ac:dyDescent="0.3">
      <c r="A19" s="16" t="s">
        <v>26</v>
      </c>
      <c r="B19" s="32" t="s">
        <v>5</v>
      </c>
      <c r="C19" s="73">
        <f>C18*0.5</f>
        <v>1.4293</v>
      </c>
      <c r="D19" s="44"/>
    </row>
    <row r="20" spans="1:4" ht="15" thickBot="1" x14ac:dyDescent="0.35">
      <c r="A20" s="16"/>
      <c r="B20" s="3"/>
      <c r="C20" s="11"/>
      <c r="D20" s="16"/>
    </row>
    <row r="21" spans="1:4" ht="15" thickBot="1" x14ac:dyDescent="0.35">
      <c r="A21" s="322" t="s">
        <v>48</v>
      </c>
      <c r="B21" s="323"/>
      <c r="C21" s="323"/>
      <c r="D21" s="324"/>
    </row>
    <row r="22" spans="1:4" ht="15" thickBot="1" x14ac:dyDescent="0.35">
      <c r="A22" s="16"/>
      <c r="B22" s="3"/>
      <c r="C22" s="11"/>
      <c r="D22" s="16"/>
    </row>
    <row r="23" spans="1:4" ht="15" thickBot="1" x14ac:dyDescent="0.35">
      <c r="A23" s="322" t="s">
        <v>55</v>
      </c>
      <c r="B23" s="323"/>
      <c r="C23" s="324"/>
      <c r="D23" s="17"/>
    </row>
    <row r="24" spans="1:4" ht="15" thickBot="1" x14ac:dyDescent="0.35">
      <c r="A24" s="46" t="s">
        <v>49</v>
      </c>
      <c r="B24" s="46" t="s">
        <v>44</v>
      </c>
      <c r="C24" s="46">
        <v>2021</v>
      </c>
      <c r="D24" s="50"/>
    </row>
    <row r="25" spans="1:4" x14ac:dyDescent="0.3">
      <c r="A25" s="16" t="s">
        <v>1</v>
      </c>
      <c r="B25" s="31" t="s">
        <v>2</v>
      </c>
      <c r="C25" s="72">
        <v>85333074</v>
      </c>
      <c r="D25" s="47"/>
    </row>
    <row r="26" spans="1:4" x14ac:dyDescent="0.3">
      <c r="A26" s="16" t="s">
        <v>3</v>
      </c>
      <c r="B26" s="31" t="s">
        <v>2</v>
      </c>
      <c r="C26" s="72">
        <v>27003039</v>
      </c>
      <c r="D26" s="47"/>
    </row>
    <row r="27" spans="1:4" x14ac:dyDescent="0.3">
      <c r="A27" s="16" t="s">
        <v>4</v>
      </c>
      <c r="B27" s="31" t="s">
        <v>45</v>
      </c>
      <c r="C27" s="72">
        <v>188052.4</v>
      </c>
      <c r="D27" s="47"/>
    </row>
    <row r="28" spans="1:4" x14ac:dyDescent="0.3">
      <c r="A28" s="16" t="s">
        <v>6</v>
      </c>
      <c r="B28" s="31" t="s">
        <v>5</v>
      </c>
      <c r="C28" s="72">
        <v>511.5</v>
      </c>
      <c r="D28" s="47"/>
    </row>
    <row r="29" spans="1:4" x14ac:dyDescent="0.3">
      <c r="A29" s="16" t="s">
        <v>7</v>
      </c>
      <c r="B29" s="31" t="s">
        <v>5</v>
      </c>
      <c r="C29" s="72">
        <v>2822.7</v>
      </c>
      <c r="D29" s="47"/>
    </row>
    <row r="30" spans="1:4" x14ac:dyDescent="0.3">
      <c r="A30" s="16" t="s">
        <v>8</v>
      </c>
      <c r="B30" s="31" t="s">
        <v>2</v>
      </c>
      <c r="C30" s="72">
        <v>613644</v>
      </c>
      <c r="D30" s="47"/>
    </row>
    <row r="31" spans="1:4" ht="15" thickBot="1" x14ac:dyDescent="0.35">
      <c r="A31" s="16"/>
      <c r="B31" s="31"/>
      <c r="C31" s="34"/>
      <c r="D31" s="34"/>
    </row>
    <row r="32" spans="1:4" ht="15" thickBot="1" x14ac:dyDescent="0.35">
      <c r="A32" s="322" t="s">
        <v>56</v>
      </c>
      <c r="B32" s="323"/>
      <c r="C32" s="324"/>
      <c r="D32" s="17"/>
    </row>
    <row r="33" spans="1:4" ht="15" thickBot="1" x14ac:dyDescent="0.35">
      <c r="A33" s="46" t="s">
        <v>49</v>
      </c>
      <c r="B33" s="46" t="s">
        <v>44</v>
      </c>
      <c r="C33" s="46">
        <v>2021</v>
      </c>
      <c r="D33" s="20"/>
    </row>
    <row r="34" spans="1:4" x14ac:dyDescent="0.3">
      <c r="A34" s="16" t="s">
        <v>1</v>
      </c>
      <c r="B34" s="31" t="s">
        <v>2</v>
      </c>
      <c r="C34" s="34">
        <f t="shared" ref="C34:C39" si="0">ROUND(C25*1.0457,2)</f>
        <v>89232795.480000004</v>
      </c>
      <c r="D34" s="47"/>
    </row>
    <row r="35" spans="1:4" x14ac:dyDescent="0.3">
      <c r="A35" s="16" t="s">
        <v>3</v>
      </c>
      <c r="B35" s="31" t="s">
        <v>2</v>
      </c>
      <c r="C35" s="34">
        <f t="shared" si="0"/>
        <v>28237077.879999999</v>
      </c>
      <c r="D35" s="47"/>
    </row>
    <row r="36" spans="1:4" x14ac:dyDescent="0.3">
      <c r="A36" s="16" t="s">
        <v>4</v>
      </c>
      <c r="B36" s="31" t="s">
        <v>45</v>
      </c>
      <c r="C36" s="34">
        <f t="shared" si="0"/>
        <v>196646.39</v>
      </c>
      <c r="D36" s="47"/>
    </row>
    <row r="37" spans="1:4" x14ac:dyDescent="0.3">
      <c r="A37" s="16" t="s">
        <v>6</v>
      </c>
      <c r="B37" s="31" t="s">
        <v>5</v>
      </c>
      <c r="C37" s="34">
        <f t="shared" si="0"/>
        <v>534.88</v>
      </c>
      <c r="D37" s="47"/>
    </row>
    <row r="38" spans="1:4" x14ac:dyDescent="0.3">
      <c r="A38" s="16" t="s">
        <v>7</v>
      </c>
      <c r="B38" s="31" t="s">
        <v>5</v>
      </c>
      <c r="C38" s="34">
        <f t="shared" si="0"/>
        <v>2951.7</v>
      </c>
      <c r="D38" s="47"/>
    </row>
    <row r="39" spans="1:4" x14ac:dyDescent="0.3">
      <c r="A39" s="16" t="s">
        <v>8</v>
      </c>
      <c r="B39" s="31" t="s">
        <v>2</v>
      </c>
      <c r="C39" s="34">
        <f t="shared" si="0"/>
        <v>641687.53</v>
      </c>
      <c r="D39" s="47"/>
    </row>
    <row r="40" spans="1:4" ht="15" thickBot="1" x14ac:dyDescent="0.35">
      <c r="A40" s="11"/>
      <c r="B40" s="11"/>
      <c r="C40" s="11"/>
      <c r="D40" s="11"/>
    </row>
    <row r="41" spans="1:4" ht="15" thickBot="1" x14ac:dyDescent="0.35">
      <c r="A41" s="322" t="s">
        <v>54</v>
      </c>
      <c r="B41" s="324"/>
      <c r="C41" s="17"/>
      <c r="D41" s="17"/>
    </row>
    <row r="42" spans="1:4" ht="15" thickBot="1" x14ac:dyDescent="0.35">
      <c r="A42" s="4" t="s">
        <v>49</v>
      </c>
      <c r="B42" s="4">
        <v>2021</v>
      </c>
      <c r="C42" s="50"/>
      <c r="D42" s="20"/>
    </row>
    <row r="43" spans="1:4" x14ac:dyDescent="0.3">
      <c r="A43" s="16" t="s">
        <v>1</v>
      </c>
      <c r="B43" s="33">
        <f>ROUND(((C9/12*4)+(D9/12*8))*C34,2)</f>
        <v>446163.98</v>
      </c>
      <c r="C43" s="47"/>
      <c r="D43" s="76"/>
    </row>
    <row r="44" spans="1:4" x14ac:dyDescent="0.3">
      <c r="A44" s="16" t="s">
        <v>3</v>
      </c>
      <c r="B44" s="33">
        <f t="shared" ref="B44:B48" si="1">ROUND(((C10/12*4)+(D10/12*8))*C35,2)</f>
        <v>124243.14</v>
      </c>
      <c r="C44" s="47"/>
      <c r="D44" s="76"/>
    </row>
    <row r="45" spans="1:4" x14ac:dyDescent="0.3">
      <c r="A45" s="16" t="s">
        <v>4</v>
      </c>
      <c r="B45" s="33">
        <f t="shared" si="1"/>
        <v>350325.54</v>
      </c>
      <c r="C45" s="47"/>
      <c r="D45" s="76"/>
    </row>
    <row r="46" spans="1:4" x14ac:dyDescent="0.3">
      <c r="A46" s="16" t="s">
        <v>6</v>
      </c>
      <c r="B46" s="33">
        <f t="shared" si="1"/>
        <v>752.24</v>
      </c>
      <c r="C46" s="47"/>
      <c r="D46" s="76"/>
    </row>
    <row r="47" spans="1:4" x14ac:dyDescent="0.3">
      <c r="A47" s="16" t="s">
        <v>7</v>
      </c>
      <c r="B47" s="33">
        <f t="shared" si="1"/>
        <v>4065.47</v>
      </c>
      <c r="C47" s="47"/>
      <c r="D47" s="76"/>
    </row>
    <row r="48" spans="1:4" x14ac:dyDescent="0.3">
      <c r="A48" s="16" t="s">
        <v>8</v>
      </c>
      <c r="B48" s="5">
        <f t="shared" si="1"/>
        <v>2823.43</v>
      </c>
      <c r="C48" s="47"/>
      <c r="D48" s="76"/>
    </row>
    <row r="49" spans="1:4" x14ac:dyDescent="0.3">
      <c r="C49" s="52"/>
      <c r="D49" s="68"/>
    </row>
    <row r="50" spans="1:4" x14ac:dyDescent="0.3">
      <c r="A50" s="16" t="s">
        <v>50</v>
      </c>
      <c r="B50" s="33">
        <f>SUM(B43:B48)</f>
        <v>928373.79999999993</v>
      </c>
      <c r="C50" s="47"/>
      <c r="D50" s="69"/>
    </row>
    <row r="51" spans="1:4" x14ac:dyDescent="0.3">
      <c r="A51" s="16" t="s">
        <v>51</v>
      </c>
      <c r="B51" s="28">
        <v>936435.7</v>
      </c>
      <c r="C51" s="47"/>
      <c r="D51" s="76"/>
    </row>
    <row r="52" spans="1:4" x14ac:dyDescent="0.3">
      <c r="C52" s="52"/>
      <c r="D52" s="68"/>
    </row>
    <row r="53" spans="1:4" ht="15" thickBot="1" x14ac:dyDescent="0.35">
      <c r="A53" s="16" t="s">
        <v>52</v>
      </c>
      <c r="B53" s="35">
        <f>B50-B51</f>
        <v>-8061.9000000000233</v>
      </c>
      <c r="C53" s="51"/>
      <c r="D53" s="76"/>
    </row>
    <row r="54" spans="1:4" ht="15" thickBot="1" x14ac:dyDescent="0.35">
      <c r="A54" s="16" t="s">
        <v>53</v>
      </c>
      <c r="B54" s="36">
        <f>B53/B51</f>
        <v>-8.6091335475570012E-3</v>
      </c>
      <c r="C54" s="53"/>
      <c r="D54" s="77"/>
    </row>
    <row r="56" spans="1:4" x14ac:dyDescent="0.3">
      <c r="A56" s="16" t="s">
        <v>57</v>
      </c>
    </row>
    <row r="57" spans="1:4" ht="15" thickBot="1" x14ac:dyDescent="0.35"/>
    <row r="58" spans="1:4" ht="15" thickBot="1" x14ac:dyDescent="0.35">
      <c r="A58" s="322" t="s">
        <v>58</v>
      </c>
      <c r="B58" s="323"/>
      <c r="C58" s="323"/>
      <c r="D58" s="324"/>
    </row>
    <row r="59" spans="1:4" ht="15" thickBot="1" x14ac:dyDescent="0.35"/>
    <row r="60" spans="1:4" ht="15" thickBot="1" x14ac:dyDescent="0.35">
      <c r="A60" s="320" t="s">
        <v>27</v>
      </c>
      <c r="B60" s="326"/>
      <c r="C60" s="321"/>
      <c r="D60" s="21"/>
    </row>
    <row r="61" spans="1:4" ht="15" thickBot="1" x14ac:dyDescent="0.35">
      <c r="A61" s="4" t="s">
        <v>59</v>
      </c>
      <c r="B61" s="40" t="s">
        <v>60</v>
      </c>
      <c r="C61" s="4" t="s">
        <v>61</v>
      </c>
      <c r="D61" s="20"/>
    </row>
    <row r="62" spans="1:4" x14ac:dyDescent="0.3">
      <c r="A62" s="325">
        <v>2021</v>
      </c>
      <c r="B62" s="38" t="s">
        <v>12</v>
      </c>
      <c r="C62" s="81">
        <v>87813.540000000008</v>
      </c>
    </row>
    <row r="63" spans="1:4" x14ac:dyDescent="0.3">
      <c r="A63" s="325"/>
      <c r="B63" s="38" t="s">
        <v>13</v>
      </c>
      <c r="C63" s="27">
        <v>92770.58</v>
      </c>
    </row>
    <row r="64" spans="1:4" x14ac:dyDescent="0.3">
      <c r="A64" s="325"/>
      <c r="B64" s="38" t="s">
        <v>14</v>
      </c>
      <c r="C64" s="27">
        <v>88289.24</v>
      </c>
    </row>
    <row r="65" spans="1:4" x14ac:dyDescent="0.3">
      <c r="A65" s="325"/>
      <c r="B65" s="38" t="s">
        <v>15</v>
      </c>
      <c r="C65" s="27">
        <v>51904.799999999996</v>
      </c>
    </row>
    <row r="66" spans="1:4" x14ac:dyDescent="0.3">
      <c r="A66" s="325"/>
      <c r="B66" s="38" t="s">
        <v>16</v>
      </c>
      <c r="C66" s="27">
        <v>67897.31</v>
      </c>
    </row>
    <row r="67" spans="1:4" x14ac:dyDescent="0.3">
      <c r="A67" s="325"/>
      <c r="B67" s="38" t="s">
        <v>17</v>
      </c>
      <c r="C67" s="27">
        <v>100835.78</v>
      </c>
    </row>
    <row r="68" spans="1:4" x14ac:dyDescent="0.3">
      <c r="A68" s="325"/>
      <c r="B68" s="38" t="s">
        <v>18</v>
      </c>
      <c r="C68" s="27">
        <v>89362.31</v>
      </c>
    </row>
    <row r="69" spans="1:4" x14ac:dyDescent="0.3">
      <c r="A69" s="325"/>
      <c r="B69" s="38" t="s">
        <v>19</v>
      </c>
      <c r="C69" s="27">
        <v>90033.56</v>
      </c>
    </row>
    <row r="70" spans="1:4" x14ac:dyDescent="0.3">
      <c r="A70" s="325"/>
      <c r="B70" s="38" t="s">
        <v>20</v>
      </c>
      <c r="C70" s="27">
        <v>67279.48</v>
      </c>
    </row>
    <row r="71" spans="1:4" x14ac:dyDescent="0.3">
      <c r="A71" s="325"/>
      <c r="B71" s="38" t="s">
        <v>21</v>
      </c>
      <c r="C71" s="27">
        <v>67562.47</v>
      </c>
    </row>
    <row r="72" spans="1:4" x14ac:dyDescent="0.3">
      <c r="A72" s="325"/>
      <c r="B72" s="38" t="s">
        <v>22</v>
      </c>
      <c r="C72" s="27">
        <v>83039.28</v>
      </c>
    </row>
    <row r="73" spans="1:4" x14ac:dyDescent="0.3">
      <c r="A73" s="325"/>
      <c r="B73" s="38" t="s">
        <v>23</v>
      </c>
      <c r="C73" s="28">
        <v>86409.55</v>
      </c>
    </row>
    <row r="75" spans="1:4" ht="15" thickBot="1" x14ac:dyDescent="0.35">
      <c r="A75" s="42" t="s">
        <v>62</v>
      </c>
      <c r="C75" s="35">
        <f>SUM(C62:C73)</f>
        <v>973197.90000000014</v>
      </c>
    </row>
    <row r="76" spans="1:4" ht="15" thickBot="1" x14ac:dyDescent="0.35"/>
    <row r="77" spans="1:4" ht="15" thickBot="1" x14ac:dyDescent="0.35">
      <c r="A77" s="320" t="s">
        <v>63</v>
      </c>
      <c r="B77" s="326"/>
      <c r="C77" s="326"/>
      <c r="D77" s="321"/>
    </row>
    <row r="79" spans="1:4" x14ac:dyDescent="0.3">
      <c r="A79" t="s">
        <v>62</v>
      </c>
      <c r="B79" s="6">
        <f>C75</f>
        <v>973197.90000000014</v>
      </c>
    </row>
    <row r="80" spans="1:4" x14ac:dyDescent="0.3">
      <c r="A80" t="s">
        <v>64</v>
      </c>
      <c r="B80" s="37">
        <f>B51</f>
        <v>936435.7</v>
      </c>
    </row>
    <row r="82" spans="1:2" x14ac:dyDescent="0.3">
      <c r="A82" t="s">
        <v>65</v>
      </c>
      <c r="B82" s="6">
        <f>B79-B80</f>
        <v>36762.200000000186</v>
      </c>
    </row>
    <row r="83" spans="1:2" ht="28.8" x14ac:dyDescent="0.3">
      <c r="A83" s="54" t="s">
        <v>108</v>
      </c>
      <c r="B83" s="28">
        <v>36762</v>
      </c>
    </row>
    <row r="85" spans="1:2" ht="15" thickBot="1" x14ac:dyDescent="0.35">
      <c r="A85" t="s">
        <v>25</v>
      </c>
      <c r="B85" s="41">
        <f>B82-B83</f>
        <v>0.20000000018626451</v>
      </c>
    </row>
    <row r="86" spans="1:2" s="39" customFormat="1" ht="15" thickBot="1" x14ac:dyDescent="0.35">
      <c r="A86" s="39" t="s">
        <v>67</v>
      </c>
      <c r="B86" s="36">
        <f>B85/B80</f>
        <v>2.1357579616653288E-7</v>
      </c>
    </row>
    <row r="88" spans="1:2" x14ac:dyDescent="0.3">
      <c r="A88" t="s">
        <v>66</v>
      </c>
    </row>
  </sheetData>
  <mergeCells count="14">
    <mergeCell ref="A23:C23"/>
    <mergeCell ref="A32:C32"/>
    <mergeCell ref="A41:B41"/>
    <mergeCell ref="A77:D77"/>
    <mergeCell ref="A1:D1"/>
    <mergeCell ref="A2:D2"/>
    <mergeCell ref="A3:D3"/>
    <mergeCell ref="A5:D5"/>
    <mergeCell ref="A16:D16"/>
    <mergeCell ref="A21:D21"/>
    <mergeCell ref="A58:D58"/>
    <mergeCell ref="A62:A73"/>
    <mergeCell ref="A60:C60"/>
    <mergeCell ref="A7:D7"/>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62"/>
  <sheetViews>
    <sheetView workbookViewId="0">
      <selection activeCell="C48" sqref="C48"/>
    </sheetView>
  </sheetViews>
  <sheetFormatPr defaultColWidth="9.109375" defaultRowHeight="14.4" x14ac:dyDescent="0.3"/>
  <cols>
    <col min="1" max="1" width="44.88671875" style="39" customWidth="1"/>
    <col min="2" max="5" width="30.6640625" style="39" customWidth="1"/>
    <col min="6" max="8" width="9.109375" style="39"/>
    <col min="9" max="9" width="30.6640625" style="39" customWidth="1"/>
    <col min="10" max="12" width="9.109375" style="39"/>
    <col min="13" max="13" width="30.6640625" style="39" customWidth="1"/>
    <col min="14" max="16384" width="9.109375" style="39"/>
  </cols>
  <sheetData>
    <row r="1" spans="1:5" x14ac:dyDescent="0.3">
      <c r="A1" s="284" t="s">
        <v>0</v>
      </c>
      <c r="B1" s="284"/>
      <c r="C1" s="284"/>
      <c r="D1" s="284"/>
      <c r="E1" s="284"/>
    </row>
    <row r="2" spans="1:5" x14ac:dyDescent="0.3">
      <c r="A2" s="284" t="s">
        <v>105</v>
      </c>
      <c r="B2" s="284"/>
      <c r="C2" s="284"/>
      <c r="D2" s="284"/>
      <c r="E2" s="284"/>
    </row>
    <row r="3" spans="1:5" x14ac:dyDescent="0.3">
      <c r="A3" s="284">
        <v>2021</v>
      </c>
      <c r="B3" s="284"/>
      <c r="C3" s="284"/>
      <c r="D3" s="284"/>
      <c r="E3" s="284"/>
    </row>
    <row r="4" spans="1:5" ht="15" thickBot="1" x14ac:dyDescent="0.35">
      <c r="A4" s="11"/>
      <c r="B4" s="11"/>
      <c r="C4" s="11"/>
      <c r="D4" s="11"/>
      <c r="E4" s="11"/>
    </row>
    <row r="5" spans="1:5" ht="15" thickBot="1" x14ac:dyDescent="0.35">
      <c r="A5" s="320" t="s">
        <v>72</v>
      </c>
      <c r="B5" s="326"/>
      <c r="C5" s="326"/>
      <c r="D5" s="326"/>
      <c r="E5" s="321"/>
    </row>
    <row r="6" spans="1:5" ht="15" thickBot="1" x14ac:dyDescent="0.35">
      <c r="A6" s="11"/>
      <c r="B6" s="11"/>
      <c r="C6" s="11"/>
      <c r="D6" s="11"/>
      <c r="E6" s="11"/>
    </row>
    <row r="7" spans="1:5" ht="15" thickBot="1" x14ac:dyDescent="0.35">
      <c r="A7" s="320" t="s">
        <v>46</v>
      </c>
      <c r="B7" s="326"/>
      <c r="C7" s="326"/>
      <c r="D7" s="321"/>
      <c r="E7" s="21"/>
    </row>
    <row r="8" spans="1:5" ht="15" thickBot="1" x14ac:dyDescent="0.35">
      <c r="A8" s="29" t="s">
        <v>73</v>
      </c>
      <c r="B8" s="4" t="s">
        <v>44</v>
      </c>
      <c r="C8" s="30">
        <v>43952</v>
      </c>
      <c r="D8" s="30">
        <v>44317</v>
      </c>
      <c r="E8" s="48"/>
    </row>
    <row r="9" spans="1:5" x14ac:dyDescent="0.3">
      <c r="A9" s="16" t="s">
        <v>1</v>
      </c>
      <c r="B9" s="31" t="s">
        <v>75</v>
      </c>
      <c r="C9" s="25">
        <v>0.56999999999999995</v>
      </c>
      <c r="D9" s="25">
        <v>0.56999999999999995</v>
      </c>
      <c r="E9" s="45"/>
    </row>
    <row r="10" spans="1:5" x14ac:dyDescent="0.3">
      <c r="A10" s="16" t="s">
        <v>3</v>
      </c>
      <c r="B10" s="31" t="s">
        <v>75</v>
      </c>
      <c r="C10" s="25">
        <v>0.56999999999999995</v>
      </c>
      <c r="D10" s="25">
        <v>0.56999999999999995</v>
      </c>
      <c r="E10" s="45"/>
    </row>
    <row r="11" spans="1:5" ht="15" thickBot="1" x14ac:dyDescent="0.35">
      <c r="A11" s="16"/>
      <c r="B11" s="3"/>
      <c r="C11" s="11"/>
      <c r="D11" s="16"/>
      <c r="E11" s="3"/>
    </row>
    <row r="12" spans="1:5" ht="15" thickBot="1" x14ac:dyDescent="0.35">
      <c r="A12" s="322" t="s">
        <v>48</v>
      </c>
      <c r="B12" s="323"/>
      <c r="C12" s="323"/>
      <c r="D12" s="323"/>
      <c r="E12" s="324"/>
    </row>
    <row r="13" spans="1:5" ht="15" thickBot="1" x14ac:dyDescent="0.35">
      <c r="A13" s="16"/>
      <c r="B13" s="3"/>
      <c r="C13" s="11"/>
      <c r="D13" s="16"/>
      <c r="E13" s="3"/>
    </row>
    <row r="14" spans="1:5" ht="15" thickBot="1" x14ac:dyDescent="0.35">
      <c r="A14" s="322" t="s">
        <v>77</v>
      </c>
      <c r="B14" s="323"/>
      <c r="C14" s="324"/>
      <c r="D14" s="17"/>
      <c r="E14" s="3"/>
    </row>
    <row r="15" spans="1:5" ht="15" thickBot="1" x14ac:dyDescent="0.35">
      <c r="A15" s="46" t="s">
        <v>49</v>
      </c>
      <c r="B15" s="46">
        <v>2020</v>
      </c>
      <c r="C15" s="46">
        <v>2021</v>
      </c>
      <c r="D15" s="50"/>
      <c r="E15" s="11"/>
    </row>
    <row r="16" spans="1:5" x14ac:dyDescent="0.3">
      <c r="A16" s="16" t="s">
        <v>1</v>
      </c>
      <c r="B16" s="74">
        <v>10019</v>
      </c>
      <c r="C16" s="74">
        <v>10127</v>
      </c>
      <c r="D16" s="82"/>
      <c r="E16" s="11"/>
    </row>
    <row r="17" spans="1:5" x14ac:dyDescent="0.3">
      <c r="A17" s="16" t="s">
        <v>3</v>
      </c>
      <c r="B17" s="74">
        <v>1273</v>
      </c>
      <c r="C17" s="74">
        <v>1281</v>
      </c>
      <c r="D17" s="82"/>
      <c r="E17" s="11"/>
    </row>
    <row r="18" spans="1:5" ht="15" thickBot="1" x14ac:dyDescent="0.35">
      <c r="A18" s="16"/>
      <c r="B18" s="31"/>
      <c r="C18" s="34"/>
      <c r="D18" s="34"/>
      <c r="E18" s="11"/>
    </row>
    <row r="19" spans="1:5" ht="15" thickBot="1" x14ac:dyDescent="0.35">
      <c r="A19" s="322" t="s">
        <v>54</v>
      </c>
      <c r="B19" s="324"/>
      <c r="C19" s="17"/>
      <c r="D19" s="17"/>
      <c r="E19" s="11"/>
    </row>
    <row r="20" spans="1:5" ht="15" thickBot="1" x14ac:dyDescent="0.35">
      <c r="A20" s="4" t="s">
        <v>49</v>
      </c>
      <c r="B20" s="4">
        <v>2021</v>
      </c>
      <c r="C20" s="50"/>
      <c r="D20" s="50"/>
    </row>
    <row r="21" spans="1:5" x14ac:dyDescent="0.3">
      <c r="A21" s="16" t="s">
        <v>1</v>
      </c>
      <c r="B21" s="33">
        <f>ROUND(((C9/12*4)+(D9/12*8))*(B16+C16)/2*12,2)</f>
        <v>68899.320000000007</v>
      </c>
      <c r="C21" s="47"/>
      <c r="D21" s="51"/>
    </row>
    <row r="22" spans="1:5" x14ac:dyDescent="0.3">
      <c r="A22" s="16" t="s">
        <v>3</v>
      </c>
      <c r="B22" s="5">
        <f>ROUND(((C10/12*4)+(D10/12*8))*(B17+C17)/2*12,2)</f>
        <v>8734.68</v>
      </c>
      <c r="C22" s="47"/>
      <c r="D22" s="51"/>
    </row>
    <row r="23" spans="1:5" x14ac:dyDescent="0.3">
      <c r="C23" s="52"/>
      <c r="D23" s="52"/>
    </row>
    <row r="24" spans="1:5" x14ac:dyDescent="0.3">
      <c r="A24" s="16" t="s">
        <v>50</v>
      </c>
      <c r="B24" s="33">
        <f>SUM(B21:B22)</f>
        <v>77634</v>
      </c>
      <c r="C24" s="47"/>
      <c r="D24" s="47"/>
    </row>
    <row r="25" spans="1:5" x14ac:dyDescent="0.3">
      <c r="A25" s="16" t="s">
        <v>51</v>
      </c>
      <c r="B25" s="28">
        <v>77663.75</v>
      </c>
      <c r="C25" s="47"/>
      <c r="D25" s="51"/>
    </row>
    <row r="26" spans="1:5" x14ac:dyDescent="0.3">
      <c r="C26" s="52"/>
      <c r="D26" s="52"/>
    </row>
    <row r="27" spans="1:5" ht="15" thickBot="1" x14ac:dyDescent="0.35">
      <c r="A27" s="16" t="s">
        <v>52</v>
      </c>
      <c r="B27" s="35">
        <f>B24-B25</f>
        <v>-29.75</v>
      </c>
      <c r="C27" s="51"/>
      <c r="D27" s="51"/>
    </row>
    <row r="28" spans="1:5" ht="15" thickBot="1" x14ac:dyDescent="0.35">
      <c r="A28" s="16" t="s">
        <v>53</v>
      </c>
      <c r="B28" s="36">
        <f>B27/B25</f>
        <v>-3.8306159566078125E-4</v>
      </c>
      <c r="C28" s="53"/>
      <c r="D28" s="53"/>
    </row>
    <row r="30" spans="1:5" x14ac:dyDescent="0.3">
      <c r="A30" s="16" t="s">
        <v>57</v>
      </c>
    </row>
    <row r="31" spans="1:5" ht="15" thickBot="1" x14ac:dyDescent="0.35"/>
    <row r="32" spans="1:5" ht="15" thickBot="1" x14ac:dyDescent="0.35">
      <c r="A32" s="322" t="s">
        <v>58</v>
      </c>
      <c r="B32" s="323"/>
      <c r="C32" s="323"/>
      <c r="D32" s="323"/>
      <c r="E32" s="324"/>
    </row>
    <row r="33" spans="1:5" ht="15" thickBot="1" x14ac:dyDescent="0.35"/>
    <row r="34" spans="1:5" ht="15" thickBot="1" x14ac:dyDescent="0.35">
      <c r="A34" s="320" t="s">
        <v>74</v>
      </c>
      <c r="B34" s="326"/>
      <c r="C34" s="321"/>
      <c r="D34" s="21"/>
      <c r="E34" s="21"/>
    </row>
    <row r="35" spans="1:5" ht="15" thickBot="1" x14ac:dyDescent="0.35">
      <c r="A35" s="4" t="s">
        <v>59</v>
      </c>
      <c r="B35" s="40" t="s">
        <v>60</v>
      </c>
      <c r="C35" s="4" t="s">
        <v>61</v>
      </c>
      <c r="D35" s="20"/>
    </row>
    <row r="36" spans="1:5" x14ac:dyDescent="0.3">
      <c r="A36" s="325">
        <v>2019</v>
      </c>
      <c r="B36" s="38" t="s">
        <v>12</v>
      </c>
      <c r="C36" s="70">
        <v>6367.47</v>
      </c>
    </row>
    <row r="37" spans="1:5" x14ac:dyDescent="0.3">
      <c r="A37" s="325"/>
      <c r="B37" s="38" t="s">
        <v>13</v>
      </c>
      <c r="C37" s="70">
        <v>6367.47</v>
      </c>
    </row>
    <row r="38" spans="1:5" x14ac:dyDescent="0.3">
      <c r="A38" s="325"/>
      <c r="B38" s="38" t="s">
        <v>14</v>
      </c>
      <c r="C38" s="70">
        <v>6367.47</v>
      </c>
    </row>
    <row r="39" spans="1:5" x14ac:dyDescent="0.3">
      <c r="A39" s="325"/>
      <c r="B39" s="38" t="s">
        <v>15</v>
      </c>
      <c r="C39" s="70">
        <v>6367.47</v>
      </c>
    </row>
    <row r="40" spans="1:5" x14ac:dyDescent="0.3">
      <c r="A40" s="325"/>
      <c r="B40" s="38" t="s">
        <v>16</v>
      </c>
      <c r="C40" s="70">
        <v>6367.47</v>
      </c>
    </row>
    <row r="41" spans="1:5" x14ac:dyDescent="0.3">
      <c r="A41" s="325"/>
      <c r="B41" s="38" t="s">
        <v>17</v>
      </c>
      <c r="C41" s="70">
        <v>6367.47</v>
      </c>
    </row>
    <row r="42" spans="1:5" x14ac:dyDescent="0.3">
      <c r="A42" s="325"/>
      <c r="B42" s="38" t="s">
        <v>18</v>
      </c>
      <c r="C42" s="70">
        <v>6367.47</v>
      </c>
    </row>
    <row r="43" spans="1:5" x14ac:dyDescent="0.3">
      <c r="A43" s="325"/>
      <c r="B43" s="38" t="s">
        <v>19</v>
      </c>
      <c r="C43" s="70">
        <v>6367.47</v>
      </c>
    </row>
    <row r="44" spans="1:5" x14ac:dyDescent="0.3">
      <c r="A44" s="325"/>
      <c r="B44" s="38" t="s">
        <v>20</v>
      </c>
      <c r="C44" s="70">
        <v>1076.17</v>
      </c>
    </row>
    <row r="45" spans="1:5" x14ac:dyDescent="0.3">
      <c r="A45" s="325"/>
      <c r="B45" s="38" t="s">
        <v>21</v>
      </c>
      <c r="C45" s="70">
        <v>6367.47</v>
      </c>
    </row>
    <row r="46" spans="1:5" x14ac:dyDescent="0.3">
      <c r="A46" s="325"/>
      <c r="B46" s="38" t="s">
        <v>22</v>
      </c>
      <c r="C46" s="70">
        <v>6367.47</v>
      </c>
    </row>
    <row r="47" spans="1:5" x14ac:dyDescent="0.3">
      <c r="A47" s="325"/>
      <c r="B47" s="38" t="s">
        <v>23</v>
      </c>
      <c r="C47" s="71">
        <v>6436.44</v>
      </c>
    </row>
    <row r="49" spans="1:5" ht="15" thickBot="1" x14ac:dyDescent="0.35">
      <c r="A49" s="42" t="s">
        <v>76</v>
      </c>
      <c r="C49" s="35">
        <f>SUM(C36:C47)</f>
        <v>71187.31</v>
      </c>
    </row>
    <row r="50" spans="1:5" ht="15" thickBot="1" x14ac:dyDescent="0.35"/>
    <row r="51" spans="1:5" ht="15" thickBot="1" x14ac:dyDescent="0.35">
      <c r="A51" s="320" t="s">
        <v>63</v>
      </c>
      <c r="B51" s="326"/>
      <c r="C51" s="326"/>
      <c r="D51" s="326"/>
      <c r="E51" s="321"/>
    </row>
    <row r="53" spans="1:5" x14ac:dyDescent="0.3">
      <c r="A53" s="39" t="s">
        <v>76</v>
      </c>
      <c r="B53" s="6">
        <f>C49</f>
        <v>71187.31</v>
      </c>
    </row>
    <row r="54" spans="1:5" x14ac:dyDescent="0.3">
      <c r="A54" s="39" t="s">
        <v>64</v>
      </c>
      <c r="B54" s="37">
        <f>B25</f>
        <v>77663.75</v>
      </c>
    </row>
    <row r="56" spans="1:5" x14ac:dyDescent="0.3">
      <c r="A56" s="39" t="s">
        <v>65</v>
      </c>
      <c r="B56" s="6">
        <f>B53-B54</f>
        <v>-6476.4400000000023</v>
      </c>
    </row>
    <row r="57" spans="1:5" ht="28.8" x14ac:dyDescent="0.3">
      <c r="A57" s="54" t="s">
        <v>109</v>
      </c>
      <c r="B57" s="28">
        <v>-6476</v>
      </c>
    </row>
    <row r="59" spans="1:5" ht="15" thickBot="1" x14ac:dyDescent="0.35">
      <c r="A59" s="39" t="s">
        <v>25</v>
      </c>
      <c r="B59" s="41">
        <f>B56-B57</f>
        <v>-0.44000000000232831</v>
      </c>
    </row>
    <row r="60" spans="1:5" ht="15" thickBot="1" x14ac:dyDescent="0.35">
      <c r="A60" s="39" t="s">
        <v>67</v>
      </c>
      <c r="B60" s="36">
        <f>B59/B54</f>
        <v>-5.6654488098028783E-6</v>
      </c>
    </row>
    <row r="62" spans="1:5" x14ac:dyDescent="0.3">
      <c r="A62" s="39" t="s">
        <v>66</v>
      </c>
    </row>
  </sheetData>
  <mergeCells count="12">
    <mergeCell ref="A1:E1"/>
    <mergeCell ref="A2:E2"/>
    <mergeCell ref="A3:E3"/>
    <mergeCell ref="A5:E5"/>
    <mergeCell ref="A7:D7"/>
    <mergeCell ref="A36:A47"/>
    <mergeCell ref="A51:E51"/>
    <mergeCell ref="A12:E12"/>
    <mergeCell ref="A32:E32"/>
    <mergeCell ref="A34:C34"/>
    <mergeCell ref="A14:C14"/>
    <mergeCell ref="A19:B19"/>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A7C2FE-5FA1-499D-9EC5-82B843C2F042}">
  <dimension ref="A7:W79"/>
  <sheetViews>
    <sheetView topLeftCell="A4" workbookViewId="0">
      <selection activeCell="F18" sqref="F18"/>
    </sheetView>
  </sheetViews>
  <sheetFormatPr defaultColWidth="8.88671875" defaultRowHeight="13.8" x14ac:dyDescent="0.25"/>
  <cols>
    <col min="1" max="1" width="8.88671875" style="83"/>
    <col min="2" max="2" width="12.109375" style="83" customWidth="1"/>
    <col min="3" max="3" width="26.6640625" style="83" bestFit="1" customWidth="1"/>
    <col min="4" max="4" width="20.33203125" style="83" bestFit="1" customWidth="1"/>
    <col min="5" max="5" width="28.33203125" style="83" bestFit="1" customWidth="1"/>
    <col min="6" max="6" width="27.88671875" style="83" bestFit="1" customWidth="1"/>
    <col min="7" max="7" width="22.6640625" style="83" customWidth="1"/>
    <col min="8" max="21" width="8.88671875" style="83"/>
    <col min="22" max="22" width="0" style="83" hidden="1" customWidth="1"/>
    <col min="23" max="23" width="75.44140625" style="83" customWidth="1"/>
    <col min="24" max="16384" width="8.88671875" style="83"/>
  </cols>
  <sheetData>
    <row r="7" spans="1:23" x14ac:dyDescent="0.25">
      <c r="V7" s="84" t="s">
        <v>110</v>
      </c>
    </row>
    <row r="10" spans="1:23" x14ac:dyDescent="0.25">
      <c r="R10" s="341"/>
      <c r="S10" s="341"/>
      <c r="T10" s="341"/>
      <c r="U10" s="341"/>
      <c r="V10" s="341"/>
      <c r="W10" s="341"/>
    </row>
    <row r="11" spans="1:23" x14ac:dyDescent="0.25">
      <c r="A11" s="83" t="s">
        <v>111</v>
      </c>
      <c r="B11" s="85" t="s">
        <v>112</v>
      </c>
      <c r="F11" s="86"/>
      <c r="R11" s="341"/>
      <c r="S11" s="341"/>
      <c r="T11" s="341"/>
      <c r="U11" s="341"/>
      <c r="V11" s="341"/>
      <c r="W11" s="341"/>
    </row>
    <row r="12" spans="1:23" ht="14.4" thickBot="1" x14ac:dyDescent="0.3">
      <c r="R12" s="341"/>
      <c r="S12" s="341"/>
      <c r="T12" s="341"/>
      <c r="U12" s="341"/>
      <c r="V12" s="341"/>
      <c r="W12" s="341"/>
    </row>
    <row r="13" spans="1:23" x14ac:dyDescent="0.25">
      <c r="B13" s="87"/>
      <c r="C13" s="342" t="s">
        <v>113</v>
      </c>
      <c r="D13" s="342"/>
      <c r="E13" s="343"/>
      <c r="F13" s="344" t="s">
        <v>114</v>
      </c>
      <c r="G13" s="346" t="s">
        <v>115</v>
      </c>
    </row>
    <row r="14" spans="1:23" s="88" customFormat="1" ht="31.95" customHeight="1" x14ac:dyDescent="0.3">
      <c r="B14" s="89" t="s">
        <v>59</v>
      </c>
      <c r="C14" s="90" t="s">
        <v>116</v>
      </c>
      <c r="D14" s="91" t="s">
        <v>117</v>
      </c>
      <c r="E14" s="92" t="s">
        <v>118</v>
      </c>
      <c r="F14" s="345"/>
      <c r="G14" s="347"/>
    </row>
    <row r="15" spans="1:23" ht="13.95" hidden="1" customHeight="1" x14ac:dyDescent="0.25">
      <c r="B15" s="93">
        <v>2016</v>
      </c>
      <c r="C15" s="94"/>
      <c r="D15" s="94"/>
      <c r="E15" s="95">
        <f t="shared" ref="E15:E20" si="0">SUM(C15:D15)</f>
        <v>0</v>
      </c>
      <c r="F15" s="95">
        <f>IFERROR(VLOOKUP('[2]1. Information Sheet'!$C$17,'[2]4705'!$A:$G,3,FALSE),0)</f>
        <v>14538530.23</v>
      </c>
      <c r="G15" s="96">
        <f t="shared" ref="G15:G21" si="1">IFERROR(E15/F15,0)</f>
        <v>0</v>
      </c>
      <c r="H15" s="86" t="str">
        <f t="shared" ref="H15:H20" si="2">IF(ABS(G15)&gt;0.01,$V$7,"")</f>
        <v/>
      </c>
      <c r="O15" s="97"/>
      <c r="P15" s="97"/>
      <c r="Q15" s="97"/>
      <c r="R15" s="97"/>
      <c r="S15" s="97"/>
      <c r="T15" s="97"/>
    </row>
    <row r="16" spans="1:23" x14ac:dyDescent="0.25">
      <c r="B16" s="93">
        <v>2015</v>
      </c>
      <c r="C16" s="94">
        <v>-177047</v>
      </c>
      <c r="D16" s="94">
        <v>213663</v>
      </c>
      <c r="E16" s="95">
        <f t="shared" si="0"/>
        <v>36616</v>
      </c>
      <c r="F16" s="95">
        <v>13737157.01</v>
      </c>
      <c r="G16" s="96">
        <f t="shared" si="1"/>
        <v>2.6654714635164531E-3</v>
      </c>
      <c r="H16" s="86" t="str">
        <f t="shared" si="2"/>
        <v/>
      </c>
      <c r="O16" s="97"/>
      <c r="P16" s="97"/>
      <c r="Q16" s="97"/>
      <c r="R16" s="97"/>
      <c r="S16" s="97"/>
      <c r="T16" s="97"/>
    </row>
    <row r="17" spans="1:20" x14ac:dyDescent="0.25">
      <c r="B17" s="93">
        <v>2016</v>
      </c>
      <c r="C17" s="94">
        <v>-104997</v>
      </c>
      <c r="D17" s="94">
        <v>247512</v>
      </c>
      <c r="E17" s="95">
        <f t="shared" si="0"/>
        <v>142515</v>
      </c>
      <c r="F17" s="95">
        <v>14538530.23</v>
      </c>
      <c r="G17" s="96">
        <f t="shared" si="1"/>
        <v>9.802572732278178E-3</v>
      </c>
      <c r="H17" s="86" t="str">
        <f t="shared" si="2"/>
        <v/>
      </c>
      <c r="I17" s="98"/>
      <c r="J17" s="98"/>
      <c r="K17" s="98"/>
      <c r="L17" s="98"/>
      <c r="M17" s="98"/>
      <c r="N17" s="98"/>
      <c r="O17" s="97"/>
      <c r="P17" s="97"/>
      <c r="Q17" s="97"/>
      <c r="R17" s="97"/>
      <c r="S17" s="97"/>
      <c r="T17" s="97"/>
    </row>
    <row r="18" spans="1:20" x14ac:dyDescent="0.25">
      <c r="B18" s="93"/>
      <c r="C18" s="94"/>
      <c r="D18" s="94"/>
      <c r="E18" s="95">
        <f t="shared" si="0"/>
        <v>0</v>
      </c>
      <c r="F18" s="95"/>
      <c r="G18" s="96">
        <f t="shared" si="1"/>
        <v>0</v>
      </c>
      <c r="H18" s="86" t="str">
        <f t="shared" si="2"/>
        <v/>
      </c>
      <c r="I18" s="98"/>
      <c r="J18" s="98"/>
      <c r="K18" s="98"/>
      <c r="L18" s="98"/>
      <c r="M18" s="98"/>
      <c r="N18" s="98"/>
      <c r="O18" s="97"/>
      <c r="P18" s="97"/>
      <c r="Q18" s="97"/>
      <c r="R18" s="97"/>
      <c r="S18" s="97"/>
      <c r="T18" s="97"/>
    </row>
    <row r="19" spans="1:20" x14ac:dyDescent="0.25">
      <c r="A19" s="99"/>
      <c r="B19" s="100"/>
      <c r="C19" s="94"/>
      <c r="D19" s="94"/>
      <c r="E19" s="95">
        <f t="shared" si="0"/>
        <v>0</v>
      </c>
      <c r="F19" s="95"/>
      <c r="G19" s="96">
        <f t="shared" si="1"/>
        <v>0</v>
      </c>
      <c r="H19" s="86" t="str">
        <f t="shared" si="2"/>
        <v/>
      </c>
      <c r="I19" s="98"/>
      <c r="J19" s="98"/>
      <c r="K19" s="98"/>
      <c r="L19" s="98"/>
      <c r="M19" s="98"/>
      <c r="N19" s="98"/>
      <c r="O19" s="97"/>
      <c r="P19" s="97"/>
      <c r="Q19" s="97"/>
      <c r="R19" s="97"/>
      <c r="S19" s="97"/>
      <c r="T19" s="97"/>
    </row>
    <row r="20" spans="1:20" x14ac:dyDescent="0.25">
      <c r="A20" s="99"/>
      <c r="B20" s="100"/>
      <c r="C20" s="94"/>
      <c r="D20" s="94"/>
      <c r="E20" s="95">
        <f t="shared" si="0"/>
        <v>0</v>
      </c>
      <c r="F20" s="95"/>
      <c r="G20" s="96">
        <f t="shared" si="1"/>
        <v>0</v>
      </c>
      <c r="H20" s="86" t="str">
        <f t="shared" si="2"/>
        <v/>
      </c>
      <c r="I20" s="98"/>
      <c r="J20" s="98"/>
      <c r="K20" s="98"/>
      <c r="L20" s="98"/>
      <c r="M20" s="98"/>
      <c r="N20" s="98"/>
      <c r="O20" s="97"/>
      <c r="P20" s="97"/>
      <c r="Q20" s="97"/>
      <c r="R20" s="97"/>
      <c r="S20" s="97"/>
      <c r="T20" s="97"/>
    </row>
    <row r="21" spans="1:20" ht="14.4" thickBot="1" x14ac:dyDescent="0.3">
      <c r="A21" s="99"/>
      <c r="B21" s="101" t="s">
        <v>119</v>
      </c>
      <c r="C21" s="102">
        <f>SUM(C15:C20)</f>
        <v>-282044</v>
      </c>
      <c r="D21" s="102">
        <f>SUM(D15:D20)</f>
        <v>461175</v>
      </c>
      <c r="E21" s="102">
        <f>SUM(E15:E20)</f>
        <v>179131</v>
      </c>
      <c r="F21" s="102">
        <f>IF('[2]1. Information Sheet'!D21=2020,F20,IF('[2]1. Information Sheet'!D21=2019,SUM(F19:F20),IF('[2]1. Information Sheet'!D21=2018,SUM(F18:F20),IF('[2]1. Information Sheet'!D21=2017,SUM(F17:F20),IF('[2]1. Information Sheet'!D21=2016,SUM(F16:F20),IF('[2]1. Information Sheet'!D21=2015,SUM(F15:F20),0))))))</f>
        <v>28275687.240000002</v>
      </c>
      <c r="G21" s="103">
        <f t="shared" si="1"/>
        <v>6.3351599018464733E-3</v>
      </c>
      <c r="I21" s="86"/>
    </row>
    <row r="22" spans="1:20" x14ac:dyDescent="0.25">
      <c r="B22" s="104"/>
      <c r="C22" s="105"/>
      <c r="D22" s="105"/>
      <c r="E22" s="105"/>
      <c r="F22" s="105"/>
      <c r="G22" s="106"/>
      <c r="I22" s="86"/>
    </row>
    <row r="23" spans="1:20" x14ac:dyDescent="0.25">
      <c r="B23" s="107"/>
      <c r="C23" s="108"/>
      <c r="D23" s="108"/>
      <c r="E23" s="108"/>
      <c r="F23" s="108"/>
      <c r="G23" s="108"/>
    </row>
    <row r="24" spans="1:20" x14ac:dyDescent="0.25">
      <c r="B24" s="109" t="s">
        <v>120</v>
      </c>
      <c r="C24" s="108"/>
      <c r="D24" s="108"/>
      <c r="E24" s="108"/>
      <c r="F24" s="108"/>
      <c r="G24" s="108"/>
    </row>
    <row r="25" spans="1:20" ht="47.1" customHeight="1" x14ac:dyDescent="0.25">
      <c r="B25" s="348" t="s">
        <v>121</v>
      </c>
      <c r="C25" s="348"/>
      <c r="D25" s="348"/>
      <c r="E25" s="348"/>
      <c r="F25" s="348"/>
      <c r="G25" s="348"/>
    </row>
    <row r="26" spans="1:20" ht="28.2" customHeight="1" x14ac:dyDescent="0.25">
      <c r="B26" s="348" t="s">
        <v>122</v>
      </c>
      <c r="C26" s="348"/>
      <c r="D26" s="348"/>
      <c r="E26" s="348"/>
      <c r="F26" s="348"/>
      <c r="G26" s="348"/>
    </row>
    <row r="28" spans="1:20" x14ac:dyDescent="0.25">
      <c r="B28" s="86"/>
      <c r="C28" s="86"/>
    </row>
    <row r="29" spans="1:20" x14ac:dyDescent="0.25">
      <c r="B29" s="86"/>
      <c r="C29" s="86"/>
    </row>
    <row r="30" spans="1:20" x14ac:dyDescent="0.25">
      <c r="B30" s="86"/>
      <c r="C30" s="86"/>
    </row>
    <row r="31" spans="1:20" ht="16.95" hidden="1" customHeight="1" x14ac:dyDescent="0.25">
      <c r="B31" s="110" t="s">
        <v>123</v>
      </c>
      <c r="C31" s="86"/>
    </row>
    <row r="32" spans="1:20" ht="15.6" customHeight="1" x14ac:dyDescent="0.25">
      <c r="B32" s="110"/>
      <c r="C32" s="86"/>
    </row>
    <row r="33" spans="2:9" hidden="1" x14ac:dyDescent="0.25">
      <c r="B33" s="111">
        <v>2016</v>
      </c>
      <c r="C33" s="86"/>
    </row>
    <row r="34" spans="2:9" hidden="1" x14ac:dyDescent="0.25">
      <c r="B34" s="332"/>
      <c r="C34" s="333"/>
      <c r="D34" s="333"/>
      <c r="E34" s="333"/>
      <c r="F34" s="333"/>
      <c r="G34" s="334"/>
    </row>
    <row r="35" spans="2:9" s="88" customFormat="1" hidden="1" x14ac:dyDescent="0.25">
      <c r="B35" s="335"/>
      <c r="C35" s="336"/>
      <c r="D35" s="336"/>
      <c r="E35" s="336"/>
      <c r="F35" s="336"/>
      <c r="G35" s="337"/>
      <c r="I35" s="86"/>
    </row>
    <row r="36" spans="2:9" s="88" customFormat="1" hidden="1" x14ac:dyDescent="0.25">
      <c r="B36" s="335"/>
      <c r="C36" s="336"/>
      <c r="D36" s="336"/>
      <c r="E36" s="336"/>
      <c r="F36" s="336"/>
      <c r="G36" s="337"/>
    </row>
    <row r="37" spans="2:9" s="88" customFormat="1" hidden="1" x14ac:dyDescent="0.25">
      <c r="B37" s="335"/>
      <c r="C37" s="336"/>
      <c r="D37" s="336"/>
      <c r="E37" s="336"/>
      <c r="F37" s="336"/>
      <c r="G37" s="337"/>
    </row>
    <row r="38" spans="2:9" s="88" customFormat="1" hidden="1" x14ac:dyDescent="0.25">
      <c r="B38" s="335"/>
      <c r="C38" s="336"/>
      <c r="D38" s="336"/>
      <c r="E38" s="336"/>
      <c r="F38" s="336"/>
      <c r="G38" s="337"/>
    </row>
    <row r="39" spans="2:9" s="88" customFormat="1" ht="14.4" hidden="1" thickBot="1" x14ac:dyDescent="0.3">
      <c r="B39" s="338"/>
      <c r="C39" s="339"/>
      <c r="D39" s="339"/>
      <c r="E39" s="339"/>
      <c r="F39" s="339"/>
      <c r="G39" s="340"/>
    </row>
    <row r="41" spans="2:9" hidden="1" x14ac:dyDescent="0.25">
      <c r="B41" s="111">
        <v>2017</v>
      </c>
      <c r="C41" s="86"/>
    </row>
    <row r="42" spans="2:9" ht="14.25" hidden="1" customHeight="1" x14ac:dyDescent="0.25">
      <c r="B42" s="332"/>
      <c r="C42" s="333"/>
      <c r="D42" s="333"/>
      <c r="E42" s="333"/>
      <c r="F42" s="333"/>
      <c r="G42" s="334"/>
    </row>
    <row r="43" spans="2:9" ht="14.25" hidden="1" customHeight="1" x14ac:dyDescent="0.25">
      <c r="B43" s="335"/>
      <c r="C43" s="336"/>
      <c r="D43" s="336"/>
      <c r="E43" s="336"/>
      <c r="F43" s="336"/>
      <c r="G43" s="337"/>
    </row>
    <row r="44" spans="2:9" ht="14.25" hidden="1" customHeight="1" x14ac:dyDescent="0.25">
      <c r="B44" s="335"/>
      <c r="C44" s="336"/>
      <c r="D44" s="336"/>
      <c r="E44" s="336"/>
      <c r="F44" s="336"/>
      <c r="G44" s="337"/>
    </row>
    <row r="45" spans="2:9" ht="14.25" hidden="1" customHeight="1" x14ac:dyDescent="0.25">
      <c r="B45" s="335"/>
      <c r="C45" s="336"/>
      <c r="D45" s="336"/>
      <c r="E45" s="336"/>
      <c r="F45" s="336"/>
      <c r="G45" s="337"/>
    </row>
    <row r="46" spans="2:9" ht="14.25" hidden="1" customHeight="1" x14ac:dyDescent="0.25">
      <c r="B46" s="335"/>
      <c r="C46" s="336"/>
      <c r="D46" s="336"/>
      <c r="E46" s="336"/>
      <c r="F46" s="336"/>
      <c r="G46" s="337"/>
    </row>
    <row r="47" spans="2:9" ht="15" hidden="1" customHeight="1" x14ac:dyDescent="0.25">
      <c r="B47" s="338"/>
      <c r="C47" s="339"/>
      <c r="D47" s="339"/>
      <c r="E47" s="339"/>
      <c r="F47" s="339"/>
      <c r="G47" s="340"/>
    </row>
    <row r="48" spans="2:9" hidden="1" x14ac:dyDescent="0.25"/>
    <row r="49" spans="2:7" hidden="1" x14ac:dyDescent="0.25">
      <c r="B49" s="111">
        <v>2018</v>
      </c>
      <c r="C49" s="86"/>
    </row>
    <row r="50" spans="2:7" ht="14.25" hidden="1" customHeight="1" x14ac:dyDescent="0.25">
      <c r="B50" s="332"/>
      <c r="C50" s="333"/>
      <c r="D50" s="333"/>
      <c r="E50" s="333"/>
      <c r="F50" s="333"/>
      <c r="G50" s="334"/>
    </row>
    <row r="51" spans="2:7" ht="14.25" hidden="1" customHeight="1" x14ac:dyDescent="0.25">
      <c r="B51" s="335"/>
      <c r="C51" s="336"/>
      <c r="D51" s="336"/>
      <c r="E51" s="336"/>
      <c r="F51" s="336"/>
      <c r="G51" s="337"/>
    </row>
    <row r="52" spans="2:7" ht="14.25" hidden="1" customHeight="1" x14ac:dyDescent="0.25">
      <c r="B52" s="335"/>
      <c r="C52" s="336"/>
      <c r="D52" s="336"/>
      <c r="E52" s="336"/>
      <c r="F52" s="336"/>
      <c r="G52" s="337"/>
    </row>
    <row r="53" spans="2:7" ht="14.25" hidden="1" customHeight="1" x14ac:dyDescent="0.25">
      <c r="B53" s="335"/>
      <c r="C53" s="336"/>
      <c r="D53" s="336"/>
      <c r="E53" s="336"/>
      <c r="F53" s="336"/>
      <c r="G53" s="337"/>
    </row>
    <row r="54" spans="2:7" ht="14.25" hidden="1" customHeight="1" x14ac:dyDescent="0.25">
      <c r="B54" s="335"/>
      <c r="C54" s="336"/>
      <c r="D54" s="336"/>
      <c r="E54" s="336"/>
      <c r="F54" s="336"/>
      <c r="G54" s="337"/>
    </row>
    <row r="55" spans="2:7" ht="15" hidden="1" customHeight="1" x14ac:dyDescent="0.25">
      <c r="B55" s="338"/>
      <c r="C55" s="339"/>
      <c r="D55" s="339"/>
      <c r="E55" s="339"/>
      <c r="F55" s="339"/>
      <c r="G55" s="340"/>
    </row>
    <row r="56" spans="2:7" hidden="1" x14ac:dyDescent="0.25"/>
    <row r="57" spans="2:7" hidden="1" x14ac:dyDescent="0.25">
      <c r="B57" s="111">
        <v>2019</v>
      </c>
      <c r="C57" s="86"/>
    </row>
    <row r="58" spans="2:7" ht="14.25" hidden="1" customHeight="1" x14ac:dyDescent="0.25">
      <c r="B58" s="332"/>
      <c r="C58" s="333"/>
      <c r="D58" s="333"/>
      <c r="E58" s="333"/>
      <c r="F58" s="333"/>
      <c r="G58" s="334"/>
    </row>
    <row r="59" spans="2:7" ht="14.25" hidden="1" customHeight="1" x14ac:dyDescent="0.25">
      <c r="B59" s="335"/>
      <c r="C59" s="336"/>
      <c r="D59" s="336"/>
      <c r="E59" s="336"/>
      <c r="F59" s="336"/>
      <c r="G59" s="337"/>
    </row>
    <row r="60" spans="2:7" ht="14.25" hidden="1" customHeight="1" x14ac:dyDescent="0.25">
      <c r="B60" s="335"/>
      <c r="C60" s="336"/>
      <c r="D60" s="336"/>
      <c r="E60" s="336"/>
      <c r="F60" s="336"/>
      <c r="G60" s="337"/>
    </row>
    <row r="61" spans="2:7" ht="14.25" hidden="1" customHeight="1" x14ac:dyDescent="0.25">
      <c r="B61" s="335"/>
      <c r="C61" s="336"/>
      <c r="D61" s="336"/>
      <c r="E61" s="336"/>
      <c r="F61" s="336"/>
      <c r="G61" s="337"/>
    </row>
    <row r="62" spans="2:7" ht="14.25" hidden="1" customHeight="1" x14ac:dyDescent="0.25">
      <c r="B62" s="335"/>
      <c r="C62" s="336"/>
      <c r="D62" s="336"/>
      <c r="E62" s="336"/>
      <c r="F62" s="336"/>
      <c r="G62" s="337"/>
    </row>
    <row r="63" spans="2:7" ht="15" hidden="1" customHeight="1" x14ac:dyDescent="0.25">
      <c r="B63" s="338"/>
      <c r="C63" s="339"/>
      <c r="D63" s="339"/>
      <c r="E63" s="339"/>
      <c r="F63" s="339"/>
      <c r="G63" s="340"/>
    </row>
    <row r="64" spans="2:7" hidden="1" x14ac:dyDescent="0.25"/>
    <row r="65" spans="2:7" hidden="1" x14ac:dyDescent="0.25">
      <c r="B65" s="111">
        <v>2020</v>
      </c>
      <c r="C65" s="86"/>
    </row>
    <row r="66" spans="2:7" ht="14.25" hidden="1" customHeight="1" x14ac:dyDescent="0.25">
      <c r="B66" s="332"/>
      <c r="C66" s="333"/>
      <c r="D66" s="333"/>
      <c r="E66" s="333"/>
      <c r="F66" s="333"/>
      <c r="G66" s="334"/>
    </row>
    <row r="67" spans="2:7" ht="14.25" hidden="1" customHeight="1" x14ac:dyDescent="0.25">
      <c r="B67" s="335"/>
      <c r="C67" s="336"/>
      <c r="D67" s="336"/>
      <c r="E67" s="336"/>
      <c r="F67" s="336"/>
      <c r="G67" s="337"/>
    </row>
    <row r="68" spans="2:7" ht="14.25" hidden="1" customHeight="1" x14ac:dyDescent="0.25">
      <c r="B68" s="335"/>
      <c r="C68" s="336"/>
      <c r="D68" s="336"/>
      <c r="E68" s="336"/>
      <c r="F68" s="336"/>
      <c r="G68" s="337"/>
    </row>
    <row r="69" spans="2:7" ht="14.25" hidden="1" customHeight="1" x14ac:dyDescent="0.25">
      <c r="B69" s="335"/>
      <c r="C69" s="336"/>
      <c r="D69" s="336"/>
      <c r="E69" s="336"/>
      <c r="F69" s="336"/>
      <c r="G69" s="337"/>
    </row>
    <row r="70" spans="2:7" ht="14.25" hidden="1" customHeight="1" x14ac:dyDescent="0.25">
      <c r="B70" s="335"/>
      <c r="C70" s="336"/>
      <c r="D70" s="336"/>
      <c r="E70" s="336"/>
      <c r="F70" s="336"/>
      <c r="G70" s="337"/>
    </row>
    <row r="71" spans="2:7" ht="15" hidden="1" customHeight="1" x14ac:dyDescent="0.25">
      <c r="B71" s="338"/>
      <c r="C71" s="339"/>
      <c r="D71" s="339"/>
      <c r="E71" s="339"/>
      <c r="F71" s="339"/>
      <c r="G71" s="340"/>
    </row>
    <row r="72" spans="2:7" hidden="1" x14ac:dyDescent="0.25"/>
    <row r="73" spans="2:7" hidden="1" x14ac:dyDescent="0.25">
      <c r="B73" s="111">
        <v>2021</v>
      </c>
      <c r="C73" s="86"/>
    </row>
    <row r="74" spans="2:7" ht="14.25" hidden="1" customHeight="1" x14ac:dyDescent="0.25">
      <c r="B74" s="332"/>
      <c r="C74" s="333"/>
      <c r="D74" s="333"/>
      <c r="E74" s="333"/>
      <c r="F74" s="333"/>
      <c r="G74" s="334"/>
    </row>
    <row r="75" spans="2:7" ht="14.25" hidden="1" customHeight="1" x14ac:dyDescent="0.25">
      <c r="B75" s="335"/>
      <c r="C75" s="336"/>
      <c r="D75" s="336"/>
      <c r="E75" s="336"/>
      <c r="F75" s="336"/>
      <c r="G75" s="337"/>
    </row>
    <row r="76" spans="2:7" ht="14.25" hidden="1" customHeight="1" x14ac:dyDescent="0.25">
      <c r="B76" s="335"/>
      <c r="C76" s="336"/>
      <c r="D76" s="336"/>
      <c r="E76" s="336"/>
      <c r="F76" s="336"/>
      <c r="G76" s="337"/>
    </row>
    <row r="77" spans="2:7" ht="14.25" hidden="1" customHeight="1" x14ac:dyDescent="0.25">
      <c r="B77" s="335"/>
      <c r="C77" s="336"/>
      <c r="D77" s="336"/>
      <c r="E77" s="336"/>
      <c r="F77" s="336"/>
      <c r="G77" s="337"/>
    </row>
    <row r="78" spans="2:7" ht="14.25" hidden="1" customHeight="1" x14ac:dyDescent="0.25">
      <c r="B78" s="335"/>
      <c r="C78" s="336"/>
      <c r="D78" s="336"/>
      <c r="E78" s="336"/>
      <c r="F78" s="336"/>
      <c r="G78" s="337"/>
    </row>
    <row r="79" spans="2:7" ht="14.25" hidden="1" customHeight="1" x14ac:dyDescent="0.25">
      <c r="B79" s="338"/>
      <c r="C79" s="339"/>
      <c r="D79" s="339"/>
      <c r="E79" s="339"/>
      <c r="F79" s="339"/>
      <c r="G79" s="340"/>
    </row>
  </sheetData>
  <mergeCells count="12">
    <mergeCell ref="B74:G79"/>
    <mergeCell ref="R10:W12"/>
    <mergeCell ref="C13:E13"/>
    <mergeCell ref="F13:F14"/>
    <mergeCell ref="G13:G14"/>
    <mergeCell ref="B25:G25"/>
    <mergeCell ref="B26:G26"/>
    <mergeCell ref="B34:G39"/>
    <mergeCell ref="B42:G47"/>
    <mergeCell ref="B50:G55"/>
    <mergeCell ref="B58:G63"/>
    <mergeCell ref="B66:G71"/>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Appendix C - 1589 True Up</vt:lpstr>
      <vt:lpstr>Appendix D - 2015 GA Analysis</vt:lpstr>
      <vt:lpstr>Appendix E - 2016 GA Analysis</vt:lpstr>
      <vt:lpstr>Appendix F - Low Voltage</vt:lpstr>
      <vt:lpstr>Appendix G - Wholesale Market</vt:lpstr>
      <vt:lpstr>Appendix H - Network</vt:lpstr>
      <vt:lpstr>Appendix I - Transmission</vt:lpstr>
      <vt:lpstr>Appendix J - Smart Entity</vt:lpstr>
      <vt:lpstr>Appendix K - 1588 Reasonability</vt:lpstr>
      <vt:lpstr>Appendix L - 2015 Continuity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Jeffrey Roy</dc:creator>
  <cp:lastModifiedBy>Jeffrey Roy</cp:lastModifiedBy>
  <cp:lastPrinted>2018-12-14T19:10:39Z</cp:lastPrinted>
  <dcterms:created xsi:type="dcterms:W3CDTF">2018-11-30T14:27:33Z</dcterms:created>
  <dcterms:modified xsi:type="dcterms:W3CDTF">2022-11-15T15:08:57Z</dcterms:modified>
</cp:coreProperties>
</file>