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V:\ACTIVE APPLICATIONS\API_2023_IRM\Final Rates\"/>
    </mc:Choice>
  </mc:AlternateContent>
  <xr:revisionPtr revIDLastSave="0" documentId="13_ncr:1_{EAF2D813-60EA-4C34-805B-9DE79BE70BE9}" xr6:coauthVersionLast="47" xr6:coauthVersionMax="47" xr10:uidLastSave="{00000000-0000-0000-0000-000000000000}"/>
  <bookViews>
    <workbookView xWindow="-60" yWindow="-60" windowWidth="19320" windowHeight="10320" tabRatio="847" activeTab="1" xr2:uid="{BCA7A719-312A-4980-8E75-18D0BA2F886D}"/>
  </bookViews>
  <sheets>
    <sheet name="Cover Sheet" sheetId="2" r:id="rId1"/>
    <sheet name="Rate Summary" sheetId="3" r:id="rId2"/>
    <sheet name="2020 COS Cost Allocation" sheetId="17" r:id="rId3"/>
    <sheet name="2020 COS Eq Rates and Revenue" sheetId="6" r:id="rId4"/>
    <sheet name="RRRP Rate Design" sheetId="10" r:id="rId5"/>
    <sheet name="Equiv Rates for ACM Model" sheetId="18" r:id="rId6"/>
    <sheet name="IRM Adjustment Factor" sheetId="4" r:id="rId7"/>
    <sheet name="Indexed Revenue" sheetId="7" r:id="rId8"/>
    <sheet name="Non-RRRP Rate Design" sheetId="13" r:id="rId9"/>
    <sheet name="R1(i) Decoupling" sheetId="15" r:id="rId10"/>
    <sheet name="Seasonal Decoupling" sheetId="16"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definedNames>
    <definedName name="____xlnm.Print_Area" localSheetId="10">#REF!</definedName>
    <definedName name="____xlnm.Print_Area">#REF!</definedName>
    <definedName name="____xlnm.Print_Area_1" localSheetId="10">#REF!</definedName>
    <definedName name="____xlnm.Print_Area_1">#REF!</definedName>
    <definedName name="___INDEX_SHEET___ASAP_Utilities" localSheetId="10">#REF!</definedName>
    <definedName name="___INDEX_SHEET___ASAP_Utilities">#REF!</definedName>
    <definedName name="___xlnm.Print_Area" localSheetId="10">#REF!</definedName>
    <definedName name="___xlnm.Print_Area">#REF!</definedName>
    <definedName name="___xlnm.Print_Area_1" localSheetId="10">#REF!</definedName>
    <definedName name="___xlnm.Print_Area_1">#REF!</definedName>
    <definedName name="___xlnm.Print_Area_10" localSheetId="10">#REF!</definedName>
    <definedName name="___xlnm.Print_Area_10">#REF!</definedName>
    <definedName name="___xlnm.Print_Area_11" localSheetId="10">#REF!</definedName>
    <definedName name="___xlnm.Print_Area_11">#REF!</definedName>
    <definedName name="___xlnm.Print_Area_12" localSheetId="10">#REF!</definedName>
    <definedName name="___xlnm.Print_Area_12">#REF!</definedName>
    <definedName name="___xlnm.Print_Area_13" localSheetId="10">#REF!</definedName>
    <definedName name="___xlnm.Print_Area_13">#REF!</definedName>
    <definedName name="___xlnm.Print_Area_14" localSheetId="10">#REF!</definedName>
    <definedName name="___xlnm.Print_Area_14">#REF!</definedName>
    <definedName name="___xlnm.Print_Area_15" localSheetId="10">#REF!</definedName>
    <definedName name="___xlnm.Print_Area_15">#REF!</definedName>
    <definedName name="___xlnm.Print_Area_16" localSheetId="10">#REF!</definedName>
    <definedName name="___xlnm.Print_Area_16">#REF!</definedName>
    <definedName name="___xlnm.Print_Area_17" localSheetId="10">#REF!</definedName>
    <definedName name="___xlnm.Print_Area_17">#REF!</definedName>
    <definedName name="___xlnm.Print_Area_18" localSheetId="10">#REF!</definedName>
    <definedName name="___xlnm.Print_Area_18">#REF!</definedName>
    <definedName name="___xlnm.Print_Area_19" localSheetId="10">#REF!</definedName>
    <definedName name="___xlnm.Print_Area_19">#REF!</definedName>
    <definedName name="___xlnm.Print_Area_2" localSheetId="10">#REF!</definedName>
    <definedName name="___xlnm.Print_Area_2">#REF!</definedName>
    <definedName name="___xlnm.Print_Area_20" localSheetId="10">#REF!</definedName>
    <definedName name="___xlnm.Print_Area_20">#REF!</definedName>
    <definedName name="___xlnm.Print_Area_21" localSheetId="10">#REF!</definedName>
    <definedName name="___xlnm.Print_Area_21">#REF!</definedName>
    <definedName name="___xlnm.Print_Area_22" localSheetId="10">#REF!</definedName>
    <definedName name="___xlnm.Print_Area_22">#REF!</definedName>
    <definedName name="___xlnm.Print_Area_23" localSheetId="10">#REF!</definedName>
    <definedName name="___xlnm.Print_Area_23">#REF!</definedName>
    <definedName name="___xlnm.Print_Area_24" localSheetId="10">#REF!</definedName>
    <definedName name="___xlnm.Print_Area_24">#REF!</definedName>
    <definedName name="___xlnm.Print_Area_25" localSheetId="10">#REF!</definedName>
    <definedName name="___xlnm.Print_Area_25">#REF!</definedName>
    <definedName name="___xlnm.Print_Area_26" localSheetId="10">#REF!</definedName>
    <definedName name="___xlnm.Print_Area_26">#REF!</definedName>
    <definedName name="___xlnm.Print_Area_27" localSheetId="10">#REF!</definedName>
    <definedName name="___xlnm.Print_Area_27">#REF!</definedName>
    <definedName name="___xlnm.Print_Area_28" localSheetId="10">#REF!</definedName>
    <definedName name="___xlnm.Print_Area_28">#REF!</definedName>
    <definedName name="___xlnm.Print_Area_29" localSheetId="10">#REF!</definedName>
    <definedName name="___xlnm.Print_Area_29">#REF!</definedName>
    <definedName name="___xlnm.Print_Area_3" localSheetId="10">#REF!</definedName>
    <definedName name="___xlnm.Print_Area_3">#REF!</definedName>
    <definedName name="___xlnm.Print_Area_30" localSheetId="10">#REF!</definedName>
    <definedName name="___xlnm.Print_Area_30">#REF!</definedName>
    <definedName name="___xlnm.Print_Area_31" localSheetId="10">#REF!</definedName>
    <definedName name="___xlnm.Print_Area_31">#REF!</definedName>
    <definedName name="___xlnm.Print_Area_32" localSheetId="10">#REF!</definedName>
    <definedName name="___xlnm.Print_Area_32">#REF!</definedName>
    <definedName name="___xlnm.Print_Area_33" localSheetId="10">#REF!</definedName>
    <definedName name="___xlnm.Print_Area_33">#REF!</definedName>
    <definedName name="___xlnm.Print_Area_34" localSheetId="10">#REF!</definedName>
    <definedName name="___xlnm.Print_Area_34">#REF!</definedName>
    <definedName name="___xlnm.Print_Area_35" localSheetId="10">#REF!</definedName>
    <definedName name="___xlnm.Print_Area_35">#REF!</definedName>
    <definedName name="___xlnm.Print_Area_36" localSheetId="10">#REF!</definedName>
    <definedName name="___xlnm.Print_Area_36">#REF!</definedName>
    <definedName name="___xlnm.Print_Area_37" localSheetId="10">#REF!</definedName>
    <definedName name="___xlnm.Print_Area_37">#REF!</definedName>
    <definedName name="___xlnm.Print_Area_38" localSheetId="10">#REF!</definedName>
    <definedName name="___xlnm.Print_Area_38">#REF!</definedName>
    <definedName name="___xlnm.Print_Area_39" localSheetId="10">#REF!</definedName>
    <definedName name="___xlnm.Print_Area_39">#REF!</definedName>
    <definedName name="___xlnm.Print_Area_4" localSheetId="10">#REF!</definedName>
    <definedName name="___xlnm.Print_Area_4">#REF!</definedName>
    <definedName name="___xlnm.Print_Area_40" localSheetId="10">#REF!</definedName>
    <definedName name="___xlnm.Print_Area_40">#REF!</definedName>
    <definedName name="___xlnm.Print_Area_41" localSheetId="10">#REF!</definedName>
    <definedName name="___xlnm.Print_Area_41">#REF!</definedName>
    <definedName name="___xlnm.Print_Area_42" localSheetId="10">#REF!</definedName>
    <definedName name="___xlnm.Print_Area_42">#REF!</definedName>
    <definedName name="___xlnm.Print_Area_43" localSheetId="10">#REF!</definedName>
    <definedName name="___xlnm.Print_Area_43">#REF!</definedName>
    <definedName name="___xlnm.Print_Area_44" localSheetId="10">#REF!</definedName>
    <definedName name="___xlnm.Print_Area_44">#REF!</definedName>
    <definedName name="___xlnm.Print_Area_45" localSheetId="10">#REF!</definedName>
    <definedName name="___xlnm.Print_Area_45">#REF!</definedName>
    <definedName name="___xlnm.Print_Area_46" localSheetId="10">#REF!</definedName>
    <definedName name="___xlnm.Print_Area_46">#REF!</definedName>
    <definedName name="___xlnm.Print_Area_47" localSheetId="10">#REF!</definedName>
    <definedName name="___xlnm.Print_Area_47">#REF!</definedName>
    <definedName name="___xlnm.Print_Area_48" localSheetId="10">#REF!</definedName>
    <definedName name="___xlnm.Print_Area_48">#REF!</definedName>
    <definedName name="___xlnm.Print_Area_49" localSheetId="10">#REF!</definedName>
    <definedName name="___xlnm.Print_Area_49">#REF!</definedName>
    <definedName name="___xlnm.Print_Area_5" localSheetId="10">#REF!</definedName>
    <definedName name="___xlnm.Print_Area_5">#REF!</definedName>
    <definedName name="___xlnm.Print_Area_6" localSheetId="10">#REF!</definedName>
    <definedName name="___xlnm.Print_Area_6">#REF!</definedName>
    <definedName name="___xlnm.Print_Area_7" localSheetId="10">#REF!</definedName>
    <definedName name="___xlnm.Print_Area_7">#REF!</definedName>
    <definedName name="___xlnm.Print_Area_8" localSheetId="10">#REF!</definedName>
    <definedName name="___xlnm.Print_Area_8">#REF!</definedName>
    <definedName name="___xlnm.Print_Area_9" localSheetId="10">#REF!</definedName>
    <definedName name="___xlnm.Print_Area_9">#REF!</definedName>
    <definedName name="__xlnm._FilterDatabase" localSheetId="10">#REF!</definedName>
    <definedName name="__xlnm._FilterDatabase">#REF!</definedName>
    <definedName name="__xlnm._FilterDatabase_1" localSheetId="10">#REF!</definedName>
    <definedName name="__xlnm._FilterDatabase_1">#REF!</definedName>
    <definedName name="__xlnm.Extract">"#N/A"</definedName>
    <definedName name="__xlnm.Print_Area" localSheetId="10">#REF!</definedName>
    <definedName name="__xlnm.Print_Area">#REF!</definedName>
    <definedName name="__xlnm.Print_Area_1">#N/A</definedName>
    <definedName name="__xlnm.Print_Area_1_1">#N/A</definedName>
    <definedName name="__xlnm.Print_Area_1_2">#N/A</definedName>
    <definedName name="__xlnm.Print_Area_1_3">#N/A</definedName>
    <definedName name="__xlnm.Print_Area_1_4">#N/A</definedName>
    <definedName name="__xlnm.Print_Area_1_5">#N/A</definedName>
    <definedName name="__xlnm.Print_Area_10" localSheetId="10">#REF!</definedName>
    <definedName name="__xlnm.Print_Area_10">#REF!</definedName>
    <definedName name="__xlnm.Print_Area_11" localSheetId="10">#REF!</definedName>
    <definedName name="__xlnm.Print_Area_11">#REF!</definedName>
    <definedName name="__xlnm.Print_Area_12" localSheetId="10">#REF!</definedName>
    <definedName name="__xlnm.Print_Area_12">#REF!</definedName>
    <definedName name="__xlnm.Print_Area_13" localSheetId="10">#REF!</definedName>
    <definedName name="__xlnm.Print_Area_13">#REF!</definedName>
    <definedName name="__xlnm.Print_Area_14" localSheetId="10">#REF!</definedName>
    <definedName name="__xlnm.Print_Area_14">#REF!</definedName>
    <definedName name="__xlnm.Print_Area_15" localSheetId="10">#REF!</definedName>
    <definedName name="__xlnm.Print_Area_15">#REF!</definedName>
    <definedName name="__xlnm.Print_Area_16" localSheetId="10">#REF!</definedName>
    <definedName name="__xlnm.Print_Area_16">#REF!</definedName>
    <definedName name="__xlnm.Print_Area_17" localSheetId="10">#REF!</definedName>
    <definedName name="__xlnm.Print_Area_17">#REF!</definedName>
    <definedName name="__xlnm.Print_Area_18" localSheetId="10">#REF!</definedName>
    <definedName name="__xlnm.Print_Area_18">#REF!</definedName>
    <definedName name="__xlnm.Print_Area_19" localSheetId="10">#REF!</definedName>
    <definedName name="__xlnm.Print_Area_19">#REF!</definedName>
    <definedName name="__xlnm.Print_Area_2" localSheetId="10">#REF!</definedName>
    <definedName name="__xlnm.Print_Area_2">#REF!</definedName>
    <definedName name="__xlnm.Print_Area_2_1" localSheetId="10">#REF!</definedName>
    <definedName name="__xlnm.Print_Area_2_1">#REF!</definedName>
    <definedName name="__xlnm.Print_Area_2_2" localSheetId="10">#REF!</definedName>
    <definedName name="__xlnm.Print_Area_2_2">#REF!</definedName>
    <definedName name="__xlnm.Print_Area_2_3" localSheetId="10">#REF!</definedName>
    <definedName name="__xlnm.Print_Area_2_3">#REF!</definedName>
    <definedName name="__xlnm.Print_Area_2_4" localSheetId="10">#REF!</definedName>
    <definedName name="__xlnm.Print_Area_2_4">#REF!</definedName>
    <definedName name="__xlnm.Print_Area_2_5" localSheetId="10">#REF!</definedName>
    <definedName name="__xlnm.Print_Area_2_5">#REF!</definedName>
    <definedName name="__xlnm.Print_Area_2_6" localSheetId="10">#REF!</definedName>
    <definedName name="__xlnm.Print_Area_2_6">#REF!</definedName>
    <definedName name="__xlnm.Print_Area_20" localSheetId="10">#REF!</definedName>
    <definedName name="__xlnm.Print_Area_20">#REF!</definedName>
    <definedName name="__xlnm.Print_Area_21" localSheetId="10">#REF!</definedName>
    <definedName name="__xlnm.Print_Area_21">#REF!</definedName>
    <definedName name="__xlnm.Print_Area_21_1" localSheetId="10">#REF!</definedName>
    <definedName name="__xlnm.Print_Area_21_1">#REF!</definedName>
    <definedName name="__xlnm.Print_Area_21_2" localSheetId="10">#REF!</definedName>
    <definedName name="__xlnm.Print_Area_21_2">#REF!</definedName>
    <definedName name="__xlnm.Print_Area_21_3" localSheetId="10">#REF!</definedName>
    <definedName name="__xlnm.Print_Area_21_3">#REF!</definedName>
    <definedName name="__xlnm.Print_Area_22" localSheetId="10">#REF!</definedName>
    <definedName name="__xlnm.Print_Area_22">#REF!</definedName>
    <definedName name="__xlnm.Print_Area_23" localSheetId="10">#REF!</definedName>
    <definedName name="__xlnm.Print_Area_23">#REF!</definedName>
    <definedName name="__xlnm.Print_Area_24" localSheetId="10">#REF!</definedName>
    <definedName name="__xlnm.Print_Area_24">#REF!</definedName>
    <definedName name="__xlnm.Print_Area_24_1" localSheetId="10">#REF!</definedName>
    <definedName name="__xlnm.Print_Area_24_1">#REF!</definedName>
    <definedName name="__xlnm.Print_Area_24_2" localSheetId="10">#REF!</definedName>
    <definedName name="__xlnm.Print_Area_24_2">#REF!</definedName>
    <definedName name="__xlnm.Print_Area_25" localSheetId="10">#REF!</definedName>
    <definedName name="__xlnm.Print_Area_25">#REF!</definedName>
    <definedName name="__xlnm.Print_Area_26" localSheetId="10">#REF!</definedName>
    <definedName name="__xlnm.Print_Area_26">#REF!</definedName>
    <definedName name="__xlnm.Print_Area_27" localSheetId="10">#REF!</definedName>
    <definedName name="__xlnm.Print_Area_27">#REF!</definedName>
    <definedName name="__xlnm.Print_Area_28" localSheetId="10">#REF!</definedName>
    <definedName name="__xlnm.Print_Area_28">#REF!</definedName>
    <definedName name="__xlnm.Print_Area_29" localSheetId="10">#REF!</definedName>
    <definedName name="__xlnm.Print_Area_29">#REF!</definedName>
    <definedName name="__xlnm.Print_Area_3" localSheetId="10">#REF!</definedName>
    <definedName name="__xlnm.Print_Area_3">#REF!</definedName>
    <definedName name="__xlnm.Print_Area_30" localSheetId="10">#REF!</definedName>
    <definedName name="__xlnm.Print_Area_30">#REF!</definedName>
    <definedName name="__xlnm.Print_Area_31" localSheetId="10">#REF!</definedName>
    <definedName name="__xlnm.Print_Area_31">#REF!</definedName>
    <definedName name="__xlnm.Print_Area_32" localSheetId="10">#REF!</definedName>
    <definedName name="__xlnm.Print_Area_32">#REF!</definedName>
    <definedName name="__xlnm.Print_Area_33" localSheetId="10">#REF!</definedName>
    <definedName name="__xlnm.Print_Area_33">#REF!</definedName>
    <definedName name="__xlnm.Print_Area_34" localSheetId="10">#REF!</definedName>
    <definedName name="__xlnm.Print_Area_34">#REF!</definedName>
    <definedName name="__xlnm.Print_Area_35" localSheetId="10">#REF!</definedName>
    <definedName name="__xlnm.Print_Area_35">#REF!</definedName>
    <definedName name="__xlnm.Print_Area_36" localSheetId="10">#REF!</definedName>
    <definedName name="__xlnm.Print_Area_36">#REF!</definedName>
    <definedName name="__xlnm.Print_Area_37" localSheetId="10">#REF!</definedName>
    <definedName name="__xlnm.Print_Area_37">#REF!</definedName>
    <definedName name="__xlnm.Print_Area_38" localSheetId="10">#REF!</definedName>
    <definedName name="__xlnm.Print_Area_38">#REF!</definedName>
    <definedName name="__xlnm.Print_Area_39" localSheetId="10">#REF!</definedName>
    <definedName name="__xlnm.Print_Area_39">#REF!</definedName>
    <definedName name="__xlnm.Print_Area_4" localSheetId="10">#REF!</definedName>
    <definedName name="__xlnm.Print_Area_4">#REF!</definedName>
    <definedName name="__xlnm.Print_Area_41" localSheetId="10">#REF!</definedName>
    <definedName name="__xlnm.Print_Area_41">#REF!</definedName>
    <definedName name="__xlnm.Print_Area_42" localSheetId="10">#REF!</definedName>
    <definedName name="__xlnm.Print_Area_42">#REF!</definedName>
    <definedName name="__xlnm.Print_Area_43" localSheetId="10">#REF!</definedName>
    <definedName name="__xlnm.Print_Area_43">#REF!</definedName>
    <definedName name="__xlnm.Print_Area_44" localSheetId="10">#REF!</definedName>
    <definedName name="__xlnm.Print_Area_44">#REF!</definedName>
    <definedName name="__xlnm.Print_Area_45" localSheetId="10">#REF!</definedName>
    <definedName name="__xlnm.Print_Area_45">#REF!</definedName>
    <definedName name="__xlnm.Print_Area_46" localSheetId="10">#REF!</definedName>
    <definedName name="__xlnm.Print_Area_46">#REF!</definedName>
    <definedName name="__xlnm.Print_Area_46_1" localSheetId="10">#REF!</definedName>
    <definedName name="__xlnm.Print_Area_46_1">#REF!</definedName>
    <definedName name="__xlnm.Print_Area_46_2" localSheetId="10">#REF!</definedName>
    <definedName name="__xlnm.Print_Area_46_2">#REF!</definedName>
    <definedName name="__xlnm.Print_Area_46_3" localSheetId="10">#REF!</definedName>
    <definedName name="__xlnm.Print_Area_46_3">#REF!</definedName>
    <definedName name="__xlnm.Print_Area_46_4" localSheetId="10">#REF!</definedName>
    <definedName name="__xlnm.Print_Area_46_4">#REF!</definedName>
    <definedName name="__xlnm.Print_Area_46_5" localSheetId="10">#REF!</definedName>
    <definedName name="__xlnm.Print_Area_46_5">#REF!</definedName>
    <definedName name="__xlnm.Print_Area_46_6" localSheetId="10">#REF!</definedName>
    <definedName name="__xlnm.Print_Area_46_6">#REF!</definedName>
    <definedName name="__xlnm.Print_Area_46_7" localSheetId="10">#REF!</definedName>
    <definedName name="__xlnm.Print_Area_46_7">#REF!</definedName>
    <definedName name="__xlnm.Print_Area_46_8" localSheetId="10">#REF!</definedName>
    <definedName name="__xlnm.Print_Area_46_8">#REF!</definedName>
    <definedName name="__xlnm.Print_Area_46_9" localSheetId="10">#REF!</definedName>
    <definedName name="__xlnm.Print_Area_46_9">#REF!</definedName>
    <definedName name="__xlnm.Print_Area_47">"#REF!"</definedName>
    <definedName name="__xlnm.Print_Area_49" localSheetId="10">#REF!</definedName>
    <definedName name="__xlnm.Print_Area_49">#REF!</definedName>
    <definedName name="__xlnm.Print_Area_5" localSheetId="10">#REF!</definedName>
    <definedName name="__xlnm.Print_Area_5">#REF!</definedName>
    <definedName name="__xlnm.Print_Area_51" localSheetId="10">#REF!</definedName>
    <definedName name="__xlnm.Print_Area_51">#REF!</definedName>
    <definedName name="__xlnm.Print_Area_52" localSheetId="10">#REF!</definedName>
    <definedName name="__xlnm.Print_Area_52">#REF!</definedName>
    <definedName name="__xlnm.Print_Area_53" localSheetId="10">#REF!</definedName>
    <definedName name="__xlnm.Print_Area_53">#REF!</definedName>
    <definedName name="__xlnm.Print_Area_54" localSheetId="10">#REF!</definedName>
    <definedName name="__xlnm.Print_Area_54">#REF!</definedName>
    <definedName name="__xlnm.Print_Area_55" localSheetId="10">#REF!</definedName>
    <definedName name="__xlnm.Print_Area_55">#REF!</definedName>
    <definedName name="__xlnm.Print_Area_56" localSheetId="10">#REF!</definedName>
    <definedName name="__xlnm.Print_Area_56">#REF!</definedName>
    <definedName name="__xlnm.Print_Area_57" localSheetId="10">#REF!</definedName>
    <definedName name="__xlnm.Print_Area_57">#REF!</definedName>
    <definedName name="__xlnm.Print_Area_58" localSheetId="10">#REF!</definedName>
    <definedName name="__xlnm.Print_Area_58">#REF!</definedName>
    <definedName name="__xlnm.Print_Area_59" localSheetId="10">#REF!</definedName>
    <definedName name="__xlnm.Print_Area_59">#REF!</definedName>
    <definedName name="__xlnm.Print_Area_6" localSheetId="10">#REF!</definedName>
    <definedName name="__xlnm.Print_Area_6">#REF!</definedName>
    <definedName name="__xlnm.Print_Area_60" localSheetId="10">#REF!</definedName>
    <definedName name="__xlnm.Print_Area_60">#REF!</definedName>
    <definedName name="__xlnm.Print_Area_61" localSheetId="10">#REF!</definedName>
    <definedName name="__xlnm.Print_Area_61">#REF!</definedName>
    <definedName name="__xlnm.Print_Area_62" localSheetId="10">#REF!</definedName>
    <definedName name="__xlnm.Print_Area_62">#REF!</definedName>
    <definedName name="__xlnm.Print_Area_63" localSheetId="10">#REF!</definedName>
    <definedName name="__xlnm.Print_Area_63">#REF!</definedName>
    <definedName name="__xlnm.Print_Area_64" localSheetId="10">#REF!</definedName>
    <definedName name="__xlnm.Print_Area_64">#REF!</definedName>
    <definedName name="__xlnm.Print_Area_65" localSheetId="10">#REF!</definedName>
    <definedName name="__xlnm.Print_Area_65">#REF!</definedName>
    <definedName name="__xlnm.Print_Area_66" localSheetId="10">#REF!</definedName>
    <definedName name="__xlnm.Print_Area_66">#REF!</definedName>
    <definedName name="__xlnm.Print_Area_67" localSheetId="10">#REF!</definedName>
    <definedName name="__xlnm.Print_Area_67">#REF!</definedName>
    <definedName name="__xlnm.Print_Area_68" localSheetId="10">#REF!</definedName>
    <definedName name="__xlnm.Print_Area_68">#REF!</definedName>
    <definedName name="__xlnm.Print_Area_69" localSheetId="10">#REF!</definedName>
    <definedName name="__xlnm.Print_Area_69">#REF!</definedName>
    <definedName name="__xlnm.Print_Area_7" localSheetId="10">#REF!</definedName>
    <definedName name="__xlnm.Print_Area_7">#REF!</definedName>
    <definedName name="__xlnm.Print_Area_71" localSheetId="10">#REF!</definedName>
    <definedName name="__xlnm.Print_Area_71">#REF!</definedName>
    <definedName name="__xlnm.Print_Area_72" localSheetId="10">#REF!</definedName>
    <definedName name="__xlnm.Print_Area_72">#REF!</definedName>
    <definedName name="__xlnm.Print_Area_73" localSheetId="10">#REF!</definedName>
    <definedName name="__xlnm.Print_Area_73">#REF!</definedName>
    <definedName name="__xlnm.Print_Area_74" localSheetId="10">#REF!</definedName>
    <definedName name="__xlnm.Print_Area_74">#REF!</definedName>
    <definedName name="__xlnm.Print_Area_76" localSheetId="10">#REF!</definedName>
    <definedName name="__xlnm.Print_Area_76">#REF!</definedName>
    <definedName name="__xlnm.Print_Area_77">#N/A</definedName>
    <definedName name="__xlnm.Print_Area_78" localSheetId="10">#REF!</definedName>
    <definedName name="__xlnm.Print_Area_78">#REF!</definedName>
    <definedName name="__xlnm.Print_Area_79" localSheetId="10">#REF!</definedName>
    <definedName name="__xlnm.Print_Area_79">#REF!</definedName>
    <definedName name="__xlnm.Print_Area_8" localSheetId="10">#REF!</definedName>
    <definedName name="__xlnm.Print_Area_8">#REF!</definedName>
    <definedName name="__xlnm.Print_Area_80" localSheetId="10">#REF!</definedName>
    <definedName name="__xlnm.Print_Area_80">#REF!</definedName>
    <definedName name="__xlnm.Print_Area_81" localSheetId="10">#REF!</definedName>
    <definedName name="__xlnm.Print_Area_81">#REF!</definedName>
    <definedName name="__xlnm.Print_Area_9" localSheetId="10">#REF!</definedName>
    <definedName name="__xlnm.Print_Area_9">#REF!</definedName>
    <definedName name="__xlnm.Print_Titles" localSheetId="10">#REF!</definedName>
    <definedName name="__xlnm.Print_Titles">#REF!</definedName>
    <definedName name="__xlnm.Print_Titles_1" localSheetId="10">#REF!</definedName>
    <definedName name="__xlnm.Print_Titles_1">#REF!</definedName>
    <definedName name="__xlnm.Print_Titles_2" localSheetId="10">#REF!</definedName>
    <definedName name="__xlnm.Print_Titles_2">#REF!</definedName>
    <definedName name="_ftn1">"#N/A"</definedName>
    <definedName name="_ftnref1">"#N/A"</definedName>
    <definedName name="_Parse_Out" localSheetId="10" hidden="1">#REF!</definedName>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ontactf" localSheetId="10">#REF!</definedName>
    <definedName name="contactf">#REF!</definedName>
    <definedName name="CRLF">'[1]Z1.ModelVariables'!$C$10</definedName>
    <definedName name="CustomerAdministration">[5]lists!$Z$1:$Z$36</definedName>
    <definedName name="EBCaseNumber">"#N/A"</definedName>
    <definedName name="EBNUMBER">'[6]LDC Info'!$E$16</definedName>
    <definedName name="Fixed_Charges">[5]lists!$I$1:$I$212</definedName>
    <definedName name="histdate">[7]Financials!$E$76</definedName>
    <definedName name="holidays">#N/A</definedName>
    <definedName name="Incr2000" localSheetId="10">#REF!</definedName>
    <definedName name="Incr2000">#REF!</definedName>
    <definedName name="Index_Sheet_Kutools" localSheetId="10">#REF!</definedName>
    <definedName name="Index_Sheet_Kutools">#REF!</definedName>
    <definedName name="infra">"#REF!"</definedName>
    <definedName name="IRMWG">"#N/A"</definedName>
    <definedName name="IRMWG_1">"#N/A"</definedName>
    <definedName name="Last_Rebasing_Year">'[3]0.1 LDC Info'!$E$27</definedName>
    <definedName name="LDC_LIST">[8]lists!$AM$1:$AM$80</definedName>
    <definedName name="LDC_LIST_1" localSheetId="10">#REF!</definedName>
    <definedName name="LDC_LIST_1">#REF!</definedName>
    <definedName name="LDC_LIST_2">[9]lists!$AM$1:$AM$80</definedName>
    <definedName name="LDCLIST">"#REF!"</definedName>
    <definedName name="LDCLIST_1">"#REF!"</definedName>
    <definedName name="LDCLIST_10">"#N/A"</definedName>
    <definedName name="LDCLIST_2">"#REF!"</definedName>
    <definedName name="LDCLIST_3">"#REF!"</definedName>
    <definedName name="LDCLIST_4">"#REF!"</definedName>
    <definedName name="LDCLIST_5">"#REF!"</definedName>
    <definedName name="LDCLIST_6">"#N/A"</definedName>
    <definedName name="LDCLIST_7">"#REF!"</definedName>
    <definedName name="LDCLIST_8">"#REF!"</definedName>
    <definedName name="LDCLIST_9">"#REF!"</definedName>
    <definedName name="LDCNAMES">[5]lists!$AL$1:$AL$78</definedName>
    <definedName name="LIMIT" localSheetId="10">#REF!</definedName>
    <definedName name="LIMIT">#REF!</definedName>
    <definedName name="LossFactors">[5]lists!$L$2:$L$15</definedName>
    <definedName name="man_beg_bud" localSheetId="10">#REF!</definedName>
    <definedName name="man_beg_bud">#REF!</definedName>
    <definedName name="man_end_bud" localSheetId="10">#REF!</definedName>
    <definedName name="man_end_bud">#REF!</definedName>
    <definedName name="man12ACT" localSheetId="10">#REF!</definedName>
    <definedName name="man12ACT">#REF!</definedName>
    <definedName name="MANBUD" localSheetId="10">#REF!</definedName>
    <definedName name="MANBUD">#REF!</definedName>
    <definedName name="manCYACT" localSheetId="10">#REF!</definedName>
    <definedName name="manCYACT">#REF!</definedName>
    <definedName name="manCYBUD" localSheetId="10">#REF!</definedName>
    <definedName name="manCYBUD">#REF!</definedName>
    <definedName name="manCYF" localSheetId="10">#REF!</definedName>
    <definedName name="manCYF">#REF!</definedName>
    <definedName name="MANEND" localSheetId="10">#REF!</definedName>
    <definedName name="MANEND">#REF!</definedName>
    <definedName name="manNYbud" localSheetId="10">#REF!</definedName>
    <definedName name="manNYbud">#REF!</definedName>
    <definedName name="manpower_costs" localSheetId="10">#REF!</definedName>
    <definedName name="manpower_costs">#REF!</definedName>
    <definedName name="manPYACT" localSheetId="10">#REF!</definedName>
    <definedName name="manPYACT">#REF!</definedName>
    <definedName name="MANSTART" localSheetId="10">#REF!</definedName>
    <definedName name="MANSTART">#REF!</definedName>
    <definedName name="mat_beg_bud" localSheetId="10">#REF!</definedName>
    <definedName name="mat_beg_bud">#REF!</definedName>
    <definedName name="mat_end_bud" localSheetId="10">#REF!</definedName>
    <definedName name="mat_end_bud">#REF!</definedName>
    <definedName name="mat12ACT" localSheetId="10">#REF!</definedName>
    <definedName name="mat12ACT">#REF!</definedName>
    <definedName name="MATBUD" localSheetId="10">#REF!</definedName>
    <definedName name="MATBUD">#REF!</definedName>
    <definedName name="matCYACT" localSheetId="10">#REF!</definedName>
    <definedName name="matCYACT">#REF!</definedName>
    <definedName name="matCYBUD" localSheetId="10">#REF!</definedName>
    <definedName name="matCYBUD">#REF!</definedName>
    <definedName name="matCYF" localSheetId="10">#REF!</definedName>
    <definedName name="matCYF">#REF!</definedName>
    <definedName name="MATEND" localSheetId="10">#REF!</definedName>
    <definedName name="MATEND">#REF!</definedName>
    <definedName name="material_costs" localSheetId="10">#REF!</definedName>
    <definedName name="material_costs">#REF!</definedName>
    <definedName name="matNYbud" localSheetId="10">#REF!</definedName>
    <definedName name="matNYbud">#REF!</definedName>
    <definedName name="matPYACT" localSheetId="10">#REF!</definedName>
    <definedName name="matPYACT">#REF!</definedName>
    <definedName name="MATSTART" localSheetId="10">#REF!</definedName>
    <definedName name="MATSTART">#REF!</definedName>
    <definedName name="NonPayment">[5]lists!$AA$1:$AA$71</definedName>
    <definedName name="OLE_LINK1">"#REF!"</definedName>
    <definedName name="OLE_LINK7">"#REF!"</definedName>
    <definedName name="oth_beg_bud" localSheetId="10">#REF!</definedName>
    <definedName name="oth_beg_bud">#REF!</definedName>
    <definedName name="oth_end_bud" localSheetId="10">#REF!</definedName>
    <definedName name="oth_end_bud">#REF!</definedName>
    <definedName name="oth12ACT" localSheetId="10">#REF!</definedName>
    <definedName name="oth12ACT">#REF!</definedName>
    <definedName name="othCYACT" localSheetId="10">#REF!</definedName>
    <definedName name="othCYACT">#REF!</definedName>
    <definedName name="othCYBUD" localSheetId="10">#REF!</definedName>
    <definedName name="othCYBUD">#REF!</definedName>
    <definedName name="othCYF" localSheetId="10">#REF!</definedName>
    <definedName name="othCYF">#REF!</definedName>
    <definedName name="OTHEND" localSheetId="10">#REF!</definedName>
    <definedName name="OTHEND">#REF!</definedName>
    <definedName name="other_costs" localSheetId="10">#REF!</definedName>
    <definedName name="other_costs">#REF!</definedName>
    <definedName name="OTHERBUD" localSheetId="10">#REF!</definedName>
    <definedName name="OTHERBUD">#REF!</definedName>
    <definedName name="othNYbud" localSheetId="10">#REF!</definedName>
    <definedName name="othNYbud">#REF!</definedName>
    <definedName name="othPYACT" localSheetId="10">#REF!</definedName>
    <definedName name="othPYACT">#REF!</definedName>
    <definedName name="OTHSTART" localSheetId="10">#REF!</definedName>
    <definedName name="OTHSTART">#REF!</definedName>
    <definedName name="print_end" localSheetId="10">#REF!</definedName>
    <definedName name="print_end">#REF!</definedName>
    <definedName name="Rate_Class">[5]lists!$A$2:$A$105</definedName>
    <definedName name="RATE_CLASSES">[5]lists!$A$1:$A$104</definedName>
    <definedName name="ratedescription">[10]hidden1!$D$1:$D$122</definedName>
    <definedName name="RebaseYear">'[11]LDC Info'!$E$28</definedName>
    <definedName name="RebaseYear_1">'[12]LDC Info'!$E$24</definedName>
    <definedName name="RMpilsVer">'[13]Z1.ModelVariables'!$C$13</definedName>
    <definedName name="RMversion">'[14]Z1.ModelVariables'!$C$13</definedName>
    <definedName name="SALBENF" localSheetId="10">#REF!</definedName>
    <definedName name="SALBENF">#REF!</definedName>
    <definedName name="salreg" localSheetId="10">#REF!</definedName>
    <definedName name="salreg">#REF!</definedName>
    <definedName name="SALREGF" localSheetId="10">#REF!</definedName>
    <definedName name="SALREGF">#REF!</definedName>
    <definedName name="sdfvgsdfsf" localSheetId="10">#REF!</definedName>
    <definedName name="sdfvgsdfsf">#REF!</definedName>
    <definedName name="Start_12" localSheetId="10">#REF!</definedName>
    <definedName name="Start_12">#REF!</definedName>
    <definedName name="Start_5" localSheetId="10">#REF!</definedName>
    <definedName name="Start_5">#REF!</definedName>
    <definedName name="TEMPA" localSheetId="10">#REF!</definedName>
    <definedName name="TEMPA">#REF!</definedName>
    <definedName name="Test_Year">'[3]0.1 LDC Info'!$E$25</definedName>
    <definedName name="TestYear">'[4]LDC Info'!$E$24</definedName>
    <definedName name="TestYr">'[13]P0.Admin'!$C$13</definedName>
    <definedName name="total_dept" localSheetId="10">#REF!</definedName>
    <definedName name="total_dept">#REF!</definedName>
    <definedName name="total_manpower" localSheetId="10">#REF!</definedName>
    <definedName name="total_manpower">#REF!</definedName>
    <definedName name="total_material" localSheetId="10">#REF!</definedName>
    <definedName name="total_material">#REF!</definedName>
    <definedName name="total_other" localSheetId="10">#REF!</definedName>
    <definedName name="total_other">#REF!</definedName>
    <definedName name="total_transportation" localSheetId="10">#REF!</definedName>
    <definedName name="total_transportation">#REF!</definedName>
    <definedName name="TRANBUD" localSheetId="10">#REF!</definedName>
    <definedName name="TRANBUD">#REF!</definedName>
    <definedName name="TRANEND" localSheetId="10">#REF!</definedName>
    <definedName name="TRANEND">#REF!</definedName>
    <definedName name="transportation_costs" localSheetId="10">#REF!</definedName>
    <definedName name="transportation_costs">#REF!</definedName>
    <definedName name="TRANSTART" localSheetId="10">#REF!</definedName>
    <definedName name="TRANSTART">#REF!</definedName>
    <definedName name="trn_beg_bud" localSheetId="10">#REF!</definedName>
    <definedName name="trn_beg_bud">#REF!</definedName>
    <definedName name="trn_end_bud" localSheetId="10">#REF!</definedName>
    <definedName name="trn_end_bud">#REF!</definedName>
    <definedName name="trn12ACT" localSheetId="10">#REF!</definedName>
    <definedName name="trn12ACT">#REF!</definedName>
    <definedName name="trnCYACT" localSheetId="10">#REF!</definedName>
    <definedName name="trnCYACT">#REF!</definedName>
    <definedName name="trnCYBUD" localSheetId="10">#REF!</definedName>
    <definedName name="trnCYBUD">#REF!</definedName>
    <definedName name="trnCYF" localSheetId="10">#REF!</definedName>
    <definedName name="trnCYF">#REF!</definedName>
    <definedName name="trnNYbud" localSheetId="10">#REF!</definedName>
    <definedName name="trnNYbud">#REF!</definedName>
    <definedName name="trnPYACT" localSheetId="10">#REF!</definedName>
    <definedName name="trnPYACT">#REF!</definedName>
    <definedName name="Units">[5]lists!$N$2:$N$5</definedName>
    <definedName name="Units1">[5]lists!$O$2:$O$4</definedName>
    <definedName name="Units2">[5]lists!$P$2:$P$3</definedName>
    <definedName name="Utility">[7]Financials!$A$1</definedName>
    <definedName name="utitliy1">[15]Financials!$A$1</definedName>
    <definedName name="valuevx">42.314159</definedName>
    <definedName name="WAGBENF" localSheetId="10">#REF!</definedName>
    <definedName name="WAGBENF">#REF!</definedName>
    <definedName name="wagdob" localSheetId="10">#REF!</definedName>
    <definedName name="wagdob">#REF!</definedName>
    <definedName name="wagdobf" localSheetId="10">#REF!</definedName>
    <definedName name="wagdobf">#REF!</definedName>
    <definedName name="wagreg" localSheetId="10">#REF!</definedName>
    <definedName name="wagreg">#REF!</definedName>
    <definedName name="wagregf" localSheetId="10">#REF!</definedName>
    <definedName name="wagregf">#REF!</definedName>
    <definedName name="Z_258F368B_AF27_44ED_A772_A0C4A2AFB945_.wvu.Cols" localSheetId="10">#REF!</definedName>
    <definedName name="Z_258F368B_AF27_44ED_A772_A0C4A2AFB945_.wvu.Cols">#REF!</definedName>
    <definedName name="Z_258F368B_AF27_44ED_A772_A0C4A2AFB945_.wvu.Cols_1" localSheetId="10">#REF!</definedName>
    <definedName name="Z_258F368B_AF27_44ED_A772_A0C4A2AFB945_.wvu.Cols_1">#REF!</definedName>
    <definedName name="Z_258F368B_AF27_44ED_A772_A0C4A2AFB945_.wvu.Cols_2">#N/A</definedName>
    <definedName name="Z_258F368B_AF27_44ED_A772_A0C4A2AFB945_.wvu.FilterData" localSheetId="10">#REF!</definedName>
    <definedName name="Z_258F368B_AF27_44ED_A772_A0C4A2AFB945_.wvu.FilterData">#REF!</definedName>
    <definedName name="Z_258F368B_AF27_44ED_A772_A0C4A2AFB945_.wvu.PrintArea" localSheetId="10">#REF!</definedName>
    <definedName name="Z_258F368B_AF27_44ED_A772_A0C4A2AFB945_.wvu.PrintArea">#REF!</definedName>
    <definedName name="Z_258F368B_AF27_44ED_A772_A0C4A2AFB945_.wvu.PrintArea_1">#N/A</definedName>
    <definedName name="Z_258F368B_AF27_44ED_A772_A0C4A2AFB945_.wvu.PrintArea_1_1">#N/A</definedName>
    <definedName name="Z_258F368B_AF27_44ED_A772_A0C4A2AFB945_.wvu.PrintArea_1_2">#N/A</definedName>
    <definedName name="Z_258F368B_AF27_44ED_A772_A0C4A2AFB945_.wvu.PrintArea_1_3">#N/A</definedName>
    <definedName name="Z_258F368B_AF27_44ED_A772_A0C4A2AFB945_.wvu.PrintArea_1_4">#N/A</definedName>
    <definedName name="Z_258F368B_AF27_44ED_A772_A0C4A2AFB945_.wvu.PrintArea_1_5">#N/A</definedName>
    <definedName name="Z_258F368B_AF27_44ED_A772_A0C4A2AFB945_.wvu.PrintArea_10" localSheetId="10">#REF!</definedName>
    <definedName name="Z_258F368B_AF27_44ED_A772_A0C4A2AFB945_.wvu.PrintArea_10">#REF!</definedName>
    <definedName name="Z_258F368B_AF27_44ED_A772_A0C4A2AFB945_.wvu.PrintArea_11" localSheetId="10">#REF!</definedName>
    <definedName name="Z_258F368B_AF27_44ED_A772_A0C4A2AFB945_.wvu.PrintArea_11">#REF!</definedName>
    <definedName name="Z_258F368B_AF27_44ED_A772_A0C4A2AFB945_.wvu.PrintArea_12" localSheetId="10">#REF!</definedName>
    <definedName name="Z_258F368B_AF27_44ED_A772_A0C4A2AFB945_.wvu.PrintArea_12">#REF!</definedName>
    <definedName name="Z_258F368B_AF27_44ED_A772_A0C4A2AFB945_.wvu.PrintArea_13" localSheetId="10">#REF!</definedName>
    <definedName name="Z_258F368B_AF27_44ED_A772_A0C4A2AFB945_.wvu.PrintArea_13">#REF!</definedName>
    <definedName name="Z_258F368B_AF27_44ED_A772_A0C4A2AFB945_.wvu.PrintArea_14" localSheetId="10">#REF!</definedName>
    <definedName name="Z_258F368B_AF27_44ED_A772_A0C4A2AFB945_.wvu.PrintArea_14">#REF!</definedName>
    <definedName name="Z_258F368B_AF27_44ED_A772_A0C4A2AFB945_.wvu.PrintArea_15" localSheetId="10">#REF!</definedName>
    <definedName name="Z_258F368B_AF27_44ED_A772_A0C4A2AFB945_.wvu.PrintArea_15">#REF!</definedName>
    <definedName name="Z_258F368B_AF27_44ED_A772_A0C4A2AFB945_.wvu.PrintArea_16" localSheetId="10">#REF!</definedName>
    <definedName name="Z_258F368B_AF27_44ED_A772_A0C4A2AFB945_.wvu.PrintArea_16">#REF!</definedName>
    <definedName name="Z_258F368B_AF27_44ED_A772_A0C4A2AFB945_.wvu.PrintArea_17" localSheetId="10">#REF!</definedName>
    <definedName name="Z_258F368B_AF27_44ED_A772_A0C4A2AFB945_.wvu.PrintArea_17">#REF!</definedName>
    <definedName name="Z_258F368B_AF27_44ED_A772_A0C4A2AFB945_.wvu.PrintArea_18" localSheetId="10">#REF!</definedName>
    <definedName name="Z_258F368B_AF27_44ED_A772_A0C4A2AFB945_.wvu.PrintArea_18">#REF!</definedName>
    <definedName name="Z_258F368B_AF27_44ED_A772_A0C4A2AFB945_.wvu.PrintArea_19" localSheetId="10">#REF!</definedName>
    <definedName name="Z_258F368B_AF27_44ED_A772_A0C4A2AFB945_.wvu.PrintArea_19">#REF!</definedName>
    <definedName name="Z_258F368B_AF27_44ED_A772_A0C4A2AFB945_.wvu.PrintArea_2" localSheetId="10">#REF!</definedName>
    <definedName name="Z_258F368B_AF27_44ED_A772_A0C4A2AFB945_.wvu.PrintArea_2">#REF!</definedName>
    <definedName name="Z_258F368B_AF27_44ED_A772_A0C4A2AFB945_.wvu.PrintArea_2_1" localSheetId="10">#REF!</definedName>
    <definedName name="Z_258F368B_AF27_44ED_A772_A0C4A2AFB945_.wvu.PrintArea_2_1">#REF!</definedName>
    <definedName name="Z_258F368B_AF27_44ED_A772_A0C4A2AFB945_.wvu.PrintArea_2_2" localSheetId="10">#REF!</definedName>
    <definedName name="Z_258F368B_AF27_44ED_A772_A0C4A2AFB945_.wvu.PrintArea_2_2">#REF!</definedName>
    <definedName name="Z_258F368B_AF27_44ED_A772_A0C4A2AFB945_.wvu.PrintArea_2_3" localSheetId="10">#REF!</definedName>
    <definedName name="Z_258F368B_AF27_44ED_A772_A0C4A2AFB945_.wvu.PrintArea_2_3">#REF!</definedName>
    <definedName name="Z_258F368B_AF27_44ED_A772_A0C4A2AFB945_.wvu.PrintArea_2_4" localSheetId="10">#REF!</definedName>
    <definedName name="Z_258F368B_AF27_44ED_A772_A0C4A2AFB945_.wvu.PrintArea_2_4">#REF!</definedName>
    <definedName name="Z_258F368B_AF27_44ED_A772_A0C4A2AFB945_.wvu.PrintArea_2_5" localSheetId="10">#REF!</definedName>
    <definedName name="Z_258F368B_AF27_44ED_A772_A0C4A2AFB945_.wvu.PrintArea_2_5">#REF!</definedName>
    <definedName name="Z_258F368B_AF27_44ED_A772_A0C4A2AFB945_.wvu.PrintArea_2_6" localSheetId="10">#REF!</definedName>
    <definedName name="Z_258F368B_AF27_44ED_A772_A0C4A2AFB945_.wvu.PrintArea_2_6">#REF!</definedName>
    <definedName name="Z_258F368B_AF27_44ED_A772_A0C4A2AFB945_.wvu.PrintArea_20" localSheetId="10">#REF!</definedName>
    <definedName name="Z_258F368B_AF27_44ED_A772_A0C4A2AFB945_.wvu.PrintArea_20">#REF!</definedName>
    <definedName name="Z_258F368B_AF27_44ED_A772_A0C4A2AFB945_.wvu.PrintArea_21" localSheetId="10">#REF!</definedName>
    <definedName name="Z_258F368B_AF27_44ED_A772_A0C4A2AFB945_.wvu.PrintArea_21">#REF!</definedName>
    <definedName name="Z_258F368B_AF27_44ED_A772_A0C4A2AFB945_.wvu.PrintArea_21_1" localSheetId="10">#REF!</definedName>
    <definedName name="Z_258F368B_AF27_44ED_A772_A0C4A2AFB945_.wvu.PrintArea_21_1">#REF!</definedName>
    <definedName name="Z_258F368B_AF27_44ED_A772_A0C4A2AFB945_.wvu.PrintArea_21_2" localSheetId="10">#REF!</definedName>
    <definedName name="Z_258F368B_AF27_44ED_A772_A0C4A2AFB945_.wvu.PrintArea_21_2">#REF!</definedName>
    <definedName name="Z_258F368B_AF27_44ED_A772_A0C4A2AFB945_.wvu.PrintArea_21_3" localSheetId="10">#REF!</definedName>
    <definedName name="Z_258F368B_AF27_44ED_A772_A0C4A2AFB945_.wvu.PrintArea_21_3">#REF!</definedName>
    <definedName name="Z_258F368B_AF27_44ED_A772_A0C4A2AFB945_.wvu.PrintArea_22" localSheetId="10">#REF!</definedName>
    <definedName name="Z_258F368B_AF27_44ED_A772_A0C4A2AFB945_.wvu.PrintArea_22">#REF!</definedName>
    <definedName name="Z_258F368B_AF27_44ED_A772_A0C4A2AFB945_.wvu.PrintArea_23" localSheetId="10">#REF!</definedName>
    <definedName name="Z_258F368B_AF27_44ED_A772_A0C4A2AFB945_.wvu.PrintArea_23">#REF!</definedName>
    <definedName name="Z_258F368B_AF27_44ED_A772_A0C4A2AFB945_.wvu.PrintArea_24" localSheetId="10">#REF!</definedName>
    <definedName name="Z_258F368B_AF27_44ED_A772_A0C4A2AFB945_.wvu.PrintArea_24">#REF!</definedName>
    <definedName name="Z_258F368B_AF27_44ED_A772_A0C4A2AFB945_.wvu.PrintArea_24_1" localSheetId="10">#REF!</definedName>
    <definedName name="Z_258F368B_AF27_44ED_A772_A0C4A2AFB945_.wvu.PrintArea_24_1">#REF!</definedName>
    <definedName name="Z_258F368B_AF27_44ED_A772_A0C4A2AFB945_.wvu.PrintArea_24_2" localSheetId="10">#REF!</definedName>
    <definedName name="Z_258F368B_AF27_44ED_A772_A0C4A2AFB945_.wvu.PrintArea_24_2">#REF!</definedName>
    <definedName name="Z_258F368B_AF27_44ED_A772_A0C4A2AFB945_.wvu.PrintArea_25" localSheetId="10">#REF!</definedName>
    <definedName name="Z_258F368B_AF27_44ED_A772_A0C4A2AFB945_.wvu.PrintArea_25">#REF!</definedName>
    <definedName name="Z_258F368B_AF27_44ED_A772_A0C4A2AFB945_.wvu.PrintArea_26" localSheetId="10">#REF!</definedName>
    <definedName name="Z_258F368B_AF27_44ED_A772_A0C4A2AFB945_.wvu.PrintArea_26">#REF!</definedName>
    <definedName name="Z_258F368B_AF27_44ED_A772_A0C4A2AFB945_.wvu.PrintArea_27" localSheetId="10">#REF!</definedName>
    <definedName name="Z_258F368B_AF27_44ED_A772_A0C4A2AFB945_.wvu.PrintArea_27">#REF!</definedName>
    <definedName name="Z_258F368B_AF27_44ED_A772_A0C4A2AFB945_.wvu.PrintArea_28" localSheetId="10">#REF!</definedName>
    <definedName name="Z_258F368B_AF27_44ED_A772_A0C4A2AFB945_.wvu.PrintArea_28">#REF!</definedName>
    <definedName name="Z_258F368B_AF27_44ED_A772_A0C4A2AFB945_.wvu.PrintArea_29" localSheetId="10">#REF!</definedName>
    <definedName name="Z_258F368B_AF27_44ED_A772_A0C4A2AFB945_.wvu.PrintArea_29">#REF!</definedName>
    <definedName name="Z_258F368B_AF27_44ED_A772_A0C4A2AFB945_.wvu.PrintArea_3" localSheetId="10">#REF!</definedName>
    <definedName name="Z_258F368B_AF27_44ED_A772_A0C4A2AFB945_.wvu.PrintArea_3">#REF!</definedName>
    <definedName name="Z_258F368B_AF27_44ED_A772_A0C4A2AFB945_.wvu.PrintArea_30" localSheetId="10">#REF!</definedName>
    <definedName name="Z_258F368B_AF27_44ED_A772_A0C4A2AFB945_.wvu.PrintArea_30">#REF!</definedName>
    <definedName name="Z_258F368B_AF27_44ED_A772_A0C4A2AFB945_.wvu.PrintArea_31" localSheetId="10">#REF!</definedName>
    <definedName name="Z_258F368B_AF27_44ED_A772_A0C4A2AFB945_.wvu.PrintArea_31">#REF!</definedName>
    <definedName name="Z_258F368B_AF27_44ED_A772_A0C4A2AFB945_.wvu.PrintArea_32" localSheetId="10">#REF!</definedName>
    <definedName name="Z_258F368B_AF27_44ED_A772_A0C4A2AFB945_.wvu.PrintArea_32">#REF!</definedName>
    <definedName name="Z_258F368B_AF27_44ED_A772_A0C4A2AFB945_.wvu.PrintArea_33" localSheetId="10">#REF!</definedName>
    <definedName name="Z_258F368B_AF27_44ED_A772_A0C4A2AFB945_.wvu.PrintArea_33">#REF!</definedName>
    <definedName name="Z_258F368B_AF27_44ED_A772_A0C4A2AFB945_.wvu.PrintArea_34" localSheetId="10">#REF!</definedName>
    <definedName name="Z_258F368B_AF27_44ED_A772_A0C4A2AFB945_.wvu.PrintArea_34">#REF!</definedName>
    <definedName name="Z_258F368B_AF27_44ED_A772_A0C4A2AFB945_.wvu.PrintArea_35" localSheetId="10">#REF!</definedName>
    <definedName name="Z_258F368B_AF27_44ED_A772_A0C4A2AFB945_.wvu.PrintArea_35">#REF!</definedName>
    <definedName name="Z_258F368B_AF27_44ED_A772_A0C4A2AFB945_.wvu.PrintArea_36" localSheetId="10">#REF!</definedName>
    <definedName name="Z_258F368B_AF27_44ED_A772_A0C4A2AFB945_.wvu.PrintArea_36">#REF!</definedName>
    <definedName name="Z_258F368B_AF27_44ED_A772_A0C4A2AFB945_.wvu.PrintArea_37" localSheetId="10">#REF!</definedName>
    <definedName name="Z_258F368B_AF27_44ED_A772_A0C4A2AFB945_.wvu.PrintArea_37">#REF!</definedName>
    <definedName name="Z_258F368B_AF27_44ED_A772_A0C4A2AFB945_.wvu.PrintArea_38" localSheetId="10">#REF!</definedName>
    <definedName name="Z_258F368B_AF27_44ED_A772_A0C4A2AFB945_.wvu.PrintArea_38">#REF!</definedName>
    <definedName name="Z_258F368B_AF27_44ED_A772_A0C4A2AFB945_.wvu.PrintArea_39" localSheetId="10">#REF!</definedName>
    <definedName name="Z_258F368B_AF27_44ED_A772_A0C4A2AFB945_.wvu.PrintArea_39">#REF!</definedName>
    <definedName name="Z_258F368B_AF27_44ED_A772_A0C4A2AFB945_.wvu.PrintArea_4" localSheetId="10">#REF!</definedName>
    <definedName name="Z_258F368B_AF27_44ED_A772_A0C4A2AFB945_.wvu.PrintArea_4">#REF!</definedName>
    <definedName name="Z_258F368B_AF27_44ED_A772_A0C4A2AFB945_.wvu.PrintArea_41" localSheetId="10">#REF!</definedName>
    <definedName name="Z_258F368B_AF27_44ED_A772_A0C4A2AFB945_.wvu.PrintArea_41">#REF!</definedName>
    <definedName name="Z_258F368B_AF27_44ED_A772_A0C4A2AFB945_.wvu.PrintArea_42" localSheetId="10">#REF!</definedName>
    <definedName name="Z_258F368B_AF27_44ED_A772_A0C4A2AFB945_.wvu.PrintArea_42">#REF!</definedName>
    <definedName name="Z_258F368B_AF27_44ED_A772_A0C4A2AFB945_.wvu.PrintArea_43" localSheetId="10">#REF!</definedName>
    <definedName name="Z_258F368B_AF27_44ED_A772_A0C4A2AFB945_.wvu.PrintArea_43">#REF!</definedName>
    <definedName name="Z_258F368B_AF27_44ED_A772_A0C4A2AFB945_.wvu.PrintArea_44" localSheetId="10">#REF!</definedName>
    <definedName name="Z_258F368B_AF27_44ED_A772_A0C4A2AFB945_.wvu.PrintArea_44">#REF!</definedName>
    <definedName name="Z_258F368B_AF27_44ED_A772_A0C4A2AFB945_.wvu.PrintArea_45" localSheetId="10">#REF!</definedName>
    <definedName name="Z_258F368B_AF27_44ED_A772_A0C4A2AFB945_.wvu.PrintArea_45">#REF!</definedName>
    <definedName name="Z_258F368B_AF27_44ED_A772_A0C4A2AFB945_.wvu.PrintArea_46" localSheetId="10">#REF!</definedName>
    <definedName name="Z_258F368B_AF27_44ED_A772_A0C4A2AFB945_.wvu.PrintArea_46">#REF!</definedName>
    <definedName name="Z_258F368B_AF27_44ED_A772_A0C4A2AFB945_.wvu.PrintArea_46_1" localSheetId="10">#REF!</definedName>
    <definedName name="Z_258F368B_AF27_44ED_A772_A0C4A2AFB945_.wvu.PrintArea_46_1">#REF!</definedName>
    <definedName name="Z_258F368B_AF27_44ED_A772_A0C4A2AFB945_.wvu.PrintArea_46_2" localSheetId="10">#REF!</definedName>
    <definedName name="Z_258F368B_AF27_44ED_A772_A0C4A2AFB945_.wvu.PrintArea_46_2">#REF!</definedName>
    <definedName name="Z_258F368B_AF27_44ED_A772_A0C4A2AFB945_.wvu.PrintArea_46_3" localSheetId="10">#REF!</definedName>
    <definedName name="Z_258F368B_AF27_44ED_A772_A0C4A2AFB945_.wvu.PrintArea_46_3">#REF!</definedName>
    <definedName name="Z_258F368B_AF27_44ED_A772_A0C4A2AFB945_.wvu.PrintArea_46_4" localSheetId="10">#REF!</definedName>
    <definedName name="Z_258F368B_AF27_44ED_A772_A0C4A2AFB945_.wvu.PrintArea_46_4">#REF!</definedName>
    <definedName name="Z_258F368B_AF27_44ED_A772_A0C4A2AFB945_.wvu.PrintArea_46_5" localSheetId="10">#REF!</definedName>
    <definedName name="Z_258F368B_AF27_44ED_A772_A0C4A2AFB945_.wvu.PrintArea_46_5">#REF!</definedName>
    <definedName name="Z_258F368B_AF27_44ED_A772_A0C4A2AFB945_.wvu.PrintArea_46_6" localSheetId="10">#REF!</definedName>
    <definedName name="Z_258F368B_AF27_44ED_A772_A0C4A2AFB945_.wvu.PrintArea_46_6">#REF!</definedName>
    <definedName name="Z_258F368B_AF27_44ED_A772_A0C4A2AFB945_.wvu.PrintArea_46_7" localSheetId="10">#REF!</definedName>
    <definedName name="Z_258F368B_AF27_44ED_A772_A0C4A2AFB945_.wvu.PrintArea_46_7">#REF!</definedName>
    <definedName name="Z_258F368B_AF27_44ED_A772_A0C4A2AFB945_.wvu.PrintArea_46_8" localSheetId="10">#REF!</definedName>
    <definedName name="Z_258F368B_AF27_44ED_A772_A0C4A2AFB945_.wvu.PrintArea_46_8">#REF!</definedName>
    <definedName name="Z_258F368B_AF27_44ED_A772_A0C4A2AFB945_.wvu.PrintArea_46_9" localSheetId="10">#REF!</definedName>
    <definedName name="Z_258F368B_AF27_44ED_A772_A0C4A2AFB945_.wvu.PrintArea_46_9">#REF!</definedName>
    <definedName name="Z_258F368B_AF27_44ED_A772_A0C4A2AFB945_.wvu.PrintArea_47">"#REF!"</definedName>
    <definedName name="Z_258F368B_AF27_44ED_A772_A0C4A2AFB945_.wvu.PrintArea_49" localSheetId="10">#REF!</definedName>
    <definedName name="Z_258F368B_AF27_44ED_A772_A0C4A2AFB945_.wvu.PrintArea_49">#REF!</definedName>
    <definedName name="Z_258F368B_AF27_44ED_A772_A0C4A2AFB945_.wvu.PrintArea_5" localSheetId="10">#REF!</definedName>
    <definedName name="Z_258F368B_AF27_44ED_A772_A0C4A2AFB945_.wvu.PrintArea_5">#REF!</definedName>
    <definedName name="Z_258F368B_AF27_44ED_A772_A0C4A2AFB945_.wvu.PrintArea_6" localSheetId="10">#REF!</definedName>
    <definedName name="Z_258F368B_AF27_44ED_A772_A0C4A2AFB945_.wvu.PrintArea_6">#REF!</definedName>
    <definedName name="Z_258F368B_AF27_44ED_A772_A0C4A2AFB945_.wvu.PrintArea_7" localSheetId="10">#REF!</definedName>
    <definedName name="Z_258F368B_AF27_44ED_A772_A0C4A2AFB945_.wvu.PrintArea_7">#REF!</definedName>
    <definedName name="Z_258F368B_AF27_44ED_A772_A0C4A2AFB945_.wvu.PrintArea_8" localSheetId="10">#REF!</definedName>
    <definedName name="Z_258F368B_AF27_44ED_A772_A0C4A2AFB945_.wvu.PrintArea_8">#REF!</definedName>
    <definedName name="Z_258F368B_AF27_44ED_A772_A0C4A2AFB945_.wvu.PrintArea_9" localSheetId="10">#REF!</definedName>
    <definedName name="Z_258F368B_AF27_44ED_A772_A0C4A2AFB945_.wvu.PrintArea_9">#REF!</definedName>
    <definedName name="Z_258F368B_AF27_44ED_A772_A0C4A2AFB945_.wvu.Rows" localSheetId="10">#REF!</definedName>
    <definedName name="Z_258F368B_AF27_44ED_A772_A0C4A2AFB945_.wvu.Row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0" l="1"/>
  <c r="K6" i="10"/>
  <c r="M28" i="18" l="1"/>
  <c r="D28" i="18"/>
  <c r="L7" i="4"/>
  <c r="H30" i="7" s="1"/>
  <c r="M19" i="18"/>
  <c r="D19" i="18"/>
  <c r="M10" i="18"/>
  <c r="D10" i="18"/>
  <c r="L9" i="18"/>
  <c r="K9" i="18"/>
  <c r="N9" i="18" s="1"/>
  <c r="H9" i="18"/>
  <c r="L8" i="18"/>
  <c r="K8" i="18"/>
  <c r="N8" i="18" s="1"/>
  <c r="H8" i="18"/>
  <c r="L7" i="18"/>
  <c r="K7" i="18"/>
  <c r="N7" i="18" s="1"/>
  <c r="H7" i="18"/>
  <c r="L6" i="18"/>
  <c r="K6" i="18"/>
  <c r="H6" i="18"/>
  <c r="N6" i="18" l="1"/>
  <c r="N10" i="18" s="1"/>
  <c r="L10" i="18"/>
  <c r="K10" i="18"/>
  <c r="I14" i="10" l="1"/>
  <c r="F8" i="15" s="1"/>
  <c r="H7" i="4"/>
  <c r="H23" i="7" s="1"/>
  <c r="M17" i="10" l="1"/>
  <c r="G8" i="13" l="1"/>
  <c r="I8" i="13" s="1"/>
  <c r="G7" i="13"/>
  <c r="I7" i="13" s="1"/>
  <c r="G8" i="16" s="1"/>
  <c r="F8" i="13"/>
  <c r="H8" i="13" s="1"/>
  <c r="F7" i="13"/>
  <c r="H7" i="13" s="1"/>
  <c r="F7" i="17"/>
  <c r="F8" i="17"/>
  <c r="F9" i="17"/>
  <c r="F6" i="17"/>
  <c r="E10" i="17"/>
  <c r="D10" i="17"/>
  <c r="C10" i="17"/>
  <c r="E8" i="15" l="1"/>
  <c r="E22" i="15" s="1"/>
  <c r="E29" i="15" s="1"/>
  <c r="D8" i="15"/>
  <c r="J25" i="3" l="1"/>
  <c r="J26" i="3"/>
  <c r="F8" i="16"/>
  <c r="D22" i="15"/>
  <c r="D29" i="15" s="1"/>
  <c r="D8" i="13" l="1"/>
  <c r="J8" i="13" s="1"/>
  <c r="E8" i="13"/>
  <c r="K8" i="13" s="1"/>
  <c r="E7" i="13"/>
  <c r="D7" i="13"/>
  <c r="J7" i="13" s="1"/>
  <c r="M6" i="10"/>
  <c r="D8" i="16" l="1"/>
  <c r="D22" i="16" s="1"/>
  <c r="D29" i="16" s="1"/>
  <c r="E8" i="16"/>
  <c r="E22" i="16" s="1"/>
  <c r="E29" i="16" s="1"/>
  <c r="K7" i="13"/>
  <c r="D9" i="13"/>
  <c r="E9" i="13"/>
  <c r="I15" i="10" l="1"/>
  <c r="I16" i="10"/>
  <c r="J17" i="3" s="1"/>
  <c r="J14" i="10"/>
  <c r="J15" i="10"/>
  <c r="J16" i="10"/>
  <c r="J18" i="3" s="1"/>
  <c r="F16" i="10"/>
  <c r="D16" i="10"/>
  <c r="H8" i="6"/>
  <c r="H9" i="6"/>
  <c r="H10" i="6"/>
  <c r="H7" i="6"/>
  <c r="M11" i="6"/>
  <c r="L14" i="10" l="1"/>
  <c r="G8" i="15"/>
  <c r="I8" i="15" s="1"/>
  <c r="L15" i="10"/>
  <c r="J14" i="3"/>
  <c r="K15" i="10"/>
  <c r="J13" i="3"/>
  <c r="K14" i="10"/>
  <c r="K16" i="10"/>
  <c r="L16" i="10"/>
  <c r="L8" i="6"/>
  <c r="L9" i="6"/>
  <c r="L10" i="6"/>
  <c r="L7" i="6"/>
  <c r="K8" i="6"/>
  <c r="N8" i="6" s="1"/>
  <c r="K9" i="6"/>
  <c r="K10" i="6"/>
  <c r="K7" i="6"/>
  <c r="D11" i="6"/>
  <c r="M14" i="10" l="1"/>
  <c r="G14" i="10" s="1"/>
  <c r="M15" i="10"/>
  <c r="H15" i="10" s="1"/>
  <c r="M16" i="10"/>
  <c r="G16" i="10" s="1"/>
  <c r="F12" i="15"/>
  <c r="H8" i="15"/>
  <c r="J8" i="15" s="1"/>
  <c r="N7" i="6"/>
  <c r="N10" i="6"/>
  <c r="N9" i="6"/>
  <c r="L11" i="6"/>
  <c r="K11" i="6"/>
  <c r="N11" i="6" l="1"/>
  <c r="N15" i="6" s="1"/>
  <c r="N16" i="6" s="1"/>
  <c r="F13" i="15"/>
  <c r="G15" i="10"/>
  <c r="H14" i="10"/>
  <c r="H16" i="10"/>
  <c r="L8" i="15"/>
  <c r="K8" i="15"/>
  <c r="D7" i="4"/>
  <c r="G16" i="7" l="1"/>
  <c r="F14" i="15"/>
  <c r="F15" i="15" s="1"/>
  <c r="G12" i="15" s="1"/>
  <c r="G14" i="15" s="1"/>
  <c r="G15" i="15" s="1"/>
  <c r="D6" i="7"/>
  <c r="D7" i="7"/>
  <c r="D8" i="7"/>
  <c r="D5" i="7"/>
  <c r="C7" i="7"/>
  <c r="G17" i="7"/>
  <c r="G18" i="7" s="1"/>
  <c r="C8" i="7"/>
  <c r="C6" i="7"/>
  <c r="C5" i="7"/>
  <c r="M18" i="3"/>
  <c r="M17" i="3"/>
  <c r="M14" i="3"/>
  <c r="M13" i="3"/>
  <c r="F22" i="15" l="1"/>
  <c r="H22" i="15" s="1"/>
  <c r="H5" i="7"/>
  <c r="K15" i="18"/>
  <c r="H7" i="7"/>
  <c r="K17" i="18"/>
  <c r="I5" i="7"/>
  <c r="L15" i="18"/>
  <c r="I8" i="7"/>
  <c r="L18" i="18"/>
  <c r="J18" i="18" s="1"/>
  <c r="I7" i="7"/>
  <c r="L17" i="18"/>
  <c r="J17" i="18" s="1"/>
  <c r="H6" i="7"/>
  <c r="K16" i="18"/>
  <c r="I6" i="7"/>
  <c r="L16" i="18"/>
  <c r="J16" i="18" s="1"/>
  <c r="H8" i="7"/>
  <c r="K18" i="18"/>
  <c r="D9" i="7"/>
  <c r="E7" i="7"/>
  <c r="I8" i="16"/>
  <c r="E8" i="7"/>
  <c r="M26" i="3"/>
  <c r="M25" i="3"/>
  <c r="E6" i="7"/>
  <c r="K22" i="15"/>
  <c r="L22" i="15" s="1"/>
  <c r="I22" i="15" s="1"/>
  <c r="G22" i="15" s="1"/>
  <c r="G29" i="15" s="1"/>
  <c r="C9" i="7"/>
  <c r="E5" i="7"/>
  <c r="F29" i="15" l="1"/>
  <c r="H29" i="15" s="1"/>
  <c r="H31" i="15" s="1"/>
  <c r="H32" i="15" s="1"/>
  <c r="J8" i="7"/>
  <c r="K27" i="18"/>
  <c r="M8" i="7"/>
  <c r="N6" i="7"/>
  <c r="L25" i="18"/>
  <c r="J25" i="18" s="1"/>
  <c r="N7" i="7"/>
  <c r="L26" i="18"/>
  <c r="J26" i="18" s="1"/>
  <c r="K24" i="18"/>
  <c r="M5" i="7"/>
  <c r="N8" i="7"/>
  <c r="L27" i="18"/>
  <c r="J27" i="18" s="1"/>
  <c r="I9" i="7"/>
  <c r="L24" i="18"/>
  <c r="N5" i="7"/>
  <c r="H9" i="7"/>
  <c r="M6" i="7"/>
  <c r="K25" i="18"/>
  <c r="J7" i="7"/>
  <c r="M7" i="7"/>
  <c r="K26" i="18"/>
  <c r="J5" i="7"/>
  <c r="N18" i="18"/>
  <c r="G18" i="18" s="1"/>
  <c r="H18" i="18" s="1"/>
  <c r="I18" i="18"/>
  <c r="L19" i="18"/>
  <c r="J15" i="18"/>
  <c r="J6" i="7"/>
  <c r="K19" i="18"/>
  <c r="I16" i="18"/>
  <c r="N16" i="18"/>
  <c r="G16" i="18" s="1"/>
  <c r="H16" i="18" s="1"/>
  <c r="N17" i="18"/>
  <c r="G17" i="18" s="1"/>
  <c r="H17" i="18" s="1"/>
  <c r="I17" i="18"/>
  <c r="I15" i="18"/>
  <c r="N15" i="18"/>
  <c r="L8" i="13"/>
  <c r="L7" i="13"/>
  <c r="J9" i="13"/>
  <c r="K9" i="13"/>
  <c r="F12" i="16"/>
  <c r="H8" i="16"/>
  <c r="E9" i="7"/>
  <c r="J22" i="15"/>
  <c r="J10" i="3"/>
  <c r="M10" i="3" s="1"/>
  <c r="I29" i="15"/>
  <c r="I31" i="15" s="1"/>
  <c r="I32" i="15" s="1"/>
  <c r="O6" i="7" l="1"/>
  <c r="L5" i="10" s="1"/>
  <c r="J9" i="3"/>
  <c r="M9" i="3" s="1"/>
  <c r="O8" i="7"/>
  <c r="N9" i="7"/>
  <c r="N24" i="18"/>
  <c r="G24" i="18" s="1"/>
  <c r="H24" i="18" s="1"/>
  <c r="I24" i="18"/>
  <c r="K28" i="18"/>
  <c r="N19" i="18"/>
  <c r="P19" i="18" s="1"/>
  <c r="P20" i="18" s="1"/>
  <c r="L7" i="10"/>
  <c r="I27" i="18"/>
  <c r="N27" i="18"/>
  <c r="G27" i="18" s="1"/>
  <c r="H27" i="18" s="1"/>
  <c r="L28" i="18"/>
  <c r="J24" i="18"/>
  <c r="I26" i="18"/>
  <c r="N26" i="18"/>
  <c r="G26" i="18" s="1"/>
  <c r="H26" i="18" s="1"/>
  <c r="O7" i="7"/>
  <c r="I25" i="18"/>
  <c r="N25" i="18"/>
  <c r="G25" i="18" s="1"/>
  <c r="H25" i="18" s="1"/>
  <c r="O5" i="7"/>
  <c r="M9" i="7"/>
  <c r="G15" i="18"/>
  <c r="H15" i="18" s="1"/>
  <c r="J9" i="7"/>
  <c r="H29" i="7" s="1"/>
  <c r="H31" i="7" s="1"/>
  <c r="B20" i="7"/>
  <c r="H22" i="7"/>
  <c r="H24" i="7" s="1"/>
  <c r="B26" i="7" s="1"/>
  <c r="L9" i="13"/>
  <c r="J8" i="16"/>
  <c r="K8" i="16" s="1"/>
  <c r="J29" i="15"/>
  <c r="N28" i="18" l="1"/>
  <c r="P28" i="18" s="1"/>
  <c r="P29" i="18" s="1"/>
  <c r="O9" i="7"/>
  <c r="B33" i="7" s="1"/>
  <c r="K5" i="10"/>
  <c r="J31" i="15"/>
  <c r="J32" i="15" s="1"/>
  <c r="O7" i="15"/>
  <c r="F13" i="16"/>
  <c r="L8" i="16"/>
  <c r="K7" i="10" l="1"/>
  <c r="M5" i="10"/>
  <c r="M7" i="10" s="1"/>
  <c r="M19" i="10" s="1"/>
  <c r="J28" i="3" s="1"/>
  <c r="M28" i="3" s="1"/>
  <c r="F14" i="16"/>
  <c r="F15" i="16" s="1"/>
  <c r="F22" i="16" l="1"/>
  <c r="G12" i="16"/>
  <c r="G14" i="16" s="1"/>
  <c r="G15" i="16" s="1"/>
  <c r="H12" i="16" s="1"/>
  <c r="H14" i="16" s="1"/>
  <c r="H15" i="16" s="1"/>
  <c r="I12" i="16" s="1"/>
  <c r="I14" i="16" l="1"/>
  <c r="I15" i="16" s="1"/>
  <c r="J12" i="16" s="1"/>
  <c r="J14" i="16" s="1"/>
  <c r="J15" i="16" s="1"/>
  <c r="F29" i="16"/>
  <c r="H22" i="16"/>
  <c r="K22" i="16" l="1"/>
  <c r="L22" i="16" s="1"/>
  <c r="I22" i="16" s="1"/>
  <c r="G22" i="16" s="1"/>
  <c r="G29" i="16" s="1"/>
  <c r="J21" i="3"/>
  <c r="M21" i="3" s="1"/>
  <c r="H29" i="16"/>
  <c r="H31" i="16" l="1"/>
  <c r="H32" i="16" s="1"/>
  <c r="J22" i="16"/>
  <c r="I29" i="16"/>
  <c r="I31" i="16" s="1"/>
  <c r="I32" i="16" s="1"/>
  <c r="J22" i="3"/>
  <c r="M22" i="3" s="1"/>
  <c r="J29" i="16" l="1"/>
  <c r="J31" i="16" s="1"/>
  <c r="J32" i="16" s="1"/>
</calcChain>
</file>

<file path=xl/sharedStrings.xml><?xml version="1.0" encoding="utf-8"?>
<sst xmlns="http://schemas.openxmlformats.org/spreadsheetml/2006/main" count="462" uniqueCount="140">
  <si>
    <t>Algoma Power Inc.</t>
  </si>
  <si>
    <t xml:space="preserve">Incentive Rate-setting Mechanism </t>
  </si>
  <si>
    <t>Rate Design Model</t>
  </si>
  <si>
    <t>Percent Change</t>
  </si>
  <si>
    <t>Distribution Charges</t>
  </si>
  <si>
    <t>Monthly Rates and Charges</t>
  </si>
  <si>
    <t>Metric</t>
  </si>
  <si>
    <t>Residential - R1(i)</t>
  </si>
  <si>
    <t>Monthly Service Charge</t>
  </si>
  <si>
    <t>$</t>
  </si>
  <si>
    <t>Distribution Volumetric Rate</t>
  </si>
  <si>
    <t>$/kWh</t>
  </si>
  <si>
    <t>Residential - R1(ii)</t>
  </si>
  <si>
    <t>Residential - R2</t>
  </si>
  <si>
    <t>$/kW</t>
  </si>
  <si>
    <t>Seasonal</t>
  </si>
  <si>
    <t>Street Lighting</t>
  </si>
  <si>
    <t>Rural and Remote Rate Protection</t>
  </si>
  <si>
    <t>Price Cap Metric</t>
  </si>
  <si>
    <t>Status</t>
  </si>
  <si>
    <t>Value</t>
  </si>
  <si>
    <t>Inflation Factor</t>
  </si>
  <si>
    <t>Productivity Factor</t>
  </si>
  <si>
    <t>Stretch Factor</t>
  </si>
  <si>
    <t>Calculated</t>
  </si>
  <si>
    <t>Price Cap for 2021 Electricity Distribution Rates</t>
  </si>
  <si>
    <t>Customer Class</t>
  </si>
  <si>
    <t>Average # of Customers</t>
  </si>
  <si>
    <t>Billing Determinant</t>
  </si>
  <si>
    <t>F/V Split</t>
  </si>
  <si>
    <t>Distribution Rates</t>
  </si>
  <si>
    <t>Revenues</t>
  </si>
  <si>
    <t>kWh</t>
  </si>
  <si>
    <t>kW</t>
  </si>
  <si>
    <t>Fixed Allocation</t>
  </si>
  <si>
    <t>Variable Allocation</t>
  </si>
  <si>
    <t>Variable Charge</t>
  </si>
  <si>
    <t>Fixed</t>
  </si>
  <si>
    <t>Variable</t>
  </si>
  <si>
    <t>Total Revenue</t>
  </si>
  <si>
    <t>Residential - R1</t>
  </si>
  <si>
    <t>2020 Accepted Equivalent Electricity Distribution Rates</t>
  </si>
  <si>
    <t>Total</t>
  </si>
  <si>
    <t>Equivalent Distribution Rates Required to Recover the Approved 2020 Base Revenue Requirement in the absence of RRRP Funding
(See EB-2019-0019: Sheet 3 of API Rate Design Model and Sheet 13 of RRWF)</t>
  </si>
  <si>
    <t>Transformer Ownership Allowance</t>
  </si>
  <si>
    <t>Revenue Less Transformer Ownership</t>
  </si>
  <si>
    <t>Base Revenue Requirement:</t>
  </si>
  <si>
    <t>Difference (Rounding):</t>
  </si>
  <si>
    <t>% Difference:</t>
  </si>
  <si>
    <t>Check</t>
  </si>
  <si>
    <t>2020 COS Approved Revenue from Rates Less Transformer Ownership Allowance:</t>
  </si>
  <si>
    <t>2021 Indexed Revenue from Rates less Transformer Ownership Allowance:</t>
  </si>
  <si>
    <t>2021 Price Cap Index:</t>
  </si>
  <si>
    <t>IRM Indexed Revenue for 2021
(Using the 2021 Price-Cap Index)</t>
  </si>
  <si>
    <t>Delivery Charges Indexed by Simple Average of Other LDC Increases in Current Year</t>
  </si>
  <si>
    <t>Residential - R1 (i)</t>
  </si>
  <si>
    <t>Residential - R1 (ii)</t>
  </si>
  <si>
    <t>Notes:</t>
  </si>
  <si>
    <t>R1 customer count and kWh splits can be confirmed in EB-2019-0019: Sheet 4 of API Rate Design Model or Table 14 of Settlement Agreement</t>
  </si>
  <si>
    <t>Revenue</t>
  </si>
  <si>
    <t>Transformer Ownership Allowance (not indexed) - Attributable to the Residential - R2 class</t>
  </si>
  <si>
    <t>R1</t>
  </si>
  <si>
    <t>R2</t>
  </si>
  <si>
    <t>Total R1+R2</t>
  </si>
  <si>
    <t>Revenue Component</t>
  </si>
  <si>
    <t>Determination of Seasonal and Street Lighting Distribution Rates</t>
  </si>
  <si>
    <t>Customers</t>
  </si>
  <si>
    <t>Rate Class</t>
  </si>
  <si>
    <t>Customers/ Connections</t>
  </si>
  <si>
    <t>Test Year Consumption</t>
  </si>
  <si>
    <t>Proposed Rates</t>
  </si>
  <si>
    <t>Proposed Revenues</t>
  </si>
  <si>
    <t>Existing Split</t>
  </si>
  <si>
    <t>Average number of Customers</t>
  </si>
  <si>
    <t>Volumetric</t>
  </si>
  <si>
    <t>R1 (i)</t>
  </si>
  <si>
    <t>Monthly Service Charge to Achieve 100% Recovery</t>
  </si>
  <si>
    <t>Monthly Service Charge Increment</t>
  </si>
  <si>
    <t>Proposed Monthly Service Charge</t>
  </si>
  <si>
    <t>R1(i)</t>
  </si>
  <si>
    <t>%</t>
  </si>
  <si>
    <t>Difference due to Rounding of Volumetric Rate:</t>
  </si>
  <si>
    <t>Revenue Reconciliation - Volumetric Rate Rounded to 4th Decimal Place</t>
  </si>
  <si>
    <t>Revenue Decoupling - R1 (i)</t>
  </si>
  <si>
    <t>Revenue Decoupling - Seasonal</t>
  </si>
  <si>
    <t>Notes</t>
  </si>
  <si>
    <t>3, 4</t>
  </si>
  <si>
    <t>Misc. Revenue</t>
  </si>
  <si>
    <t>EB-2019-0019 Approved Revenue to Cost Ratios</t>
  </si>
  <si>
    <t>Approved Revenue to Cost Ratio</t>
  </si>
  <si>
    <t>LF X Proposed Rates</t>
  </si>
  <si>
    <t>Price Cap Index</t>
  </si>
  <si>
    <t xml:space="preserve">Allocation of Service Revenue Requirement </t>
  </si>
  <si>
    <t>EB-2021-0006</t>
  </si>
  <si>
    <t>IRM Indexed Revenue for 2022
(Using the 2022 Price-Cap Index)</t>
  </si>
  <si>
    <t>Price Cap for 2022 Electricity Distribution Rates</t>
  </si>
  <si>
    <t>2021 Revenue from Rates Less Transformer Ownership Allowance:</t>
  </si>
  <si>
    <t>2022 Price Cap Index:</t>
  </si>
  <si>
    <t>2022 Indexed Revenue from Rates less Transformer Ownership Allowance:</t>
  </si>
  <si>
    <t>Placeholder RRRP Adjustment Factor requires updating for 2022 rates - see Manager's Summary</t>
  </si>
  <si>
    <t>Effective January 1, 2022</t>
  </si>
  <si>
    <t>CHECK</t>
  </si>
  <si>
    <t>Final</t>
  </si>
  <si>
    <t>Assigned</t>
  </si>
  <si>
    <t>See "R1(i) Decoupling" tab for details of transition toward a fully fixed rate for traditional residential customers</t>
  </si>
  <si>
    <t>The 2020 Approved Class Revenues are indexed using the annual Price Cap index. This step is necessary to determine the overall 2021 revenue requirement for the R1 and R2 rate classes before the RRRP Adjustment Factor is applied.</t>
  </si>
  <si>
    <t>2021 Equivalent Electricity Distribution Rates</t>
  </si>
  <si>
    <t>Rev w/TO</t>
  </si>
  <si>
    <t>Match?</t>
  </si>
  <si>
    <t>2023 IRM Electricity Distribution Rate Application</t>
  </si>
  <si>
    <t>Approved 2022 IRM</t>
  </si>
  <si>
    <t>Proposed Distribution Charges and RRRP Funding for 2023 Rate Year</t>
  </si>
  <si>
    <t>Proposed 2023 IRM</t>
  </si>
  <si>
    <t>Effective January 1, 2023</t>
  </si>
  <si>
    <t>Determination of Residential R1 &amp; R2 2023 Electricity Distribution Rates and RRRP Funding</t>
  </si>
  <si>
    <t>The Rural and Remote Rate Protection Amount Required for 2023</t>
  </si>
  <si>
    <t>2023 Application of Rate Indexing Methodology</t>
  </si>
  <si>
    <t>**Placeholder values to be replaced once 2023 IRM factors are finalized</t>
  </si>
  <si>
    <t>2023 Distribution Base Rate Determination for Non-RRRP Rate Classes</t>
  </si>
  <si>
    <t>2023 Proposed R1(i) Rates - Calculate Volumetric Rate Based on Change in F/V Split</t>
  </si>
  <si>
    <t>Price Cap for 2023 Electricity Distribution Rates</t>
  </si>
  <si>
    <t>IRM Indexed Revenue for 2023
(Using the 2022 Price-Cap Index)</t>
  </si>
  <si>
    <t>Revenue Decoupling for the Residential Rate Class - 8th Increment</t>
  </si>
  <si>
    <t>Revenue Decoupling for the Seasonal Rate Class - 8th Increment</t>
  </si>
  <si>
    <t>2023 Proposed Seasonal Rates - Calculate Volumetric Rate Based on Change in F/V Split</t>
  </si>
  <si>
    <t>2023 Indexed Rates</t>
  </si>
  <si>
    <t>Initial Monthly Service Charge (post IRM adjustment for 2023)</t>
  </si>
  <si>
    <t>EB-2022-0014</t>
  </si>
  <si>
    <t>Indexed Revenue Attributable to Residential Rate Classes for 2023</t>
  </si>
  <si>
    <t>2022 Equivalent Electricity Distribution Rates</t>
  </si>
  <si>
    <t>2022 Revenue from Rates Less Transformer Ownership Allowance:</t>
  </si>
  <si>
    <t>2023 Price Cap Index:</t>
  </si>
  <si>
    <t>2023 Indexed Revenue from Rates less Transformer Ownership Allowance:</t>
  </si>
  <si>
    <t>2022 Approved Rates</t>
  </si>
  <si>
    <t>2022 Approved ACM</t>
  </si>
  <si>
    <t>Simple Average Increase in Delivery Charge for 2023 using the 2022 Board Calculated RRRP Adjustment Factor</t>
  </si>
  <si>
    <t>2023 ACM</t>
  </si>
  <si>
    <t>ACM Rate Rider Revenue Allocated to Residential Rate Classes for 2023</t>
  </si>
  <si>
    <t>See ACM section of Manager's summary for explanation of ACM cost recovery for RRRP-funded rate classes</t>
  </si>
  <si>
    <t xml:space="preserve">Assigned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</si>
</sst>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0.00_-;\-&quot;$&quot;* #,##0.00_-;_-&quot;$&quot;* &quot;-&quot;??_-;_-@_-"/>
    <numFmt numFmtId="43" formatCode="_-* #,##0.00_-;\-* #,##0.00_-;_-* &quot;-&quot;??_-;_-@_-"/>
    <numFmt numFmtId="164" formatCode="&quot;$&quot;#,##0_);\(&quot;$&quot;#,##0\)"/>
    <numFmt numFmtId="165" formatCode="_(* #,##0.00_);_(* \(#,##0.00\);_(* &quot;-&quot;??_);_(@_)"/>
    <numFmt numFmtId="166" formatCode="_(* #,##0.0000_);_(* \(#,##0.0000\);_(* &quot;-&quot;??_);_(@_)"/>
    <numFmt numFmtId="167" formatCode="_(* #,##0_);_(* \(#,##0\);_(* &quot;-&quot;??_);_(@_)"/>
    <numFmt numFmtId="168" formatCode="0.0%"/>
    <numFmt numFmtId="169" formatCode="0.000%"/>
    <numFmt numFmtId="170" formatCode="_(&quot;$&quot;* #,##0_);_(&quot;$&quot;* \(#,##0\);_(&quot;$&quot;* &quot;-&quot;??_);_(@_)"/>
    <numFmt numFmtId="171" formatCode="_-* #,##0_-;\-* #,##0_-;_-* &quot;-&quot;??_-;_-@_-"/>
    <numFmt numFmtId="172" formatCode="_-* #,##0.00_-;\-* #,##0.00_-;_-* \-??_-;_-@_-"/>
    <numFmt numFmtId="173" formatCode="0.0000%"/>
    <numFmt numFmtId="174" formatCode="_-&quot;$&quot;* #,##0.0000_-;\-&quot;$&quot;* #,##0.0000_-;_-&quot;$&quot;* &quot;-&quot;??_-;_-@_-"/>
    <numFmt numFmtId="175" formatCode="#,##0.0000"/>
    <numFmt numFmtId="176" formatCode="_-* #,##0.0000_-;\-* #,##0.0000_-;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FF0000"/>
      <name val="Calibri"/>
      <family val="2"/>
      <scheme val="minor"/>
    </font>
    <font>
      <b/>
      <sz val="26"/>
      <name val="Calibri"/>
      <family val="2"/>
      <scheme val="minor"/>
    </font>
    <font>
      <b/>
      <sz val="24"/>
      <name val="Calibri"/>
      <family val="2"/>
      <scheme val="minor"/>
    </font>
    <font>
      <b/>
      <sz val="12"/>
      <name val="Calibri"/>
      <family val="2"/>
      <scheme val="minor"/>
    </font>
    <font>
      <b/>
      <sz val="10"/>
      <name val="Calibri"/>
      <family val="2"/>
      <scheme val="minor"/>
    </font>
    <font>
      <sz val="10"/>
      <name val="Calibri"/>
      <family val="2"/>
      <scheme val="minor"/>
    </font>
    <font>
      <b/>
      <sz val="12"/>
      <color theme="1"/>
      <name val="Calibri"/>
      <family val="2"/>
      <scheme val="minor"/>
    </font>
    <font>
      <u/>
      <sz val="11"/>
      <color theme="1"/>
      <name val="Calibri"/>
      <family val="2"/>
      <scheme val="minor"/>
    </font>
    <font>
      <b/>
      <sz val="11"/>
      <name val="Calibri"/>
      <family val="2"/>
      <scheme val="minor"/>
    </font>
    <font>
      <b/>
      <u/>
      <sz val="11"/>
      <color theme="1"/>
      <name val="Calibri"/>
      <family val="2"/>
      <scheme val="minor"/>
    </font>
    <font>
      <sz val="11"/>
      <name val="Calibri"/>
      <family val="2"/>
      <scheme val="minor"/>
    </font>
    <font>
      <sz val="10"/>
      <name val="Arial"/>
      <family val="2"/>
    </font>
    <font>
      <sz val="10"/>
      <name val="Mangal"/>
      <family val="2"/>
      <charset val="1"/>
    </font>
    <font>
      <b/>
      <sz val="14"/>
      <color theme="1"/>
      <name val="Calibri"/>
      <family val="2"/>
      <scheme val="minor"/>
    </font>
    <font>
      <b/>
      <sz val="12"/>
      <name val="Arial"/>
      <family val="2"/>
    </font>
    <font>
      <b/>
      <sz val="10"/>
      <name val="Arial"/>
      <family val="2"/>
    </font>
    <font>
      <sz val="10"/>
      <color rgb="FFFF0000"/>
      <name val="Calibri"/>
      <family val="2"/>
      <scheme val="minor"/>
    </font>
    <font>
      <u/>
      <sz val="11"/>
      <name val="Calibri"/>
      <family val="2"/>
      <scheme val="minor"/>
    </font>
  </fonts>
  <fills count="8">
    <fill>
      <patternFill patternType="none"/>
    </fill>
    <fill>
      <patternFill patternType="gray125"/>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E2EFDA"/>
        <bgColor indexed="64"/>
      </patternFill>
    </fill>
  </fills>
  <borders count="52">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2">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4" fillId="0" borderId="0"/>
    <xf numFmtId="0" fontId="1" fillId="0" borderId="0"/>
    <xf numFmtId="43" fontId="14" fillId="0" borderId="0" applyFont="0" applyFill="0" applyBorder="0" applyAlignment="0" applyProtection="0"/>
    <xf numFmtId="44" fontId="14" fillId="0" borderId="0" applyFont="0" applyFill="0" applyBorder="0" applyAlignment="0" applyProtection="0"/>
    <xf numFmtId="172" fontId="15" fillId="0" borderId="0" applyFill="0" applyBorder="0" applyAlignment="0" applyProtection="0"/>
    <xf numFmtId="9" fontId="14" fillId="0" borderId="0" applyFont="0" applyFill="0" applyBorder="0" applyAlignment="0" applyProtection="0"/>
    <xf numFmtId="9" fontId="15" fillId="0" borderId="0" applyFill="0" applyBorder="0" applyAlignment="0" applyProtection="0"/>
    <xf numFmtId="43" fontId="1" fillId="0" borderId="0" applyFont="0" applyFill="0" applyBorder="0" applyAlignment="0" applyProtection="0"/>
  </cellStyleXfs>
  <cellXfs count="318">
    <xf numFmtId="0" fontId="0" fillId="0" borderId="0" xfId="0"/>
    <xf numFmtId="0" fontId="2" fillId="0" borderId="0" xfId="0" applyFont="1"/>
    <xf numFmtId="43" fontId="0" fillId="2" borderId="17" xfId="2" applyFont="1" applyFill="1" applyBorder="1"/>
    <xf numFmtId="10" fontId="0" fillId="0" borderId="9" xfId="1" applyNumberFormat="1" applyFont="1" applyBorder="1" applyAlignment="1">
      <alignment horizontal="center"/>
    </xf>
    <xf numFmtId="166" fontId="0" fillId="2" borderId="17" xfId="2" applyNumberFormat="1" applyFont="1" applyFill="1" applyBorder="1"/>
    <xf numFmtId="0" fontId="0" fillId="0" borderId="0" xfId="0" applyAlignment="1">
      <alignment horizontal="center"/>
    </xf>
    <xf numFmtId="0" fontId="0" fillId="0" borderId="9" xfId="0" applyBorder="1" applyAlignment="1">
      <alignment horizontal="center"/>
    </xf>
    <xf numFmtId="0" fontId="7" fillId="0" borderId="16" xfId="0" applyFont="1" applyBorder="1" applyAlignment="1">
      <alignment vertical="center"/>
    </xf>
    <xf numFmtId="0" fontId="7" fillId="0" borderId="9" xfId="0" applyFont="1" applyBorder="1" applyAlignment="1">
      <alignment horizontal="center" vertical="center"/>
    </xf>
    <xf numFmtId="0" fontId="7" fillId="2" borderId="17" xfId="0" applyFont="1" applyFill="1" applyBorder="1" applyAlignment="1">
      <alignment horizontal="center" vertical="center" wrapText="1"/>
    </xf>
    <xf numFmtId="0" fontId="7" fillId="0" borderId="16" xfId="0" applyFont="1" applyBorder="1"/>
    <xf numFmtId="0" fontId="0" fillId="2" borderId="17" xfId="0" applyFill="1" applyBorder="1"/>
    <xf numFmtId="0" fontId="0" fillId="0" borderId="10" xfId="0" applyBorder="1"/>
    <xf numFmtId="0" fontId="0" fillId="0" borderId="18" xfId="0" applyBorder="1"/>
    <xf numFmtId="0" fontId="0" fillId="0" borderId="11" xfId="0" applyBorder="1"/>
    <xf numFmtId="0" fontId="0" fillId="0" borderId="16" xfId="0" applyBorder="1"/>
    <xf numFmtId="0" fontId="0" fillId="0" borderId="21" xfId="0" applyBorder="1"/>
    <xf numFmtId="10" fontId="0" fillId="0" borderId="9" xfId="0" applyNumberFormat="1" applyBorder="1" applyAlignment="1">
      <alignment horizontal="center"/>
    </xf>
    <xf numFmtId="0" fontId="7" fillId="0" borderId="22" xfId="0" applyFont="1" applyBorder="1"/>
    <xf numFmtId="0" fontId="0" fillId="0" borderId="23" xfId="0" applyBorder="1" applyAlignment="1">
      <alignment horizontal="center"/>
    </xf>
    <xf numFmtId="0" fontId="0" fillId="2" borderId="24" xfId="0" applyFill="1" applyBorder="1"/>
    <xf numFmtId="0" fontId="0" fillId="0" borderId="27" xfId="0" applyBorder="1"/>
    <xf numFmtId="0" fontId="2" fillId="0" borderId="28" xfId="0" applyFont="1" applyBorder="1"/>
    <xf numFmtId="0" fontId="2" fillId="0" borderId="29" xfId="0" applyFont="1" applyBorder="1" applyAlignment="1">
      <alignment horizontal="center"/>
    </xf>
    <xf numFmtId="0" fontId="2" fillId="0" borderId="30" xfId="0" applyFont="1" applyBorder="1" applyAlignment="1">
      <alignment horizontal="center"/>
    </xf>
    <xf numFmtId="10" fontId="0" fillId="0" borderId="32" xfId="1" applyNumberFormat="1" applyFont="1" applyBorder="1" applyAlignment="1">
      <alignment horizontal="center"/>
    </xf>
    <xf numFmtId="10" fontId="0" fillId="3" borderId="31" xfId="1" applyNumberFormat="1" applyFont="1" applyFill="1" applyBorder="1" applyAlignment="1">
      <alignment horizontal="center"/>
    </xf>
    <xf numFmtId="10" fontId="10" fillId="3" borderId="31" xfId="1" applyNumberFormat="1" applyFont="1" applyFill="1" applyBorder="1" applyAlignment="1">
      <alignment horizontal="center"/>
    </xf>
    <xf numFmtId="0" fontId="7" fillId="0" borderId="9" xfId="0" applyFont="1" applyBorder="1" applyAlignment="1">
      <alignment horizontal="center" vertical="center" wrapText="1"/>
    </xf>
    <xf numFmtId="167" fontId="0" fillId="0" borderId="9" xfId="2" applyNumberFormat="1" applyFont="1" applyBorder="1"/>
    <xf numFmtId="167" fontId="0" fillId="0" borderId="31" xfId="0" applyNumberFormat="1" applyBorder="1"/>
    <xf numFmtId="0" fontId="0" fillId="0" borderId="22" xfId="0" applyBorder="1"/>
    <xf numFmtId="0" fontId="8" fillId="0" borderId="0" xfId="0" applyFont="1"/>
    <xf numFmtId="0" fontId="0" fillId="3" borderId="9" xfId="0" applyFill="1" applyBorder="1" applyAlignment="1">
      <alignment horizontal="center"/>
    </xf>
    <xf numFmtId="0" fontId="2" fillId="0" borderId="22" xfId="0" applyFont="1" applyBorder="1"/>
    <xf numFmtId="0" fontId="2" fillId="4" borderId="23" xfId="0" applyFont="1" applyFill="1" applyBorder="1"/>
    <xf numFmtId="3" fontId="2" fillId="0" borderId="23" xfId="0" applyNumberFormat="1" applyFont="1" applyBorder="1" applyAlignment="1">
      <alignment horizontal="center"/>
    </xf>
    <xf numFmtId="167" fontId="0" fillId="4" borderId="9" xfId="2" applyNumberFormat="1" applyFont="1" applyFill="1" applyBorder="1"/>
    <xf numFmtId="167" fontId="0" fillId="3" borderId="9" xfId="2" applyNumberFormat="1" applyFont="1" applyFill="1" applyBorder="1"/>
    <xf numFmtId="43" fontId="0" fillId="3" borderId="9" xfId="2" applyFont="1" applyFill="1" applyBorder="1"/>
    <xf numFmtId="166" fontId="0" fillId="3" borderId="9" xfId="2" applyNumberFormat="1" applyFont="1" applyFill="1" applyBorder="1"/>
    <xf numFmtId="3" fontId="0" fillId="3" borderId="9" xfId="0" applyNumberFormat="1" applyFill="1" applyBorder="1" applyAlignment="1">
      <alignment horizontal="center"/>
    </xf>
    <xf numFmtId="0" fontId="7" fillId="0" borderId="31" xfId="0" applyFont="1" applyBorder="1" applyAlignment="1">
      <alignment horizontal="center" vertical="center" wrapText="1"/>
    </xf>
    <xf numFmtId="3" fontId="0" fillId="3" borderId="0" xfId="0" applyNumberFormat="1" applyFill="1" applyAlignment="1">
      <alignment horizontal="center"/>
    </xf>
    <xf numFmtId="167" fontId="0" fillId="0" borderId="0" xfId="0" applyNumberFormat="1"/>
    <xf numFmtId="169" fontId="0" fillId="0" borderId="0" xfId="1" applyNumberFormat="1" applyFont="1"/>
    <xf numFmtId="0" fontId="11" fillId="0" borderId="9" xfId="0" applyFont="1" applyBorder="1" applyAlignment="1">
      <alignment horizontal="center" vertical="center"/>
    </xf>
    <xf numFmtId="0" fontId="11" fillId="0" borderId="9"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16" xfId="0" applyFont="1" applyBorder="1"/>
    <xf numFmtId="167" fontId="11" fillId="0" borderId="23" xfId="0" applyNumberFormat="1" applyFont="1" applyBorder="1"/>
    <xf numFmtId="167" fontId="11" fillId="0" borderId="32" xfId="0" applyNumberFormat="1" applyFont="1" applyBorder="1"/>
    <xf numFmtId="10" fontId="0" fillId="3" borderId="9" xfId="1" applyNumberFormat="1" applyFont="1" applyFill="1" applyBorder="1" applyAlignment="1">
      <alignment horizontal="center"/>
    </xf>
    <xf numFmtId="10" fontId="0" fillId="0" borderId="9" xfId="1" applyNumberFormat="1" applyFont="1" applyFill="1" applyBorder="1" applyAlignment="1">
      <alignment horizontal="center"/>
    </xf>
    <xf numFmtId="164" fontId="11" fillId="0" borderId="23" xfId="0" applyNumberFormat="1" applyFont="1" applyBorder="1"/>
    <xf numFmtId="164" fontId="11" fillId="0" borderId="32" xfId="0" applyNumberFormat="1" applyFont="1" applyBorder="1"/>
    <xf numFmtId="167" fontId="7" fillId="0" borderId="0" xfId="0" applyNumberFormat="1" applyFont="1"/>
    <xf numFmtId="0" fontId="12" fillId="0" borderId="0" xfId="0" applyFont="1"/>
    <xf numFmtId="0" fontId="3" fillId="0" borderId="0" xfId="0" applyFont="1"/>
    <xf numFmtId="164" fontId="2" fillId="0" borderId="0" xfId="0" applyNumberFormat="1" applyFont="1"/>
    <xf numFmtId="10" fontId="2" fillId="0" borderId="0" xfId="0" applyNumberFormat="1" applyFont="1"/>
    <xf numFmtId="0" fontId="6" fillId="0" borderId="0" xfId="0" applyFont="1" applyAlignment="1">
      <alignment horizontal="center"/>
    </xf>
    <xf numFmtId="43" fontId="6" fillId="0" borderId="0" xfId="0" applyNumberFormat="1" applyFont="1" applyAlignment="1">
      <alignment horizontal="center"/>
    </xf>
    <xf numFmtId="0" fontId="6" fillId="0" borderId="0" xfId="0" applyFont="1"/>
    <xf numFmtId="170" fontId="7" fillId="0" borderId="32" xfId="3" applyNumberFormat="1" applyFont="1" applyBorder="1"/>
    <xf numFmtId="170" fontId="0" fillId="0" borderId="0" xfId="0" applyNumberFormat="1"/>
    <xf numFmtId="0" fontId="11" fillId="0" borderId="29" xfId="0" applyFont="1" applyBorder="1" applyAlignment="1">
      <alignment horizontal="center"/>
    </xf>
    <xf numFmtId="43" fontId="11" fillId="0" borderId="30" xfId="0" applyNumberFormat="1" applyFont="1" applyBorder="1" applyAlignment="1">
      <alignment horizontal="center"/>
    </xf>
    <xf numFmtId="0" fontId="7" fillId="0" borderId="38" xfId="0" applyFont="1" applyBorder="1"/>
    <xf numFmtId="3" fontId="13" fillId="0" borderId="9" xfId="0" applyNumberFormat="1" applyFont="1" applyBorder="1" applyAlignment="1">
      <alignment horizontal="center"/>
    </xf>
    <xf numFmtId="168" fontId="0" fillId="0" borderId="47" xfId="1" applyNumberFormat="1" applyFont="1" applyBorder="1"/>
    <xf numFmtId="168" fontId="0" fillId="0" borderId="48" xfId="1" applyNumberFormat="1" applyFont="1" applyBorder="1"/>
    <xf numFmtId="0" fontId="2" fillId="0" borderId="0" xfId="0" applyFont="1" applyAlignment="1">
      <alignment horizontal="center"/>
    </xf>
    <xf numFmtId="44" fontId="0" fillId="0" borderId="0" xfId="3" applyFont="1"/>
    <xf numFmtId="171" fontId="0" fillId="0" borderId="47" xfId="2" applyNumberFormat="1" applyFont="1" applyBorder="1"/>
    <xf numFmtId="171" fontId="0" fillId="0" borderId="47" xfId="0" applyNumberFormat="1" applyBorder="1"/>
    <xf numFmtId="0" fontId="0" fillId="0" borderId="45" xfId="0" applyBorder="1"/>
    <xf numFmtId="0" fontId="0" fillId="0" borderId="46" xfId="0" applyBorder="1"/>
    <xf numFmtId="0" fontId="0" fillId="0" borderId="45" xfId="0" applyBorder="1" applyAlignment="1">
      <alignment horizontal="center"/>
    </xf>
    <xf numFmtId="0" fontId="0" fillId="0" borderId="46" xfId="0" applyBorder="1" applyAlignment="1">
      <alignment horizontal="center"/>
    </xf>
    <xf numFmtId="0" fontId="0" fillId="0" borderId="15" xfId="0" applyBorder="1"/>
    <xf numFmtId="44" fontId="0" fillId="0" borderId="0" xfId="0" applyNumberFormat="1"/>
    <xf numFmtId="0" fontId="0" fillId="0" borderId="0" xfId="0" applyAlignment="1">
      <alignment horizontal="left"/>
    </xf>
    <xf numFmtId="171" fontId="0" fillId="0" borderId="0" xfId="0" applyNumberFormat="1"/>
    <xf numFmtId="0" fontId="2" fillId="0" borderId="44" xfId="0" applyFont="1" applyBorder="1" applyAlignment="1">
      <alignment horizontal="center" vertical="center"/>
    </xf>
    <xf numFmtId="0" fontId="2" fillId="0" borderId="14" xfId="0" applyFont="1" applyBorder="1" applyAlignment="1">
      <alignment horizontal="center" vertical="center"/>
    </xf>
    <xf numFmtId="0" fontId="11" fillId="0" borderId="27" xfId="0" applyFont="1" applyBorder="1" applyAlignment="1">
      <alignment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0" fillId="0" borderId="47" xfId="0" applyBorder="1"/>
    <xf numFmtId="0" fontId="0" fillId="0" borderId="43" xfId="0" applyBorder="1"/>
    <xf numFmtId="171" fontId="13" fillId="0" borderId="48" xfId="2" applyNumberFormat="1" applyFont="1" applyBorder="1"/>
    <xf numFmtId="44" fontId="13" fillId="0" borderId="47" xfId="3" applyFont="1" applyFill="1" applyBorder="1"/>
    <xf numFmtId="174" fontId="13" fillId="0" borderId="47" xfId="3" applyNumberFormat="1" applyFont="1" applyFill="1" applyBorder="1"/>
    <xf numFmtId="0" fontId="11" fillId="0" borderId="7" xfId="0" applyFont="1" applyBorder="1" applyAlignment="1">
      <alignment horizontal="center" vertical="center"/>
    </xf>
    <xf numFmtId="0" fontId="11" fillId="0" borderId="25" xfId="0" applyFont="1" applyBorder="1" applyAlignment="1">
      <alignment horizontal="center" vertical="center"/>
    </xf>
    <xf numFmtId="0" fontId="11" fillId="0" borderId="43" xfId="0" applyFont="1" applyBorder="1" applyAlignment="1">
      <alignment vertical="center" wrapText="1"/>
    </xf>
    <xf numFmtId="171" fontId="13" fillId="0" borderId="47" xfId="2" applyNumberFormat="1" applyFont="1" applyBorder="1"/>
    <xf numFmtId="171" fontId="13" fillId="0" borderId="0" xfId="2" applyNumberFormat="1" applyFont="1" applyBorder="1"/>
    <xf numFmtId="174" fontId="13" fillId="0" borderId="0" xfId="3" applyNumberFormat="1" applyFont="1" applyFill="1" applyBorder="1"/>
    <xf numFmtId="171" fontId="0" fillId="0" borderId="0" xfId="2" applyNumberFormat="1" applyFont="1" applyBorder="1"/>
    <xf numFmtId="37" fontId="0" fillId="0" borderId="29" xfId="0" applyNumberFormat="1" applyBorder="1"/>
    <xf numFmtId="37" fontId="0" fillId="0" borderId="30" xfId="0" applyNumberFormat="1" applyBorder="1"/>
    <xf numFmtId="173" fontId="0" fillId="0" borderId="23" xfId="1" applyNumberFormat="1" applyFont="1" applyBorder="1"/>
    <xf numFmtId="0" fontId="2" fillId="0" borderId="23" xfId="0" applyFont="1" applyBorder="1" applyAlignment="1">
      <alignment horizontal="center"/>
    </xf>
    <xf numFmtId="173" fontId="0" fillId="0" borderId="32" xfId="1" applyNumberFormat="1" applyFont="1" applyBorder="1"/>
    <xf numFmtId="0" fontId="13" fillId="0" borderId="0" xfId="0" applyFont="1" applyAlignment="1">
      <alignment horizontal="center"/>
    </xf>
    <xf numFmtId="0" fontId="11" fillId="0" borderId="0" xfId="0" applyFont="1" applyAlignment="1">
      <alignment horizontal="center"/>
    </xf>
    <xf numFmtId="166" fontId="13" fillId="0" borderId="0" xfId="0" applyNumberFormat="1" applyFont="1" applyAlignment="1">
      <alignment horizontal="center"/>
    </xf>
    <xf numFmtId="0" fontId="18" fillId="0" borderId="28" xfId="0" applyFont="1" applyBorder="1"/>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4" fillId="0" borderId="0" xfId="0" applyFont="1" applyAlignment="1">
      <alignment horizontal="center"/>
    </xf>
    <xf numFmtId="10" fontId="1" fillId="0" borderId="31" xfId="1" applyNumberFormat="1" applyBorder="1" applyAlignment="1">
      <alignment horizontal="center"/>
    </xf>
    <xf numFmtId="3" fontId="1" fillId="0" borderId="9" xfId="2" applyNumberFormat="1" applyBorder="1" applyAlignment="1">
      <alignment horizontal="center"/>
    </xf>
    <xf numFmtId="10" fontId="2" fillId="5" borderId="32" xfId="0" applyNumberFormat="1" applyFont="1" applyFill="1" applyBorder="1" applyAlignment="1">
      <alignment horizontal="center"/>
    </xf>
    <xf numFmtId="0" fontId="3" fillId="0" borderId="19" xfId="0" applyFont="1" applyBorder="1"/>
    <xf numFmtId="0" fontId="3" fillId="0" borderId="10" xfId="0" applyFont="1" applyBorder="1"/>
    <xf numFmtId="0" fontId="3" fillId="0" borderId="26" xfId="0" applyFont="1" applyBorder="1"/>
    <xf numFmtId="0" fontId="3" fillId="0" borderId="25" xfId="0" applyFont="1" applyBorder="1"/>
    <xf numFmtId="0" fontId="3" fillId="0" borderId="16" xfId="0" applyFont="1" applyBorder="1"/>
    <xf numFmtId="0" fontId="3" fillId="0" borderId="9" xfId="0" applyFont="1" applyBorder="1"/>
    <xf numFmtId="0" fontId="3" fillId="0" borderId="31" xfId="0" applyFont="1" applyBorder="1"/>
    <xf numFmtId="0" fontId="19" fillId="0" borderId="0" xfId="0" applyFont="1"/>
    <xf numFmtId="0" fontId="3" fillId="0" borderId="0" xfId="0" applyFont="1" applyAlignment="1">
      <alignment horizontal="center"/>
    </xf>
    <xf numFmtId="170" fontId="3" fillId="0" borderId="0" xfId="0" applyNumberFormat="1" applyFont="1"/>
    <xf numFmtId="0" fontId="13" fillId="0" borderId="23" xfId="0" applyFont="1" applyBorder="1" applyAlignment="1">
      <alignment horizontal="center"/>
    </xf>
    <xf numFmtId="10" fontId="13" fillId="0" borderId="32" xfId="1" applyNumberFormat="1" applyFont="1" applyBorder="1" applyAlignment="1">
      <alignment horizontal="center"/>
    </xf>
    <xf numFmtId="167" fontId="1" fillId="0" borderId="9" xfId="11" applyNumberFormat="1" applyBorder="1"/>
    <xf numFmtId="167" fontId="18" fillId="0" borderId="23" xfId="0" applyNumberFormat="1" applyFont="1" applyBorder="1"/>
    <xf numFmtId="167" fontId="18" fillId="0" borderId="32" xfId="0" applyNumberFormat="1" applyFont="1" applyBorder="1"/>
    <xf numFmtId="167" fontId="11" fillId="0" borderId="31" xfId="2" applyNumberFormat="1" applyFont="1" applyBorder="1"/>
    <xf numFmtId="167" fontId="11" fillId="0" borderId="23" xfId="2" applyNumberFormat="1" applyFont="1" applyBorder="1"/>
    <xf numFmtId="167" fontId="13" fillId="0" borderId="9" xfId="2" applyNumberFormat="1" applyFont="1" applyBorder="1"/>
    <xf numFmtId="0" fontId="20" fillId="0" borderId="0" xfId="0" applyFont="1"/>
    <xf numFmtId="0" fontId="13" fillId="0" borderId="0" xfId="0" applyFont="1"/>
    <xf numFmtId="0" fontId="13" fillId="0" borderId="9" xfId="0" applyFont="1" applyBorder="1" applyAlignment="1">
      <alignment horizontal="center"/>
    </xf>
    <xf numFmtId="168" fontId="13" fillId="0" borderId="9" xfId="1" applyNumberFormat="1" applyFont="1" applyBorder="1" applyAlignment="1">
      <alignment horizontal="center"/>
    </xf>
    <xf numFmtId="167" fontId="13" fillId="0" borderId="9" xfId="2" applyNumberFormat="1" applyFont="1" applyFill="1" applyBorder="1"/>
    <xf numFmtId="167" fontId="13" fillId="0" borderId="31" xfId="0" applyNumberFormat="1" applyFont="1" applyBorder="1"/>
    <xf numFmtId="0" fontId="13" fillId="0" borderId="6" xfId="0" applyFont="1" applyBorder="1"/>
    <xf numFmtId="167" fontId="13" fillId="3" borderId="26" xfId="2" applyNumberFormat="1" applyFont="1" applyFill="1" applyBorder="1"/>
    <xf numFmtId="43" fontId="13" fillId="3" borderId="11" xfId="2" applyFont="1" applyFill="1" applyBorder="1"/>
    <xf numFmtId="166" fontId="13" fillId="3" borderId="11" xfId="2" applyNumberFormat="1" applyFont="1" applyFill="1" applyBorder="1"/>
    <xf numFmtId="165" fontId="13" fillId="3" borderId="11" xfId="0" applyNumberFormat="1" applyFont="1" applyFill="1" applyBorder="1"/>
    <xf numFmtId="0" fontId="13" fillId="0" borderId="10" xfId="0" applyFont="1" applyBorder="1"/>
    <xf numFmtId="0" fontId="13" fillId="0" borderId="11" xfId="0" applyFont="1" applyBorder="1"/>
    <xf numFmtId="0" fontId="13" fillId="0" borderId="18" xfId="0" applyFont="1" applyBorder="1"/>
    <xf numFmtId="43" fontId="13" fillId="0" borderId="10" xfId="2" applyFont="1" applyBorder="1" applyAlignment="1">
      <alignment horizontal="center"/>
    </xf>
    <xf numFmtId="167" fontId="13" fillId="0" borderId="25" xfId="2" applyNumberFormat="1" applyFont="1" applyBorder="1" applyAlignment="1">
      <alignment horizontal="center"/>
    </xf>
    <xf numFmtId="0" fontId="13" fillId="0" borderId="27" xfId="0" applyFont="1" applyBorder="1"/>
    <xf numFmtId="43" fontId="13" fillId="0" borderId="20" xfId="2" applyFont="1" applyFill="1" applyBorder="1"/>
    <xf numFmtId="166" fontId="13" fillId="0" borderId="11" xfId="2" applyNumberFormat="1" applyFont="1" applyFill="1" applyBorder="1"/>
    <xf numFmtId="1" fontId="13" fillId="3" borderId="9" xfId="0" applyNumberFormat="1" applyFont="1" applyFill="1" applyBorder="1" applyAlignment="1">
      <alignment horizontal="center"/>
    </xf>
    <xf numFmtId="167" fontId="13" fillId="3" borderId="9" xfId="2" applyNumberFormat="1" applyFont="1" applyFill="1" applyBorder="1"/>
    <xf numFmtId="167" fontId="13" fillId="4" borderId="9" xfId="2" applyNumberFormat="1" applyFont="1" applyFill="1" applyBorder="1"/>
    <xf numFmtId="1" fontId="13" fillId="0" borderId="9" xfId="0" applyNumberFormat="1" applyFont="1" applyBorder="1" applyAlignment="1">
      <alignment horizontal="center"/>
    </xf>
    <xf numFmtId="43" fontId="13" fillId="0" borderId="9" xfId="2" applyFont="1" applyBorder="1"/>
    <xf numFmtId="166" fontId="13" fillId="0" borderId="9" xfId="2" applyNumberFormat="1" applyFont="1" applyBorder="1"/>
    <xf numFmtId="43" fontId="13" fillId="0" borderId="9" xfId="2" applyFont="1" applyFill="1" applyBorder="1"/>
    <xf numFmtId="166" fontId="13" fillId="0" borderId="9" xfId="2" applyNumberFormat="1" applyFont="1" applyFill="1" applyBorder="1"/>
    <xf numFmtId="167" fontId="13" fillId="0" borderId="9" xfId="2" applyNumberFormat="1" applyFont="1" applyBorder="1" applyAlignment="1">
      <alignment horizontal="center"/>
    </xf>
    <xf numFmtId="167" fontId="13" fillId="0" borderId="31" xfId="2" applyNumberFormat="1" applyFont="1" applyBorder="1" applyAlignment="1">
      <alignment horizontal="center"/>
    </xf>
    <xf numFmtId="4" fontId="13" fillId="0" borderId="9" xfId="1" applyNumberFormat="1" applyFont="1" applyFill="1" applyBorder="1" applyAlignment="1">
      <alignment horizontal="center"/>
    </xf>
    <xf numFmtId="175" fontId="13" fillId="0" borderId="9" xfId="1" applyNumberFormat="1" applyFont="1" applyBorder="1" applyAlignment="1">
      <alignment horizontal="center"/>
    </xf>
    <xf numFmtId="171" fontId="13" fillId="0" borderId="47" xfId="0" applyNumberFormat="1" applyFont="1" applyBorder="1"/>
    <xf numFmtId="168" fontId="13" fillId="0" borderId="47" xfId="1" applyNumberFormat="1" applyFont="1" applyBorder="1"/>
    <xf numFmtId="168" fontId="13" fillId="0" borderId="48" xfId="1" applyNumberFormat="1" applyFont="1" applyBorder="1"/>
    <xf numFmtId="10" fontId="13" fillId="0" borderId="31" xfId="1" applyNumberFormat="1" applyFont="1" applyFill="1" applyBorder="1" applyAlignment="1">
      <alignment horizontal="center"/>
    </xf>
    <xf numFmtId="10" fontId="20" fillId="0" borderId="31" xfId="1" applyNumberFormat="1" applyFont="1" applyFill="1" applyBorder="1" applyAlignment="1">
      <alignment horizontal="center"/>
    </xf>
    <xf numFmtId="176" fontId="0" fillId="3" borderId="9" xfId="2" applyNumberFormat="1" applyFont="1" applyFill="1" applyBorder="1"/>
    <xf numFmtId="168" fontId="3" fillId="0" borderId="0" xfId="1" applyNumberFormat="1" applyFont="1"/>
    <xf numFmtId="166" fontId="3" fillId="0" borderId="11" xfId="2" applyNumberFormat="1" applyFont="1" applyBorder="1"/>
    <xf numFmtId="0" fontId="3" fillId="0" borderId="11" xfId="0" applyFont="1" applyBorder="1"/>
    <xf numFmtId="10" fontId="0" fillId="0" borderId="31" xfId="1" applyNumberFormat="1" applyFont="1" applyFill="1" applyBorder="1" applyAlignment="1">
      <alignment horizontal="center"/>
    </xf>
    <xf numFmtId="10" fontId="10" fillId="0" borderId="31" xfId="1" applyNumberFormat="1" applyFont="1" applyFill="1" applyBorder="1" applyAlignment="1">
      <alignment horizontal="center"/>
    </xf>
    <xf numFmtId="10" fontId="0" fillId="0" borderId="32" xfId="1" applyNumberFormat="1" applyFont="1" applyFill="1" applyBorder="1" applyAlignment="1">
      <alignment horizontal="center"/>
    </xf>
    <xf numFmtId="44" fontId="13" fillId="0" borderId="0" xfId="0" applyNumberFormat="1" applyFont="1"/>
    <xf numFmtId="44" fontId="13" fillId="0" borderId="0" xfId="3" applyFont="1"/>
    <xf numFmtId="10" fontId="7" fillId="3" borderId="31" xfId="1" applyNumberFormat="1" applyFont="1" applyFill="1" applyBorder="1" applyAlignment="1">
      <alignment horizontal="center"/>
    </xf>
    <xf numFmtId="43" fontId="13" fillId="3" borderId="9" xfId="2" applyFont="1" applyFill="1" applyBorder="1"/>
    <xf numFmtId="176" fontId="13" fillId="3" borderId="9" xfId="2" applyNumberFormat="1" applyFont="1" applyFill="1" applyBorder="1"/>
    <xf numFmtId="0" fontId="3" fillId="0" borderId="0" xfId="0" applyFont="1" applyAlignment="1">
      <alignment horizontal="right"/>
    </xf>
    <xf numFmtId="164" fontId="3" fillId="0" borderId="0" xfId="0" applyNumberFormat="1" applyFont="1" applyAlignment="1">
      <alignment horizontal="left"/>
    </xf>
    <xf numFmtId="0" fontId="3" fillId="0" borderId="0" xfId="0" applyFont="1" applyAlignment="1">
      <alignment horizontal="left"/>
    </xf>
    <xf numFmtId="4" fontId="13" fillId="0" borderId="9" xfId="2" applyNumberFormat="1" applyFont="1" applyFill="1" applyBorder="1" applyAlignment="1">
      <alignment horizontal="center"/>
    </xf>
    <xf numFmtId="175" fontId="13" fillId="0" borderId="9" xfId="2" applyNumberFormat="1" applyFont="1" applyFill="1" applyBorder="1" applyAlignment="1">
      <alignment horizontal="center"/>
    </xf>
    <xf numFmtId="168" fontId="0" fillId="0" borderId="0" xfId="1" applyNumberFormat="1" applyFont="1"/>
    <xf numFmtId="0" fontId="2" fillId="0" borderId="49" xfId="0" applyFont="1" applyBorder="1"/>
    <xf numFmtId="0" fontId="0" fillId="0" borderId="50" xfId="0" applyBorder="1"/>
    <xf numFmtId="3" fontId="0" fillId="0" borderId="50" xfId="0" applyNumberFormat="1" applyBorder="1" applyAlignment="1">
      <alignment horizontal="center"/>
    </xf>
    <xf numFmtId="0" fontId="0" fillId="4" borderId="50" xfId="0" applyFill="1" applyBorder="1"/>
    <xf numFmtId="167" fontId="11" fillId="0" borderId="50" xfId="0" applyNumberFormat="1" applyFont="1" applyBorder="1"/>
    <xf numFmtId="167" fontId="11" fillId="0" borderId="51" xfId="0" applyNumberFormat="1" applyFont="1" applyBorder="1"/>
    <xf numFmtId="0" fontId="11" fillId="0" borderId="22" xfId="0" applyFont="1" applyBorder="1"/>
    <xf numFmtId="3" fontId="13" fillId="0" borderId="23" xfId="0" applyNumberFormat="1" applyFont="1" applyBorder="1" applyAlignment="1">
      <alignment horizontal="center"/>
    </xf>
    <xf numFmtId="4" fontId="13" fillId="0" borderId="23" xfId="1" applyNumberFormat="1" applyFont="1" applyFill="1" applyBorder="1" applyAlignment="1">
      <alignment horizontal="center"/>
    </xf>
    <xf numFmtId="175" fontId="13" fillId="0" borderId="23" xfId="1" applyNumberFormat="1" applyFont="1" applyBorder="1" applyAlignment="1">
      <alignment horizontal="center"/>
    </xf>
    <xf numFmtId="4" fontId="13" fillId="0" borderId="23" xfId="2" applyNumberFormat="1" applyFont="1" applyFill="1" applyBorder="1" applyAlignment="1">
      <alignment horizontal="center"/>
    </xf>
    <xf numFmtId="175" fontId="13" fillId="0" borderId="23" xfId="2" applyNumberFormat="1" applyFont="1" applyFill="1" applyBorder="1" applyAlignment="1">
      <alignment horizontal="center"/>
    </xf>
    <xf numFmtId="167" fontId="13" fillId="0" borderId="23" xfId="2" applyNumberFormat="1" applyFont="1" applyBorder="1" applyAlignment="1">
      <alignment horizontal="center"/>
    </xf>
    <xf numFmtId="167" fontId="13" fillId="0" borderId="32" xfId="2" applyNumberFormat="1" applyFont="1" applyBorder="1" applyAlignment="1">
      <alignment horizontal="center"/>
    </xf>
    <xf numFmtId="43" fontId="13" fillId="7" borderId="11" xfId="2" applyFont="1" applyFill="1" applyBorder="1"/>
    <xf numFmtId="43" fontId="13" fillId="7" borderId="20" xfId="2" applyFont="1" applyFill="1" applyBorder="1"/>
    <xf numFmtId="166" fontId="13" fillId="7" borderId="11" xfId="2" applyNumberFormat="1" applyFont="1" applyFill="1" applyBorder="1"/>
    <xf numFmtId="165" fontId="13" fillId="7" borderId="11" xfId="0" applyNumberFormat="1" applyFont="1" applyFill="1" applyBorder="1"/>
    <xf numFmtId="167" fontId="13" fillId="7" borderId="26" xfId="2" applyNumberFormat="1" applyFont="1" applyFill="1" applyBorder="1"/>
    <xf numFmtId="0" fontId="4" fillId="0" borderId="0" xfId="0" applyFont="1" applyAlignment="1">
      <alignment horizontal="center"/>
    </xf>
    <xf numFmtId="0" fontId="4" fillId="0" borderId="0" xfId="0" quotePrefix="1" applyFont="1" applyAlignment="1">
      <alignment horizontal="center"/>
    </xf>
    <xf numFmtId="0" fontId="4" fillId="0" borderId="0" xfId="0" applyFont="1" applyAlignment="1">
      <alignment horizontal="center" wrapText="1"/>
    </xf>
    <xf numFmtId="0" fontId="4" fillId="0" borderId="0" xfId="0" quotePrefix="1" applyFont="1" applyAlignment="1">
      <alignment horizontal="center" wrapText="1"/>
    </xf>
    <xf numFmtId="0" fontId="4" fillId="6" borderId="0" xfId="0" quotePrefix="1" applyFont="1" applyFill="1" applyAlignment="1">
      <alignment horizontal="center" wrapText="1"/>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7" xfId="0" applyFont="1" applyBorder="1" applyAlignment="1">
      <alignment horizontal="center"/>
    </xf>
    <xf numFmtId="0" fontId="6" fillId="0" borderId="6" xfId="0" applyFont="1" applyBorder="1" applyAlignment="1">
      <alignment horizontal="center"/>
    </xf>
    <xf numFmtId="0" fontId="6" fillId="0" borderId="8" xfId="0" applyFont="1" applyBorder="1" applyAlignment="1">
      <alignment horizontal="center"/>
    </xf>
    <xf numFmtId="0" fontId="2" fillId="0" borderId="9" xfId="0" applyFont="1" applyBorder="1" applyAlignment="1">
      <alignment horizontal="center" wrapText="1"/>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 xfId="0" applyFont="1" applyBorder="1" applyAlignment="1">
      <alignment horizontal="center" wrapText="1"/>
    </xf>
    <xf numFmtId="0" fontId="6" fillId="0" borderId="2" xfId="0" applyFont="1" applyBorder="1" applyAlignment="1">
      <alignment horizontal="center" wrapText="1"/>
    </xf>
    <xf numFmtId="0" fontId="6" fillId="0" borderId="15" xfId="0" applyFont="1" applyBorder="1" applyAlignment="1">
      <alignment horizont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8" xfId="0" applyFont="1" applyBorder="1" applyAlignment="1">
      <alignment horizontal="center" vertical="center" wrapText="1"/>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6" fillId="0" borderId="7" xfId="0" applyFont="1" applyBorder="1" applyAlignment="1">
      <alignment horizontal="center" wrapText="1"/>
    </xf>
    <xf numFmtId="0" fontId="6" fillId="0" borderId="6" xfId="0" applyFont="1" applyBorder="1" applyAlignment="1">
      <alignment horizontal="center" wrapText="1"/>
    </xf>
    <xf numFmtId="0" fontId="6" fillId="0" borderId="8" xfId="0" applyFont="1" applyBorder="1" applyAlignment="1">
      <alignment horizontal="center" wrapText="1"/>
    </xf>
    <xf numFmtId="0" fontId="11" fillId="0" borderId="10" xfId="0" applyFont="1" applyBorder="1" applyAlignment="1">
      <alignment horizontal="center"/>
    </xf>
    <xf numFmtId="0" fontId="11" fillId="0" borderId="11" xfId="0" applyFont="1" applyBorder="1" applyAlignment="1">
      <alignment horizontal="center"/>
    </xf>
    <xf numFmtId="0" fontId="11" fillId="0" borderId="18" xfId="0" applyFont="1" applyBorder="1" applyAlignment="1">
      <alignment horizontal="center"/>
    </xf>
    <xf numFmtId="0" fontId="11" fillId="0" borderId="33" xfId="0" applyFont="1" applyBorder="1" applyAlignment="1">
      <alignment horizontal="center" vertical="center"/>
    </xf>
    <xf numFmtId="0" fontId="11" fillId="0" borderId="36"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4" xfId="0" applyFont="1" applyBorder="1" applyAlignment="1">
      <alignment horizontal="center" wrapText="1"/>
    </xf>
    <xf numFmtId="0" fontId="11" fillId="0" borderId="37" xfId="0" applyFont="1" applyBorder="1" applyAlignment="1">
      <alignment horizontal="center" wrapText="1"/>
    </xf>
    <xf numFmtId="0" fontId="11" fillId="0" borderId="17" xfId="0" applyFont="1" applyBorder="1" applyAlignment="1">
      <alignment horizontal="center"/>
    </xf>
    <xf numFmtId="0" fontId="11" fillId="0" borderId="35" xfId="0" applyFont="1" applyBorder="1" applyAlignment="1">
      <alignment horizontal="center"/>
    </xf>
    <xf numFmtId="0" fontId="7" fillId="0" borderId="22" xfId="0" applyFont="1" applyBorder="1" applyAlignment="1">
      <alignment horizontal="left"/>
    </xf>
    <xf numFmtId="0" fontId="7" fillId="0" borderId="23" xfId="0" applyFont="1" applyBorder="1" applyAlignment="1">
      <alignment horizontal="left"/>
    </xf>
    <xf numFmtId="0" fontId="7" fillId="0" borderId="10" xfId="0" applyFont="1" applyBorder="1" applyAlignment="1">
      <alignment horizontal="left"/>
    </xf>
    <xf numFmtId="0" fontId="7" fillId="0" borderId="11" xfId="0" applyFont="1" applyBorder="1" applyAlignment="1">
      <alignment horizontal="left"/>
    </xf>
    <xf numFmtId="0" fontId="7" fillId="0" borderId="35" xfId="0" applyFont="1" applyBorder="1" applyAlignment="1">
      <alignment horizontal="left"/>
    </xf>
    <xf numFmtId="0" fontId="11" fillId="0" borderId="28" xfId="0" applyFont="1" applyBorder="1" applyAlignment="1">
      <alignment horizontal="center"/>
    </xf>
    <xf numFmtId="0" fontId="11" fillId="0" borderId="29" xfId="0" applyFont="1" applyBorder="1" applyAlignment="1">
      <alignment horizontal="center"/>
    </xf>
    <xf numFmtId="0" fontId="13" fillId="0" borderId="16" xfId="0" applyFont="1" applyBorder="1" applyAlignment="1">
      <alignment horizontal="left"/>
    </xf>
    <xf numFmtId="0" fontId="13" fillId="0" borderId="9" xfId="0" applyFont="1" applyBorder="1" applyAlignment="1">
      <alignment horizontal="left"/>
    </xf>
    <xf numFmtId="0" fontId="11" fillId="0" borderId="39" xfId="0" applyFont="1" applyBorder="1" applyAlignment="1">
      <alignment horizontal="left"/>
    </xf>
    <xf numFmtId="0" fontId="11" fillId="0" borderId="40" xfId="0" applyFont="1" applyBorder="1" applyAlignment="1">
      <alignment horizontal="left"/>
    </xf>
    <xf numFmtId="0" fontId="11" fillId="0" borderId="41" xfId="0" applyFont="1" applyBorder="1" applyAlignment="1">
      <alignment horizontal="left"/>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16" xfId="0" applyFont="1" applyBorder="1" applyAlignment="1">
      <alignment horizontal="center"/>
    </xf>
    <xf numFmtId="0" fontId="7" fillId="0" borderId="9" xfId="0" applyFont="1" applyBorder="1" applyAlignment="1">
      <alignment horizontal="center"/>
    </xf>
    <xf numFmtId="0" fontId="7" fillId="0" borderId="31" xfId="0" applyFont="1" applyBorder="1" applyAlignment="1">
      <alignment horizontal="center"/>
    </xf>
    <xf numFmtId="0" fontId="7" fillId="0" borderId="10" xfId="0" applyFont="1" applyBorder="1" applyAlignment="1">
      <alignment horizontal="center"/>
    </xf>
    <xf numFmtId="0" fontId="7" fillId="0" borderId="11" xfId="0" applyFont="1" applyBorder="1" applyAlignment="1">
      <alignment horizontal="center"/>
    </xf>
    <xf numFmtId="0" fontId="7" fillId="0" borderId="35" xfId="0" applyFont="1" applyBorder="1" applyAlignment="1">
      <alignment horizont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9" fillId="0" borderId="14" xfId="0" applyFont="1" applyBorder="1" applyAlignment="1">
      <alignment horizontal="center" wrapText="1"/>
    </xf>
    <xf numFmtId="0" fontId="0" fillId="0" borderId="0" xfId="0" applyAlignment="1">
      <alignment horizontal="left" vertical="top" wrapText="1"/>
    </xf>
    <xf numFmtId="0" fontId="0" fillId="0" borderId="0" xfId="0" applyAlignment="1">
      <alignment horizontal="left"/>
    </xf>
    <xf numFmtId="0" fontId="11" fillId="0" borderId="1" xfId="0" applyFont="1" applyBorder="1" applyAlignment="1">
      <alignment horizontal="center"/>
    </xf>
    <xf numFmtId="0" fontId="11" fillId="0" borderId="2"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vertical="center"/>
    </xf>
    <xf numFmtId="0" fontId="11" fillId="0" borderId="9" xfId="0" applyFont="1" applyBorder="1" applyAlignment="1">
      <alignment horizontal="center" vertical="center"/>
    </xf>
    <xf numFmtId="0" fontId="11" fillId="0" borderId="9" xfId="0" applyFont="1" applyBorder="1" applyAlignment="1">
      <alignment horizontal="center" wrapText="1"/>
    </xf>
    <xf numFmtId="0" fontId="11" fillId="0" borderId="34" xfId="0" applyFont="1" applyBorder="1" applyAlignment="1">
      <alignment horizontal="center"/>
    </xf>
    <xf numFmtId="0" fontId="11" fillId="0" borderId="37" xfId="0" applyFont="1" applyBorder="1" applyAlignment="1">
      <alignment horizontal="center"/>
    </xf>
    <xf numFmtId="0" fontId="16" fillId="0" borderId="0" xfId="0" applyFont="1" applyAlignment="1">
      <alignment horizont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0" xfId="0" applyFont="1" applyAlignment="1">
      <alignment horizontal="left"/>
    </xf>
    <xf numFmtId="0" fontId="11" fillId="0" borderId="12" xfId="0" applyFont="1" applyBorder="1" applyAlignment="1">
      <alignment horizontal="center" vertical="center" wrapText="1"/>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0" fillId="0" borderId="0" xfId="0" applyAlignment="1">
      <alignment horizontal="right"/>
    </xf>
    <xf numFmtId="15" fontId="4" fillId="6" borderId="0" xfId="0" quotePrefix="1" applyNumberFormat="1" applyFont="1" applyFill="1" applyAlignment="1">
      <alignment horizontal="center" wrapText="1"/>
    </xf>
  </cellXfs>
  <cellStyles count="12">
    <cellStyle name="Comma" xfId="11" builtinId="3"/>
    <cellStyle name="Comma 2" xfId="2" xr:uid="{7BE898D3-340C-4B9E-A1F6-C757EE20C23B}"/>
    <cellStyle name="Comma 2 11" xfId="6" xr:uid="{877D0614-2CC4-4242-81EB-95D752FB48CF}"/>
    <cellStyle name="Comma 3" xfId="8" xr:uid="{974591EE-19F2-4158-931B-B8A3B260F9CE}"/>
    <cellStyle name="Currency 2" xfId="3" xr:uid="{732C39E1-518E-4DE7-ADAD-AE5E6BC9C08B}"/>
    <cellStyle name="Currency 2 10" xfId="7" xr:uid="{CA904D9A-663F-4E4C-962F-2F88BCB59405}"/>
    <cellStyle name="Normal" xfId="0" builtinId="0"/>
    <cellStyle name="Normal 2 2 3" xfId="4" xr:uid="{58841765-0DA8-41B1-B85C-E1B0E71F54CB}"/>
    <cellStyle name="Normal 76" xfId="5" xr:uid="{8097078B-F0B8-486B-A4AD-BDC9C88CC75A}"/>
    <cellStyle name="Percent" xfId="1" builtinId="5"/>
    <cellStyle name="Percent 10 2 2" xfId="9" xr:uid="{937C59EE-86CA-4EF2-9B83-BBE37C02ED7D}"/>
    <cellStyle name="Percent 2" xfId="10" xr:uid="{F717EAAD-4A70-4375-B8DB-5DE5D89B5250}"/>
  </cellStyles>
  <dxfs count="0"/>
  <tableStyles count="0" defaultTableStyle="TableStyleMedium2" defaultPivotStyle="PivotStyleLight16"/>
  <colors>
    <mruColors>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2" name="Picture 1" descr="Algoma Power_logo">
          <a:extLst>
            <a:ext uri="{FF2B5EF4-FFF2-40B4-BE49-F238E27FC236}">
              <a16:creationId xmlns:a16="http://schemas.microsoft.com/office/drawing/2014/main" id="{85516A2B-2EEF-449F-9EC9-E241E128A28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171825" y="1638300"/>
          <a:ext cx="2857500" cy="8001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Market%20Operations\Department%20Applications\Reports\Rates\Electricity%20Rates%20-%20Billing%20Determinants%20Database\2012%20IRM%20DEVELOPMENT\2012%20IRM%20MODEL%20(2ND%20AND%203R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T:\5.%20TESI%20UTILITIES\ORPC\Application\Models\FInal%20Models\EB-2014-0105%202016%20ORPC%20Filing_Requirements_Chapter2_Appendices_Aug%2028%202015.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Users\Manuela\Documents\TANDEM%20ENERGY%20SERVICES%20INC\Documents\Hearst\RateMaker\Hearst_RMpils%202010ED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CTIVE%20APPLICATIONS/API_2020_COS/Shared%20Files/API%202019%20CoS%20Data%20Vault.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7%20Minimum%20Filing%20Requirements\2017_Filing_Requirements_Chapter2_Appendice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iskstation\tesi\Users\Manuela\AppData\Local\Microsoft\Windows\Temporary%20Internet%20Files\Content.Outlook\7VFETQWL\CHEC_Rate%20Design%20Master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3%20Electricity%20Rates/$Models/Final%202013%20IRM%20R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2010"/>
      <sheetName val="App.2-AA_Capital Projects 2011"/>
      <sheetName val="App.2-AA_Capital Projects 2012"/>
      <sheetName val="App.2-AA_Capital Projects 2013"/>
      <sheetName val="App.2-AA_Capital Projects 2014"/>
      <sheetName val="App.2-AA_Capital Projects 2015"/>
      <sheetName val="App.2-AA_Capital Projects 2016"/>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efreshError="1">
        <row r="24">
          <cell r="E24">
            <v>2016</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3">
          <cell r="C13" t="str">
            <v>v1.02</v>
          </cell>
        </row>
      </sheetData>
      <sheetData sheetId="13"/>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Table of Contents"/>
      <sheetName val="0.1 LDC Info"/>
      <sheetName val="0.2 Customer Classes"/>
      <sheetName val="1.1 Trial Balance Summary"/>
      <sheetName val="1.2 TB Historical Balances"/>
      <sheetName val="1.3 TB Projected Balances"/>
      <sheetName val="1.4 TB Var Analysis"/>
      <sheetName val="3-VECC-24_2019JUNYTD"/>
      <sheetName val="1.5 TB Var Analysis-forCostDriv"/>
      <sheetName val="Exhibit 1 -&gt;"/>
      <sheetName val="Exhibit 2 -&gt;"/>
      <sheetName val="2.1. Rate Base Trend "/>
      <sheetName val="2.2 RateBase VarAnalysis"/>
      <sheetName val="2.3 System Access"/>
      <sheetName val="2.3 System Renewal"/>
      <sheetName val="2.3 System Service"/>
      <sheetName val="2.3 General Plan "/>
      <sheetName val="2.4. Var Capital Expenditures"/>
      <sheetName val="2.5 Summary of Cap Expenditures"/>
      <sheetName val="Changes to Model Made by BVV"/>
      <sheetName val="FIXED ASSET CONTINUITY STMT -&gt;"/>
      <sheetName val="2.6 Fixed Asset Cont Stmt"/>
      <sheetName val="BVV IR Changes"/>
      <sheetName val="APP 2-BA 2015"/>
      <sheetName val="2.6 FA Cont Stmt - DLI"/>
      <sheetName val="API Sum_Dep"/>
      <sheetName val="Appendix 2-BB Service Life  "/>
      <sheetName val="DEPRECIATION EXPENSES -&gt;"/>
      <sheetName val="2.9 Depreciation Expenses"/>
      <sheetName val="Dep Lives"/>
      <sheetName val="2.13 SQI"/>
      <sheetName val="App.2-D_Overhead"/>
      <sheetName val="Exhibit 3 -&gt;"/>
      <sheetName val="OPERATING REVENUES -&gt;"/>
      <sheetName val="3.1 Other Oper Rev Detail"/>
      <sheetName val="3.2 Other_Oper_Rev Sum"/>
      <sheetName val="LOAD FORECAST -&gt;"/>
      <sheetName val="3.10 Load Forecast Inputs"/>
      <sheetName val="3.11 LoadForecast"/>
      <sheetName val="3.11 LoadForecast_R1Split"/>
      <sheetName val="Exhibit 4 -&gt;"/>
      <sheetName val="OM&amp;A -&gt;"/>
      <sheetName val="2015 400k OM&amp;A Red"/>
      <sheetName val="4.1 OM&amp;A_Detailed_Analysis"/>
      <sheetName val="4.2 OM&amp;A_Summary_Analys"/>
      <sheetName val="4.3 OMA Programs"/>
      <sheetName val="DLI Maint Orders 2020"/>
      <sheetName val="4.4 OM&amp;A_Cost _Drivers"/>
      <sheetName val="4.5 Monthly Staff Lvl"/>
      <sheetName val="4.6 Yearly Staff Turnover"/>
      <sheetName val="4.7 Employee Costs"/>
      <sheetName val="4.8 Charitable Donations"/>
      <sheetName val="4.9 OM&amp;A_per_Cust_FTEE"/>
      <sheetName val="4.10 Regulatory_Costs"/>
      <sheetName val="4.11 Supplier Purchases"/>
      <sheetName val="4.12 PowerSupplExp ORIGSUB"/>
      <sheetName val="4.12 PowerSupplExpDNU"/>
      <sheetName val="4.13 Corp_Cost_Allocation"/>
      <sheetName val="4.14 Intervener OMA Cut Tool"/>
      <sheetName val="Exhibit 5 -&gt;"/>
      <sheetName val="5.1 Capital Structure"/>
      <sheetName val="5.2 Debt Instruments"/>
      <sheetName val="Exhibit 6 -&gt;"/>
      <sheetName val="6.1 Revenue Requirement"/>
      <sheetName val="6.2 Chg in RevReq"/>
      <sheetName val="6.3 Rev Deficiency Sufficie (2)"/>
      <sheetName val="6.3 Rev Deficiency Sufficie "/>
      <sheetName val="ROE Calcs -&gt;"/>
      <sheetName val="6.4 ROE"/>
      <sheetName val="6.5 OEB Input Appendices"/>
      <sheetName val="6.6 OEB ROE Summary"/>
      <sheetName val="6.8 Over_Under-earning Driv"/>
      <sheetName val="Exhibit 8 -&gt;"/>
      <sheetName val="Rate Design"/>
      <sheetName val="8.1 Loss Factors"/>
      <sheetName val="A. Cost Allocation &amp; RevAllocn"/>
      <sheetName val="2019 Equivalent Rates"/>
      <sheetName val="B. RateDesign"/>
      <sheetName val="E. Revenues at Curr Rates"/>
      <sheetName val="API 2020 RRRP Rate Design"/>
      <sheetName val="API 2020 Non-RRRP Rate Design"/>
      <sheetName val="C.1 Res Rate Design R1(i)"/>
      <sheetName val="DNUC.1 Res Rate Design R1(i)(2)"/>
      <sheetName val="C.2 Res Rate Design Seasonal"/>
      <sheetName val="D. Rev_Reconciliation"/>
      <sheetName val="F.Cost Allocation"/>
      <sheetName val="Intergrity Check"/>
      <sheetName val="Integrity Check"/>
      <sheetName val="4.12 PowerSupplExp"/>
      <sheetName val="Settlement Conference Tables"/>
      <sheetName val="BVV API Docs -&gt;"/>
      <sheetName val="14-Detail"/>
      <sheetName val="14-Summary"/>
      <sheetName val="15-Detail"/>
      <sheetName val="15-Summary"/>
      <sheetName val="16-Detail"/>
      <sheetName val="16-Summary"/>
      <sheetName val="17-Detail"/>
      <sheetName val="17-Sum"/>
      <sheetName val="18-Detail"/>
      <sheetName val="18-Sum"/>
      <sheetName val="API Detail_Dep"/>
      <sheetName val="API Detail_DepCIAC"/>
      <sheetName val="API Sum_DepCIAC"/>
      <sheetName val="2018 Co 80 AUC"/>
      <sheetName val="2018PCAOEBTBActual20190201"/>
      <sheetName val="2019 v1 PCA PL"/>
      <sheetName val="2019 V1 Adjustments"/>
      <sheetName val="2020 v1 PCA PL"/>
      <sheetName val="2020 V1 Adjustments"/>
    </sheetNames>
    <sheetDataSet>
      <sheetData sheetId="0"/>
      <sheetData sheetId="1"/>
      <sheetData sheetId="2">
        <row r="23">
          <cell r="E23">
            <v>2019</v>
          </cell>
        </row>
        <row r="25">
          <cell r="E25">
            <v>2020</v>
          </cell>
        </row>
        <row r="27">
          <cell r="E27">
            <v>2015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2017</v>
          </cell>
        </row>
        <row r="26">
          <cell r="E26">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448C5-14DD-474D-8760-7C8E52D64281}">
  <sheetPr>
    <tabColor theme="9" tint="0.79998168889431442"/>
    <pageSetUpPr fitToPage="1"/>
  </sheetPr>
  <dimension ref="B20:I34"/>
  <sheetViews>
    <sheetView showGridLines="0" topLeftCell="A16" workbookViewId="0">
      <selection activeCell="K30" sqref="K30"/>
    </sheetView>
  </sheetViews>
  <sheetFormatPr defaultColWidth="9.140625" defaultRowHeight="15" x14ac:dyDescent="0.25"/>
  <cols>
    <col min="1" max="1" width="5" customWidth="1"/>
    <col min="2" max="2" width="18.7109375" customWidth="1"/>
    <col min="9" max="9" width="47" customWidth="1"/>
  </cols>
  <sheetData>
    <row r="20" spans="2:9" ht="33.75" x14ac:dyDescent="0.5">
      <c r="B20" s="207" t="s">
        <v>0</v>
      </c>
      <c r="C20" s="207"/>
      <c r="D20" s="207"/>
      <c r="E20" s="207"/>
      <c r="F20" s="207"/>
      <c r="G20" s="207"/>
      <c r="H20" s="207"/>
      <c r="I20" s="207"/>
    </row>
    <row r="21" spans="2:9" ht="33.75" x14ac:dyDescent="0.5">
      <c r="B21" s="207" t="s">
        <v>109</v>
      </c>
      <c r="C21" s="207"/>
      <c r="D21" s="207"/>
      <c r="E21" s="207"/>
      <c r="F21" s="207"/>
      <c r="G21" s="207"/>
      <c r="H21" s="207"/>
      <c r="I21" s="207"/>
    </row>
    <row r="22" spans="2:9" ht="33.75" x14ac:dyDescent="0.5">
      <c r="B22" s="207" t="s">
        <v>1</v>
      </c>
      <c r="C22" s="207"/>
      <c r="D22" s="207"/>
      <c r="E22" s="207"/>
      <c r="F22" s="207"/>
      <c r="G22" s="207"/>
      <c r="H22" s="207"/>
      <c r="I22" s="207"/>
    </row>
    <row r="25" spans="2:9" ht="31.5" x14ac:dyDescent="0.5">
      <c r="B25" s="212" t="s">
        <v>2</v>
      </c>
      <c r="C25" s="212"/>
      <c r="D25" s="212"/>
      <c r="E25" s="212"/>
      <c r="F25" s="212"/>
      <c r="G25" s="212"/>
      <c r="H25" s="212"/>
      <c r="I25" s="212"/>
    </row>
    <row r="26" spans="2:9" ht="33.75" x14ac:dyDescent="0.5">
      <c r="B26" s="207" t="s">
        <v>127</v>
      </c>
      <c r="C26" s="207"/>
      <c r="D26" s="207"/>
      <c r="E26" s="207"/>
      <c r="F26" s="207"/>
      <c r="G26" s="207"/>
      <c r="H26" s="207"/>
      <c r="I26" s="207"/>
    </row>
    <row r="27" spans="2:9" ht="33.75" x14ac:dyDescent="0.5">
      <c r="B27" s="207"/>
      <c r="C27" s="208"/>
      <c r="D27" s="208"/>
      <c r="E27" s="208"/>
      <c r="F27" s="208"/>
      <c r="G27" s="208"/>
      <c r="H27" s="208"/>
      <c r="I27" s="208"/>
    </row>
    <row r="28" spans="2:9" ht="33.75" x14ac:dyDescent="0.5">
      <c r="B28" s="209"/>
      <c r="C28" s="210"/>
      <c r="D28" s="210"/>
      <c r="E28" s="210"/>
      <c r="F28" s="210"/>
      <c r="G28" s="210"/>
      <c r="H28" s="210"/>
      <c r="I28" s="210"/>
    </row>
    <row r="29" spans="2:9" ht="33.75" x14ac:dyDescent="0.5">
      <c r="B29" s="317">
        <v>44880</v>
      </c>
      <c r="C29" s="211"/>
      <c r="D29" s="211"/>
      <c r="E29" s="211"/>
      <c r="F29" s="211"/>
      <c r="G29" s="211"/>
      <c r="H29" s="211"/>
      <c r="I29" s="211"/>
    </row>
    <row r="32" spans="2:9" x14ac:dyDescent="0.25">
      <c r="B32" s="1"/>
    </row>
    <row r="33" spans="2:2" x14ac:dyDescent="0.25">
      <c r="B33" s="1"/>
    </row>
    <row r="34" spans="2:2" x14ac:dyDescent="0.25">
      <c r="B34" s="1"/>
    </row>
  </sheetData>
  <mergeCells count="8">
    <mergeCell ref="B27:I27"/>
    <mergeCell ref="B28:I28"/>
    <mergeCell ref="B29:I29"/>
    <mergeCell ref="B20:I20"/>
    <mergeCell ref="B21:I21"/>
    <mergeCell ref="B22:I22"/>
    <mergeCell ref="B25:I25"/>
    <mergeCell ref="B26:I26"/>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87A20-3ABB-4DDA-A569-F1D2B37650A0}">
  <sheetPr>
    <tabColor theme="9" tint="0.79998168889431442"/>
    <pageSetUpPr fitToPage="1"/>
  </sheetPr>
  <dimension ref="B2:O32"/>
  <sheetViews>
    <sheetView showGridLines="0" topLeftCell="A10" workbookViewId="0">
      <selection activeCell="S33" sqref="S33"/>
    </sheetView>
  </sheetViews>
  <sheetFormatPr defaultColWidth="9.140625" defaultRowHeight="15" x14ac:dyDescent="0.25"/>
  <cols>
    <col min="1" max="1" width="2.140625" customWidth="1"/>
    <col min="2" max="2" width="19.140625" bestFit="1" customWidth="1"/>
    <col min="3" max="3" width="12.85546875" customWidth="1"/>
    <col min="4" max="4" width="12.140625" bestFit="1" customWidth="1"/>
    <col min="5" max="5" width="13" customWidth="1"/>
    <col min="6" max="6" width="10" bestFit="1" customWidth="1"/>
    <col min="7" max="9" width="10.85546875" bestFit="1" customWidth="1"/>
    <col min="10" max="10" width="11.85546875" bestFit="1" customWidth="1"/>
    <col min="11" max="12" width="9.140625" bestFit="1" customWidth="1"/>
  </cols>
  <sheetData>
    <row r="2" spans="2:15" ht="18.75" x14ac:dyDescent="0.3">
      <c r="B2" s="298" t="s">
        <v>122</v>
      </c>
      <c r="C2" s="298"/>
      <c r="D2" s="298"/>
      <c r="E2" s="298"/>
      <c r="F2" s="298"/>
      <c r="G2" s="298"/>
      <c r="H2" s="298"/>
      <c r="I2" s="298"/>
      <c r="J2" s="298"/>
      <c r="K2" s="298"/>
      <c r="L2" s="298"/>
    </row>
    <row r="4" spans="2:15" ht="15.75" thickBot="1" x14ac:dyDescent="0.3"/>
    <row r="5" spans="2:15" ht="15.75" customHeight="1" thickBot="1" x14ac:dyDescent="0.3">
      <c r="B5" s="299" t="s">
        <v>67</v>
      </c>
      <c r="C5" s="301" t="s">
        <v>68</v>
      </c>
      <c r="D5" s="302"/>
      <c r="E5" s="303" t="s">
        <v>69</v>
      </c>
      <c r="F5" s="305" t="s">
        <v>70</v>
      </c>
      <c r="G5" s="306"/>
      <c r="H5" s="307" t="s">
        <v>71</v>
      </c>
      <c r="I5" s="308"/>
      <c r="J5" s="309"/>
      <c r="K5" s="308" t="s">
        <v>72</v>
      </c>
      <c r="L5" s="309"/>
    </row>
    <row r="6" spans="2:15" ht="45.75" thickBot="1" x14ac:dyDescent="0.3">
      <c r="B6" s="300"/>
      <c r="C6" s="86"/>
      <c r="D6" s="87" t="s">
        <v>73</v>
      </c>
      <c r="E6" s="304"/>
      <c r="F6" s="87" t="s">
        <v>8</v>
      </c>
      <c r="G6" s="88" t="s">
        <v>74</v>
      </c>
      <c r="H6" s="84" t="s">
        <v>37</v>
      </c>
      <c r="I6" s="84" t="s">
        <v>38</v>
      </c>
      <c r="J6" s="84" t="s">
        <v>42</v>
      </c>
      <c r="K6" s="84" t="s">
        <v>37</v>
      </c>
      <c r="L6" s="85" t="s">
        <v>38</v>
      </c>
    </row>
    <row r="7" spans="2:15" x14ac:dyDescent="0.25">
      <c r="B7" s="76"/>
      <c r="C7" s="77"/>
      <c r="D7" s="16"/>
      <c r="E7" s="78" t="s">
        <v>32</v>
      </c>
      <c r="F7" s="76"/>
      <c r="G7" s="79" t="s">
        <v>32</v>
      </c>
      <c r="H7" s="79" t="s">
        <v>9</v>
      </c>
      <c r="I7" s="79" t="s">
        <v>9</v>
      </c>
      <c r="J7" s="79" t="s">
        <v>9</v>
      </c>
      <c r="K7" s="77"/>
      <c r="L7" s="80"/>
      <c r="N7" t="s">
        <v>101</v>
      </c>
      <c r="O7" s="83">
        <f>J8-J29</f>
        <v>0</v>
      </c>
    </row>
    <row r="8" spans="2:15" ht="15.75" thickBot="1" x14ac:dyDescent="0.3">
      <c r="B8" s="89" t="s">
        <v>79</v>
      </c>
      <c r="C8" s="90" t="s">
        <v>66</v>
      </c>
      <c r="D8" s="91">
        <f>'RRRP Rate Design'!D14</f>
        <v>8115.5292008802571</v>
      </c>
      <c r="E8" s="91">
        <f>'RRRP Rate Design'!E14</f>
        <v>84857055.570733279</v>
      </c>
      <c r="F8" s="92">
        <f>'RRRP Rate Design'!I14</f>
        <v>58.54</v>
      </c>
      <c r="G8" s="93">
        <f>'RRRP Rate Design'!J14</f>
        <v>4.1000000000000003E-3</v>
      </c>
      <c r="H8" s="91">
        <f>D8*F8*12</f>
        <v>5700996.9530343628</v>
      </c>
      <c r="I8" s="91">
        <f>E8*G8</f>
        <v>347913.92784000648</v>
      </c>
      <c r="J8" s="91">
        <f>H8+I8</f>
        <v>6048910.8808743693</v>
      </c>
      <c r="K8" s="166">
        <f>H8/J8</f>
        <v>0.94248321149183212</v>
      </c>
      <c r="L8" s="167">
        <f>I8/J8</f>
        <v>5.7516788508167868E-2</v>
      </c>
    </row>
    <row r="10" spans="2:15" x14ac:dyDescent="0.25">
      <c r="B10" s="310" t="s">
        <v>83</v>
      </c>
      <c r="C10" s="310"/>
      <c r="D10" s="310"/>
      <c r="E10" s="310"/>
    </row>
    <row r="11" spans="2:15" x14ac:dyDescent="0.25">
      <c r="F11" s="107">
        <v>2023</v>
      </c>
      <c r="G11" s="107">
        <v>2024</v>
      </c>
      <c r="H11" s="72"/>
      <c r="I11" s="72"/>
      <c r="J11" s="72"/>
      <c r="K11" s="72"/>
    </row>
    <row r="12" spans="2:15" x14ac:dyDescent="0.25">
      <c r="B12" s="289" t="s">
        <v>126</v>
      </c>
      <c r="C12" s="289"/>
      <c r="D12" s="289"/>
      <c r="E12" s="289"/>
      <c r="F12" s="177">
        <f>F8</f>
        <v>58.54</v>
      </c>
      <c r="G12" s="177">
        <f>F15</f>
        <v>62.112512229622162</v>
      </c>
      <c r="H12" s="81"/>
      <c r="I12" s="81"/>
      <c r="J12" s="81"/>
      <c r="K12" s="81"/>
    </row>
    <row r="13" spans="2:15" x14ac:dyDescent="0.25">
      <c r="B13" s="289" t="s">
        <v>76</v>
      </c>
      <c r="C13" s="289"/>
      <c r="D13" s="289"/>
      <c r="E13" s="289"/>
      <c r="F13" s="178">
        <f>J8/D8/12</f>
        <v>62.112512229622162</v>
      </c>
      <c r="G13" s="177"/>
    </row>
    <row r="14" spans="2:15" x14ac:dyDescent="0.25">
      <c r="B14" s="82" t="s">
        <v>77</v>
      </c>
      <c r="C14" s="82"/>
      <c r="D14" s="82"/>
      <c r="E14" s="82"/>
      <c r="F14" s="178">
        <f>IF(($F$13-F12)&gt;4,4,$F$13-F12)</f>
        <v>3.5725122296221627</v>
      </c>
      <c r="G14" s="178">
        <f>IF(($F$13-G12)&gt;4,4,$F$13-G12)</f>
        <v>0</v>
      </c>
      <c r="H14" s="73"/>
      <c r="I14" s="73"/>
      <c r="J14" s="73"/>
      <c r="K14" s="73"/>
    </row>
    <row r="15" spans="2:15" x14ac:dyDescent="0.25">
      <c r="B15" s="289" t="s">
        <v>78</v>
      </c>
      <c r="C15" s="289"/>
      <c r="D15" s="289"/>
      <c r="E15" s="289"/>
      <c r="F15" s="178">
        <f>F12+F14</f>
        <v>62.112512229622162</v>
      </c>
      <c r="G15" s="178">
        <f>G12+G14</f>
        <v>62.112512229622162</v>
      </c>
      <c r="H15" s="73"/>
      <c r="I15" s="73"/>
      <c r="J15" s="73"/>
      <c r="K15" s="73"/>
    </row>
    <row r="17" spans="2:12" x14ac:dyDescent="0.25">
      <c r="B17" s="1" t="s">
        <v>119</v>
      </c>
    </row>
    <row r="18" spans="2:12" ht="15.75" thickBot="1" x14ac:dyDescent="0.3"/>
    <row r="19" spans="2:12" ht="15.75" thickBot="1" x14ac:dyDescent="0.3">
      <c r="B19" s="94" t="s">
        <v>67</v>
      </c>
      <c r="C19" s="311" t="s">
        <v>68</v>
      </c>
      <c r="D19" s="302"/>
      <c r="E19" s="303" t="s">
        <v>69</v>
      </c>
      <c r="F19" s="305" t="s">
        <v>70</v>
      </c>
      <c r="G19" s="306"/>
      <c r="H19" s="307" t="s">
        <v>71</v>
      </c>
      <c r="I19" s="308"/>
      <c r="J19" s="309"/>
      <c r="K19" s="308" t="s">
        <v>29</v>
      </c>
      <c r="L19" s="309"/>
    </row>
    <row r="20" spans="2:12" ht="45.75" thickBot="1" x14ac:dyDescent="0.3">
      <c r="B20" s="95"/>
      <c r="C20" s="96"/>
      <c r="D20" s="87" t="s">
        <v>73</v>
      </c>
      <c r="E20" s="304"/>
      <c r="F20" s="87" t="s">
        <v>8</v>
      </c>
      <c r="G20" s="88" t="s">
        <v>74</v>
      </c>
      <c r="H20" s="84" t="s">
        <v>37</v>
      </c>
      <c r="I20" s="84" t="s">
        <v>38</v>
      </c>
      <c r="J20" s="84" t="s">
        <v>42</v>
      </c>
      <c r="K20" s="84" t="s">
        <v>37</v>
      </c>
      <c r="L20" s="85" t="s">
        <v>38</v>
      </c>
    </row>
    <row r="21" spans="2:12" x14ac:dyDescent="0.25">
      <c r="B21" s="76"/>
      <c r="C21" s="76"/>
      <c r="D21" s="76"/>
      <c r="E21" s="78" t="s">
        <v>32</v>
      </c>
      <c r="F21" s="76"/>
      <c r="G21" s="79" t="s">
        <v>32</v>
      </c>
      <c r="H21" s="79" t="s">
        <v>9</v>
      </c>
      <c r="I21" s="79" t="s">
        <v>9</v>
      </c>
      <c r="J21" s="79" t="s">
        <v>9</v>
      </c>
      <c r="K21" s="77"/>
      <c r="L21" s="80"/>
    </row>
    <row r="22" spans="2:12" ht="15.75" thickBot="1" x14ac:dyDescent="0.3">
      <c r="B22" s="89" t="s">
        <v>75</v>
      </c>
      <c r="C22" s="89" t="s">
        <v>66</v>
      </c>
      <c r="D22" s="97">
        <f>D8</f>
        <v>8115.5292008802571</v>
      </c>
      <c r="E22" s="97">
        <f>E8</f>
        <v>84857055.570733279</v>
      </c>
      <c r="F22" s="92">
        <f>F15</f>
        <v>62.112512229622162</v>
      </c>
      <c r="G22" s="93">
        <f>I22/E22</f>
        <v>0</v>
      </c>
      <c r="H22" s="97">
        <f>F22*D22*12</f>
        <v>6048910.8808743693</v>
      </c>
      <c r="I22" s="97">
        <f>L22*J8</f>
        <v>0</v>
      </c>
      <c r="J22" s="165">
        <f>H22+I22</f>
        <v>6048910.8808743693</v>
      </c>
      <c r="K22" s="166">
        <f>H22/J8</f>
        <v>1</v>
      </c>
      <c r="L22" s="167">
        <f>1-K22</f>
        <v>0</v>
      </c>
    </row>
    <row r="24" spans="2:12" x14ac:dyDescent="0.25">
      <c r="B24" s="1" t="s">
        <v>82</v>
      </c>
      <c r="H24" s="316"/>
      <c r="I24" s="316"/>
      <c r="J24" s="83"/>
    </row>
    <row r="25" spans="2:12" ht="15.75" thickBot="1" x14ac:dyDescent="0.3"/>
    <row r="26" spans="2:12" ht="15.75" thickBot="1" x14ac:dyDescent="0.3">
      <c r="B26" s="94" t="s">
        <v>67</v>
      </c>
      <c r="C26" s="311" t="s">
        <v>68</v>
      </c>
      <c r="D26" s="302"/>
      <c r="E26" s="303" t="s">
        <v>69</v>
      </c>
      <c r="F26" s="305" t="s">
        <v>70</v>
      </c>
      <c r="G26" s="306"/>
      <c r="H26" s="307" t="s">
        <v>71</v>
      </c>
      <c r="I26" s="308"/>
      <c r="J26" s="309"/>
    </row>
    <row r="27" spans="2:12" ht="45.75" thickBot="1" x14ac:dyDescent="0.3">
      <c r="B27" s="95"/>
      <c r="C27" s="96"/>
      <c r="D27" s="87" t="s">
        <v>73</v>
      </c>
      <c r="E27" s="304"/>
      <c r="F27" s="87" t="s">
        <v>8</v>
      </c>
      <c r="G27" s="88" t="s">
        <v>74</v>
      </c>
      <c r="H27" s="84" t="s">
        <v>37</v>
      </c>
      <c r="I27" s="84" t="s">
        <v>38</v>
      </c>
      <c r="J27" s="84" t="s">
        <v>42</v>
      </c>
    </row>
    <row r="28" spans="2:12" x14ac:dyDescent="0.25">
      <c r="B28" s="76"/>
      <c r="C28" s="76"/>
      <c r="D28" s="76"/>
      <c r="E28" s="78" t="s">
        <v>32</v>
      </c>
      <c r="F28" s="76"/>
      <c r="G28" s="79" t="s">
        <v>32</v>
      </c>
      <c r="H28" s="79" t="s">
        <v>9</v>
      </c>
      <c r="I28" s="79" t="s">
        <v>9</v>
      </c>
      <c r="J28" s="79" t="s">
        <v>9</v>
      </c>
    </row>
    <row r="29" spans="2:12" ht="15.75" thickBot="1" x14ac:dyDescent="0.3">
      <c r="B29" s="89" t="s">
        <v>75</v>
      </c>
      <c r="C29" s="89" t="s">
        <v>66</v>
      </c>
      <c r="D29" s="97">
        <f>D22</f>
        <v>8115.5292008802571</v>
      </c>
      <c r="E29" s="97">
        <f>E22</f>
        <v>84857055.570733279</v>
      </c>
      <c r="F29" s="92">
        <f>F22</f>
        <v>62.112512229622162</v>
      </c>
      <c r="G29" s="93">
        <f>ROUND(G22,4)</f>
        <v>0</v>
      </c>
      <c r="H29" s="97">
        <f>F29*D29*12</f>
        <v>6048910.8808743693</v>
      </c>
      <c r="I29" s="97">
        <f>E29*G29</f>
        <v>0</v>
      </c>
      <c r="J29" s="165">
        <f>H29+I29</f>
        <v>6048910.8808743693</v>
      </c>
    </row>
    <row r="30" spans="2:12" ht="15.75" thickBot="1" x14ac:dyDescent="0.3">
      <c r="D30" s="98"/>
      <c r="E30" s="98"/>
      <c r="F30" s="99"/>
      <c r="G30" s="99"/>
      <c r="H30" s="100"/>
      <c r="I30" s="100"/>
      <c r="J30" s="83"/>
    </row>
    <row r="31" spans="2:12" x14ac:dyDescent="0.25">
      <c r="B31" s="312" t="s">
        <v>81</v>
      </c>
      <c r="C31" s="313"/>
      <c r="D31" s="313"/>
      <c r="E31" s="313"/>
      <c r="F31" s="313"/>
      <c r="G31" s="23" t="s">
        <v>9</v>
      </c>
      <c r="H31" s="101">
        <f>H29-H22</f>
        <v>0</v>
      </c>
      <c r="I31" s="101">
        <f>I29-I22</f>
        <v>0</v>
      </c>
      <c r="J31" s="102">
        <f>J29-J22</f>
        <v>0</v>
      </c>
    </row>
    <row r="32" spans="2:12" ht="15.75" thickBot="1" x14ac:dyDescent="0.3">
      <c r="B32" s="314"/>
      <c r="C32" s="315"/>
      <c r="D32" s="315"/>
      <c r="E32" s="315"/>
      <c r="F32" s="315"/>
      <c r="G32" s="104" t="s">
        <v>80</v>
      </c>
      <c r="H32" s="103">
        <f>H31/H22</f>
        <v>0</v>
      </c>
      <c r="I32" s="103" t="e">
        <f t="shared" ref="I32:J32" si="0">I31/I22</f>
        <v>#DIV/0!</v>
      </c>
      <c r="J32" s="105">
        <f t="shared" si="0"/>
        <v>0</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CAE17-E022-42C7-8062-45D3B1C6C683}">
  <sheetPr>
    <tabColor theme="9" tint="0.79998168889431442"/>
    <pageSetUpPr fitToPage="1"/>
  </sheetPr>
  <dimension ref="B2:L32"/>
  <sheetViews>
    <sheetView showGridLines="0" topLeftCell="A19" workbookViewId="0">
      <selection activeCell="R27" sqref="R27"/>
    </sheetView>
  </sheetViews>
  <sheetFormatPr defaultColWidth="9.140625" defaultRowHeight="15" x14ac:dyDescent="0.25"/>
  <cols>
    <col min="1" max="1" width="2.140625" customWidth="1"/>
    <col min="2" max="2" width="19.140625" bestFit="1" customWidth="1"/>
    <col min="3" max="3" width="12.85546875" customWidth="1"/>
    <col min="4" max="4" width="12.140625" bestFit="1" customWidth="1"/>
    <col min="5" max="5" width="13" customWidth="1"/>
    <col min="6" max="6" width="10" bestFit="1" customWidth="1"/>
    <col min="7" max="9" width="10.85546875" bestFit="1" customWidth="1"/>
    <col min="10" max="10" width="11.85546875" bestFit="1" customWidth="1"/>
    <col min="11" max="12" width="9.140625" bestFit="1" customWidth="1"/>
  </cols>
  <sheetData>
    <row r="2" spans="2:12" ht="18.75" x14ac:dyDescent="0.3">
      <c r="B2" s="298" t="s">
        <v>123</v>
      </c>
      <c r="C2" s="298"/>
      <c r="D2" s="298"/>
      <c r="E2" s="298"/>
      <c r="F2" s="298"/>
      <c r="G2" s="298"/>
      <c r="H2" s="298"/>
      <c r="I2" s="298"/>
      <c r="J2" s="298"/>
      <c r="K2" s="298"/>
      <c r="L2" s="298"/>
    </row>
    <row r="4" spans="2:12" ht="15.75" thickBot="1" x14ac:dyDescent="0.3"/>
    <row r="5" spans="2:12" ht="15.75" customHeight="1" thickBot="1" x14ac:dyDescent="0.3">
      <c r="B5" s="299" t="s">
        <v>67</v>
      </c>
      <c r="C5" s="301" t="s">
        <v>68</v>
      </c>
      <c r="D5" s="302"/>
      <c r="E5" s="303" t="s">
        <v>69</v>
      </c>
      <c r="F5" s="305" t="s">
        <v>70</v>
      </c>
      <c r="G5" s="306"/>
      <c r="H5" s="307" t="s">
        <v>71</v>
      </c>
      <c r="I5" s="308"/>
      <c r="J5" s="309"/>
      <c r="K5" s="308" t="s">
        <v>72</v>
      </c>
      <c r="L5" s="309"/>
    </row>
    <row r="6" spans="2:12" ht="45.75" thickBot="1" x14ac:dyDescent="0.3">
      <c r="B6" s="300"/>
      <c r="C6" s="86"/>
      <c r="D6" s="87" t="s">
        <v>73</v>
      </c>
      <c r="E6" s="304"/>
      <c r="F6" s="87" t="s">
        <v>8</v>
      </c>
      <c r="G6" s="88" t="s">
        <v>74</v>
      </c>
      <c r="H6" s="84" t="s">
        <v>37</v>
      </c>
      <c r="I6" s="84" t="s">
        <v>38</v>
      </c>
      <c r="J6" s="84" t="s">
        <v>42</v>
      </c>
      <c r="K6" s="84" t="s">
        <v>37</v>
      </c>
      <c r="L6" s="85" t="s">
        <v>38</v>
      </c>
    </row>
    <row r="7" spans="2:12" x14ac:dyDescent="0.25">
      <c r="B7" s="76"/>
      <c r="C7" s="77"/>
      <c r="D7" s="16"/>
      <c r="E7" s="78" t="s">
        <v>32</v>
      </c>
      <c r="F7" s="76"/>
      <c r="G7" s="79" t="s">
        <v>32</v>
      </c>
      <c r="H7" s="79" t="s">
        <v>9</v>
      </c>
      <c r="I7" s="79" t="s">
        <v>9</v>
      </c>
      <c r="J7" s="79" t="s">
        <v>9</v>
      </c>
      <c r="K7" s="77"/>
      <c r="L7" s="80"/>
    </row>
    <row r="8" spans="2:12" ht="15.75" thickBot="1" x14ac:dyDescent="0.3">
      <c r="B8" s="89" t="s">
        <v>15</v>
      </c>
      <c r="C8" s="90" t="s">
        <v>66</v>
      </c>
      <c r="D8" s="91">
        <f>'Non-RRRP Rate Design'!D7</f>
        <v>2960.1858518389645</v>
      </c>
      <c r="E8" s="91">
        <f>'Non-RRRP Rate Design'!E7</f>
        <v>5874372.3645382812</v>
      </c>
      <c r="F8" s="92">
        <f>'Non-RRRP Rate Design'!H7</f>
        <v>71.61</v>
      </c>
      <c r="G8" s="93">
        <f>'Non-RRRP Rate Design'!I7</f>
        <v>8.43E-2</v>
      </c>
      <c r="H8" s="91">
        <f>D8*F8*12</f>
        <v>2543746.906202259</v>
      </c>
      <c r="I8" s="91">
        <f>E8*G8</f>
        <v>495209.59033057711</v>
      </c>
      <c r="J8" s="91">
        <f>H8+I8</f>
        <v>3038956.496532836</v>
      </c>
      <c r="K8" s="70">
        <f>H8/J8</f>
        <v>0.83704617328495334</v>
      </c>
      <c r="L8" s="71">
        <f>I8/J8</f>
        <v>0.16295382671504668</v>
      </c>
    </row>
    <row r="10" spans="2:12" x14ac:dyDescent="0.25">
      <c r="B10" s="310" t="s">
        <v>84</v>
      </c>
      <c r="C10" s="310"/>
      <c r="D10" s="310"/>
      <c r="E10" s="310"/>
    </row>
    <row r="11" spans="2:12" x14ac:dyDescent="0.25">
      <c r="F11" s="72">
        <v>2023</v>
      </c>
      <c r="G11" s="72">
        <v>2024</v>
      </c>
      <c r="H11" s="72">
        <v>2025</v>
      </c>
      <c r="I11" s="72">
        <v>2026</v>
      </c>
      <c r="J11" s="72">
        <v>2027</v>
      </c>
      <c r="K11" s="72"/>
    </row>
    <row r="12" spans="2:12" x14ac:dyDescent="0.25">
      <c r="B12" s="289" t="s">
        <v>126</v>
      </c>
      <c r="C12" s="289"/>
      <c r="D12" s="289"/>
      <c r="E12" s="289"/>
      <c r="F12" s="81">
        <f>F8</f>
        <v>71.61</v>
      </c>
      <c r="G12" s="81">
        <f>F15</f>
        <v>75.61</v>
      </c>
      <c r="H12" s="81">
        <f>G15</f>
        <v>79.61</v>
      </c>
      <c r="I12" s="81">
        <f t="shared" ref="I12:J12" si="0">H15</f>
        <v>83.61</v>
      </c>
      <c r="J12" s="81">
        <f t="shared" si="0"/>
        <v>85.550836125287447</v>
      </c>
      <c r="K12" s="81"/>
    </row>
    <row r="13" spans="2:12" x14ac:dyDescent="0.25">
      <c r="B13" s="289" t="s">
        <v>76</v>
      </c>
      <c r="C13" s="289"/>
      <c r="D13" s="289"/>
      <c r="E13" s="289"/>
      <c r="F13" s="73">
        <f>J8/D8/12</f>
        <v>85.550836125287447</v>
      </c>
      <c r="G13" s="81"/>
    </row>
    <row r="14" spans="2:12" x14ac:dyDescent="0.25">
      <c r="B14" s="82" t="s">
        <v>77</v>
      </c>
      <c r="C14" s="82"/>
      <c r="D14" s="82"/>
      <c r="E14" s="82"/>
      <c r="F14" s="73">
        <f>IF(($F$13-F12)&gt;4,4,$F$13-F12)</f>
        <v>4</v>
      </c>
      <c r="G14" s="73">
        <f>IF(($F$13-G12)&gt;4,4,$F$13-G12)</f>
        <v>4</v>
      </c>
      <c r="H14" s="73">
        <f>IF(($F$13-H12)&gt;4,4,$F$13-H12)</f>
        <v>4</v>
      </c>
      <c r="I14" s="73">
        <f t="shared" ref="I14:J14" si="1">IF(($F$13-I12)&gt;4,4,$F$13-I12)</f>
        <v>1.9408361252874471</v>
      </c>
      <c r="J14" s="73">
        <f t="shared" si="1"/>
        <v>0</v>
      </c>
      <c r="K14" s="73"/>
    </row>
    <row r="15" spans="2:12" x14ac:dyDescent="0.25">
      <c r="B15" s="289" t="s">
        <v>78</v>
      </c>
      <c r="C15" s="289"/>
      <c r="D15" s="289"/>
      <c r="E15" s="289"/>
      <c r="F15" s="73">
        <f>F12+F14</f>
        <v>75.61</v>
      </c>
      <c r="G15" s="73">
        <f>G12+G14</f>
        <v>79.61</v>
      </c>
      <c r="H15" s="73">
        <f>H12+H14</f>
        <v>83.61</v>
      </c>
      <c r="I15" s="73">
        <f t="shared" ref="I15:J15" si="2">I12+I14</f>
        <v>85.550836125287447</v>
      </c>
      <c r="J15" s="73">
        <f t="shared" si="2"/>
        <v>85.550836125287447</v>
      </c>
      <c r="K15" s="73"/>
    </row>
    <row r="17" spans="2:12" x14ac:dyDescent="0.25">
      <c r="B17" s="1" t="s">
        <v>124</v>
      </c>
    </row>
    <row r="18" spans="2:12" ht="15.75" thickBot="1" x14ac:dyDescent="0.3"/>
    <row r="19" spans="2:12" ht="15.75" thickBot="1" x14ac:dyDescent="0.3">
      <c r="B19" s="94" t="s">
        <v>67</v>
      </c>
      <c r="C19" s="311" t="s">
        <v>68</v>
      </c>
      <c r="D19" s="302"/>
      <c r="E19" s="303" t="s">
        <v>69</v>
      </c>
      <c r="F19" s="305" t="s">
        <v>70</v>
      </c>
      <c r="G19" s="306"/>
      <c r="H19" s="307" t="s">
        <v>71</v>
      </c>
      <c r="I19" s="308"/>
      <c r="J19" s="309"/>
      <c r="K19" s="308" t="s">
        <v>29</v>
      </c>
      <c r="L19" s="309"/>
    </row>
    <row r="20" spans="2:12" ht="45.75" thickBot="1" x14ac:dyDescent="0.3">
      <c r="B20" s="95"/>
      <c r="C20" s="96"/>
      <c r="D20" s="87" t="s">
        <v>73</v>
      </c>
      <c r="E20" s="304"/>
      <c r="F20" s="87" t="s">
        <v>8</v>
      </c>
      <c r="G20" s="88" t="s">
        <v>74</v>
      </c>
      <c r="H20" s="84" t="s">
        <v>37</v>
      </c>
      <c r="I20" s="84" t="s">
        <v>38</v>
      </c>
      <c r="J20" s="84" t="s">
        <v>42</v>
      </c>
      <c r="K20" s="84" t="s">
        <v>37</v>
      </c>
      <c r="L20" s="85" t="s">
        <v>38</v>
      </c>
    </row>
    <row r="21" spans="2:12" x14ac:dyDescent="0.25">
      <c r="B21" s="76"/>
      <c r="C21" s="76"/>
      <c r="D21" s="76"/>
      <c r="E21" s="78" t="s">
        <v>32</v>
      </c>
      <c r="F21" s="76"/>
      <c r="G21" s="79" t="s">
        <v>32</v>
      </c>
      <c r="H21" s="79" t="s">
        <v>9</v>
      </c>
      <c r="I21" s="79" t="s">
        <v>9</v>
      </c>
      <c r="J21" s="79" t="s">
        <v>9</v>
      </c>
      <c r="K21" s="77"/>
      <c r="L21" s="80"/>
    </row>
    <row r="22" spans="2:12" ht="15.75" thickBot="1" x14ac:dyDescent="0.3">
      <c r="B22" s="89" t="s">
        <v>15</v>
      </c>
      <c r="C22" s="89" t="s">
        <v>66</v>
      </c>
      <c r="D22" s="97">
        <f>D8</f>
        <v>2960.1858518389645</v>
      </c>
      <c r="E22" s="97">
        <f>E8</f>
        <v>5874372.3645382812</v>
      </c>
      <c r="F22" s="92">
        <f>F15</f>
        <v>75.61</v>
      </c>
      <c r="G22" s="93">
        <f>I22/E22</f>
        <v>6.0112067728968606E-2</v>
      </c>
      <c r="H22" s="74">
        <f>F22*D22*12</f>
        <v>2685835.8270905293</v>
      </c>
      <c r="I22" s="74">
        <f>L22*J8</f>
        <v>353120.66944230662</v>
      </c>
      <c r="J22" s="75">
        <f>H22+I22</f>
        <v>3038956.496532836</v>
      </c>
      <c r="K22" s="70">
        <f>H22/J8</f>
        <v>0.88380199919110913</v>
      </c>
      <c r="L22" s="71">
        <f>1-K22</f>
        <v>0.11619800080889087</v>
      </c>
    </row>
    <row r="24" spans="2:12" x14ac:dyDescent="0.25">
      <c r="B24" s="1" t="s">
        <v>82</v>
      </c>
      <c r="H24" s="316"/>
      <c r="I24" s="316"/>
      <c r="J24" s="83"/>
    </row>
    <row r="25" spans="2:12" ht="15.75" thickBot="1" x14ac:dyDescent="0.3"/>
    <row r="26" spans="2:12" ht="15.75" thickBot="1" x14ac:dyDescent="0.3">
      <c r="B26" s="94" t="s">
        <v>67</v>
      </c>
      <c r="C26" s="311" t="s">
        <v>68</v>
      </c>
      <c r="D26" s="302"/>
      <c r="E26" s="303" t="s">
        <v>69</v>
      </c>
      <c r="F26" s="305" t="s">
        <v>70</v>
      </c>
      <c r="G26" s="306"/>
      <c r="H26" s="307" t="s">
        <v>71</v>
      </c>
      <c r="I26" s="308"/>
      <c r="J26" s="309"/>
    </row>
    <row r="27" spans="2:12" ht="45.75" thickBot="1" x14ac:dyDescent="0.3">
      <c r="B27" s="95"/>
      <c r="C27" s="96"/>
      <c r="D27" s="87" t="s">
        <v>73</v>
      </c>
      <c r="E27" s="304"/>
      <c r="F27" s="87" t="s">
        <v>8</v>
      </c>
      <c r="G27" s="88" t="s">
        <v>74</v>
      </c>
      <c r="H27" s="84" t="s">
        <v>37</v>
      </c>
      <c r="I27" s="84" t="s">
        <v>38</v>
      </c>
      <c r="J27" s="84" t="s">
        <v>42</v>
      </c>
    </row>
    <row r="28" spans="2:12" x14ac:dyDescent="0.25">
      <c r="B28" s="76"/>
      <c r="C28" s="76"/>
      <c r="D28" s="76"/>
      <c r="E28" s="78" t="s">
        <v>32</v>
      </c>
      <c r="F28" s="76"/>
      <c r="G28" s="79" t="s">
        <v>32</v>
      </c>
      <c r="H28" s="79" t="s">
        <v>9</v>
      </c>
      <c r="I28" s="79" t="s">
        <v>9</v>
      </c>
      <c r="J28" s="79" t="s">
        <v>9</v>
      </c>
    </row>
    <row r="29" spans="2:12" ht="15.75" thickBot="1" x14ac:dyDescent="0.3">
      <c r="B29" s="89" t="s">
        <v>15</v>
      </c>
      <c r="C29" s="89" t="s">
        <v>66</v>
      </c>
      <c r="D29" s="97">
        <f>D22</f>
        <v>2960.1858518389645</v>
      </c>
      <c r="E29" s="97">
        <f>E22</f>
        <v>5874372.3645382812</v>
      </c>
      <c r="F29" s="92">
        <f>F22</f>
        <v>75.61</v>
      </c>
      <c r="G29" s="93">
        <f>ROUND(G22,4)</f>
        <v>6.0100000000000001E-2</v>
      </c>
      <c r="H29" s="74">
        <f>F29*D29*12</f>
        <v>2685835.8270905293</v>
      </c>
      <c r="I29" s="74">
        <f>E29*G29</f>
        <v>353049.77910875069</v>
      </c>
      <c r="J29" s="75">
        <f>H29+I29</f>
        <v>3038885.6061992799</v>
      </c>
    </row>
    <row r="30" spans="2:12" ht="15.75" thickBot="1" x14ac:dyDescent="0.3">
      <c r="D30" s="98"/>
      <c r="E30" s="98"/>
      <c r="F30" s="99"/>
      <c r="G30" s="99"/>
      <c r="H30" s="100"/>
      <c r="I30" s="100"/>
      <c r="J30" s="83"/>
    </row>
    <row r="31" spans="2:12" x14ac:dyDescent="0.25">
      <c r="B31" s="312" t="s">
        <v>81</v>
      </c>
      <c r="C31" s="313"/>
      <c r="D31" s="313"/>
      <c r="E31" s="313"/>
      <c r="F31" s="313"/>
      <c r="G31" s="23" t="s">
        <v>9</v>
      </c>
      <c r="H31" s="101">
        <f>H29-H22</f>
        <v>0</v>
      </c>
      <c r="I31" s="101">
        <f>I29-I22</f>
        <v>-70.890333555929828</v>
      </c>
      <c r="J31" s="102">
        <f>J29-J22</f>
        <v>-70.890333556104451</v>
      </c>
    </row>
    <row r="32" spans="2:12" ht="15.75" thickBot="1" x14ac:dyDescent="0.3">
      <c r="B32" s="314"/>
      <c r="C32" s="315"/>
      <c r="D32" s="315"/>
      <c r="E32" s="315"/>
      <c r="F32" s="315"/>
      <c r="G32" s="104" t="s">
        <v>80</v>
      </c>
      <c r="H32" s="103">
        <f>H31/H22</f>
        <v>0</v>
      </c>
      <c r="I32" s="103">
        <f t="shared" ref="I32:J32" si="3">I31/I22</f>
        <v>-2.007538490111296E-4</v>
      </c>
      <c r="J32" s="105">
        <f t="shared" si="3"/>
        <v>-2.3327195909840653E-5</v>
      </c>
    </row>
  </sheetData>
  <mergeCells count="22">
    <mergeCell ref="B31:F32"/>
    <mergeCell ref="F19:G19"/>
    <mergeCell ref="H19:J19"/>
    <mergeCell ref="K19:L19"/>
    <mergeCell ref="H24:I24"/>
    <mergeCell ref="C26:D26"/>
    <mergeCell ref="E26:E27"/>
    <mergeCell ref="F26:G26"/>
    <mergeCell ref="H26:J26"/>
    <mergeCell ref="B10:E10"/>
    <mergeCell ref="B12:E12"/>
    <mergeCell ref="B13:E13"/>
    <mergeCell ref="B15:E15"/>
    <mergeCell ref="C19:D19"/>
    <mergeCell ref="E19:E20"/>
    <mergeCell ref="B2:L2"/>
    <mergeCell ref="B5:B6"/>
    <mergeCell ref="C5:D5"/>
    <mergeCell ref="E5:E6"/>
    <mergeCell ref="F5:G5"/>
    <mergeCell ref="H5:J5"/>
    <mergeCell ref="K5:L5"/>
  </mergeCells>
  <pageMargins left="0.7" right="0.7" top="0.75" bottom="0.75" header="0.3" footer="0.3"/>
  <pageSetup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20746-760F-4A40-AF18-6199DD84677D}">
  <sheetPr>
    <tabColor theme="9" tint="0.79998168889431442"/>
    <pageSetUpPr fitToPage="1"/>
  </sheetPr>
  <dimension ref="B2:M28"/>
  <sheetViews>
    <sheetView showGridLines="0" tabSelected="1" workbookViewId="0">
      <selection activeCell="Q28" sqref="Q28"/>
    </sheetView>
  </sheetViews>
  <sheetFormatPr defaultColWidth="9.140625" defaultRowHeight="15" x14ac:dyDescent="0.25"/>
  <cols>
    <col min="1" max="1" width="2.85546875" customWidth="1"/>
    <col min="2" max="2" width="39.7109375" customWidth="1"/>
    <col min="3" max="3" width="6.7109375" bestFit="1" customWidth="1"/>
    <col min="4" max="4" width="2.85546875" customWidth="1"/>
    <col min="5" max="5" width="5.7109375" customWidth="1"/>
    <col min="6" max="6" width="11.7109375" bestFit="1" customWidth="1"/>
    <col min="7" max="7" width="7" customWidth="1"/>
    <col min="8" max="8" width="1.85546875" customWidth="1"/>
    <col min="9" max="9" width="6.140625" customWidth="1"/>
    <col min="10" max="10" width="12.140625" bestFit="1" customWidth="1"/>
    <col min="11" max="11" width="8.85546875" customWidth="1"/>
    <col min="12" max="12" width="3" customWidth="1"/>
    <col min="13" max="13" width="9.140625" style="5"/>
    <col min="15" max="15" width="16.28515625" bestFit="1" customWidth="1"/>
  </cols>
  <sheetData>
    <row r="2" spans="2:13" ht="15.75" x14ac:dyDescent="0.25">
      <c r="B2" s="213" t="s">
        <v>111</v>
      </c>
      <c r="C2" s="213"/>
      <c r="D2" s="213"/>
      <c r="E2" s="213"/>
      <c r="F2" s="213"/>
      <c r="G2" s="213"/>
      <c r="H2" s="213"/>
      <c r="I2" s="213"/>
      <c r="J2" s="213"/>
      <c r="K2" s="213"/>
    </row>
    <row r="3" spans="2:13" ht="15.75" thickBot="1" x14ac:dyDescent="0.3">
      <c r="C3" s="5"/>
    </row>
    <row r="4" spans="2:13" ht="16.5" thickBot="1" x14ac:dyDescent="0.3">
      <c r="B4" s="214"/>
      <c r="C4" s="215"/>
      <c r="D4" s="215"/>
      <c r="E4" s="216" t="s">
        <v>110</v>
      </c>
      <c r="F4" s="217"/>
      <c r="G4" s="218"/>
      <c r="H4" s="140"/>
      <c r="I4" s="219" t="s">
        <v>112</v>
      </c>
      <c r="J4" s="220"/>
      <c r="K4" s="221"/>
      <c r="M4" s="222" t="s">
        <v>3</v>
      </c>
    </row>
    <row r="5" spans="2:13" ht="16.5" thickBot="1" x14ac:dyDescent="0.3">
      <c r="B5" s="223" t="s">
        <v>4</v>
      </c>
      <c r="C5" s="224"/>
      <c r="D5" s="224"/>
      <c r="E5" s="225" t="s">
        <v>93</v>
      </c>
      <c r="F5" s="226"/>
      <c r="G5" s="227"/>
      <c r="H5" s="135"/>
      <c r="I5" s="225" t="s">
        <v>127</v>
      </c>
      <c r="J5" s="226"/>
      <c r="K5" s="227"/>
      <c r="M5" s="222"/>
    </row>
    <row r="6" spans="2:13" ht="16.5" thickBot="1" x14ac:dyDescent="0.3">
      <c r="B6" s="223"/>
      <c r="C6" s="224"/>
      <c r="D6" s="224"/>
      <c r="E6" s="228"/>
      <c r="F6" s="229"/>
      <c r="G6" s="230"/>
      <c r="H6" s="135"/>
      <c r="I6" s="231"/>
      <c r="J6" s="232"/>
      <c r="K6" s="233"/>
      <c r="M6" s="6"/>
    </row>
    <row r="7" spans="2:13" ht="43.5" customHeight="1" x14ac:dyDescent="0.25">
      <c r="B7" s="7" t="s">
        <v>5</v>
      </c>
      <c r="C7" s="8" t="s">
        <v>6</v>
      </c>
      <c r="D7" s="9"/>
      <c r="E7" s="234" t="s">
        <v>100</v>
      </c>
      <c r="F7" s="235"/>
      <c r="G7" s="236"/>
      <c r="H7" s="135"/>
      <c r="I7" s="237" t="s">
        <v>113</v>
      </c>
      <c r="J7" s="238"/>
      <c r="K7" s="239"/>
      <c r="M7" s="6"/>
    </row>
    <row r="8" spans="2:13" x14ac:dyDescent="0.25">
      <c r="B8" s="10" t="s">
        <v>7</v>
      </c>
      <c r="C8" s="6"/>
      <c r="D8" s="11"/>
      <c r="E8" s="145"/>
      <c r="F8" s="146"/>
      <c r="G8" s="147"/>
      <c r="I8" s="12"/>
      <c r="J8" s="14"/>
      <c r="K8" s="13"/>
      <c r="M8" s="6"/>
    </row>
    <row r="9" spans="2:13" x14ac:dyDescent="0.25">
      <c r="B9" s="15" t="s">
        <v>8</v>
      </c>
      <c r="C9" s="6" t="s">
        <v>9</v>
      </c>
      <c r="D9" s="2"/>
      <c r="E9" s="148"/>
      <c r="F9" s="202">
        <v>56.77</v>
      </c>
      <c r="G9" s="147"/>
      <c r="H9" s="58"/>
      <c r="I9" s="116"/>
      <c r="J9" s="203">
        <f>'R1(i) Decoupling'!F29</f>
        <v>62.112512229622162</v>
      </c>
      <c r="K9" s="16"/>
      <c r="M9" s="3">
        <f>(J9-F9)/F9</f>
        <v>9.410801884132744E-2</v>
      </c>
    </row>
    <row r="10" spans="2:13" x14ac:dyDescent="0.25">
      <c r="B10" s="15" t="s">
        <v>10</v>
      </c>
      <c r="C10" s="6" t="s">
        <v>11</v>
      </c>
      <c r="D10" s="4"/>
      <c r="E10" s="148"/>
      <c r="F10" s="143">
        <v>4.0000000000000001E-3</v>
      </c>
      <c r="G10" s="147"/>
      <c r="H10" s="58"/>
      <c r="I10" s="117"/>
      <c r="J10" s="204">
        <f>'R1(i) Decoupling'!G29</f>
        <v>0</v>
      </c>
      <c r="K10" s="13"/>
      <c r="M10" s="3">
        <f>(J10-F10)/F10</f>
        <v>-1</v>
      </c>
    </row>
    <row r="11" spans="2:13" x14ac:dyDescent="0.25">
      <c r="B11" s="15"/>
      <c r="C11" s="6"/>
      <c r="D11" s="4"/>
      <c r="E11" s="148"/>
      <c r="F11" s="172"/>
      <c r="G11" s="147"/>
      <c r="H11" s="58"/>
      <c r="I11" s="117"/>
      <c r="J11" s="152"/>
      <c r="K11" s="13"/>
      <c r="M11" s="3"/>
    </row>
    <row r="12" spans="2:13" x14ac:dyDescent="0.25">
      <c r="B12" s="10" t="s">
        <v>12</v>
      </c>
      <c r="C12" s="6"/>
      <c r="D12" s="4"/>
      <c r="E12" s="148"/>
      <c r="F12" s="172"/>
      <c r="G12" s="147"/>
      <c r="H12" s="58"/>
      <c r="I12" s="117"/>
      <c r="J12" s="151"/>
      <c r="K12" s="13"/>
      <c r="M12" s="3"/>
    </row>
    <row r="13" spans="2:13" x14ac:dyDescent="0.25">
      <c r="B13" s="15" t="s">
        <v>8</v>
      </c>
      <c r="C13" s="6" t="s">
        <v>9</v>
      </c>
      <c r="D13" s="4"/>
      <c r="E13" s="148"/>
      <c r="F13" s="142">
        <v>27.01</v>
      </c>
      <c r="G13" s="147"/>
      <c r="H13" s="58"/>
      <c r="I13" s="117"/>
      <c r="J13" s="203">
        <f>'RRRP Rate Design'!I15</f>
        <v>27.85</v>
      </c>
      <c r="K13" s="13"/>
      <c r="M13" s="3">
        <f>(J13-F13)/F13</f>
        <v>3.1099592743428352E-2</v>
      </c>
    </row>
    <row r="14" spans="2:13" x14ac:dyDescent="0.25">
      <c r="B14" s="15" t="s">
        <v>10</v>
      </c>
      <c r="C14" s="6" t="s">
        <v>11</v>
      </c>
      <c r="D14" s="4"/>
      <c r="E14" s="148"/>
      <c r="F14" s="143">
        <v>3.7999999999999999E-2</v>
      </c>
      <c r="G14" s="147"/>
      <c r="H14" s="58"/>
      <c r="I14" s="117"/>
      <c r="J14" s="204">
        <f>'RRRP Rate Design'!J15</f>
        <v>3.9199999999999999E-2</v>
      </c>
      <c r="K14" s="13"/>
      <c r="M14" s="3">
        <f>(J14-F14)/F14</f>
        <v>3.1578947368421047E-2</v>
      </c>
    </row>
    <row r="15" spans="2:13" x14ac:dyDescent="0.25">
      <c r="B15" s="15"/>
      <c r="C15" s="6"/>
      <c r="D15" s="11"/>
      <c r="E15" s="145"/>
      <c r="F15" s="173"/>
      <c r="G15" s="147"/>
      <c r="H15" s="58"/>
      <c r="I15" s="117"/>
      <c r="J15" s="146"/>
      <c r="K15" s="13"/>
      <c r="M15" s="17"/>
    </row>
    <row r="16" spans="2:13" x14ac:dyDescent="0.25">
      <c r="B16" s="10" t="s">
        <v>13</v>
      </c>
      <c r="C16" s="6"/>
      <c r="D16" s="11"/>
      <c r="E16" s="145"/>
      <c r="F16" s="146"/>
      <c r="G16" s="147"/>
      <c r="H16" s="58"/>
      <c r="I16" s="117"/>
      <c r="J16" s="146"/>
      <c r="K16" s="13"/>
      <c r="M16" s="17"/>
    </row>
    <row r="17" spans="2:13" x14ac:dyDescent="0.25">
      <c r="B17" s="15" t="s">
        <v>8</v>
      </c>
      <c r="C17" s="6" t="s">
        <v>9</v>
      </c>
      <c r="D17" s="2"/>
      <c r="E17" s="148"/>
      <c r="F17" s="144">
        <v>695.07</v>
      </c>
      <c r="G17" s="147"/>
      <c r="H17" s="58"/>
      <c r="I17" s="117"/>
      <c r="J17" s="202">
        <f>'RRRP Rate Design'!I16</f>
        <v>716.69</v>
      </c>
      <c r="K17" s="13"/>
      <c r="M17" s="3">
        <f t="shared" ref="M17:M18" si="0">(J17-F17)/F17</f>
        <v>3.1104780813443256E-2</v>
      </c>
    </row>
    <row r="18" spans="2:13" x14ac:dyDescent="0.25">
      <c r="B18" s="15" t="s">
        <v>10</v>
      </c>
      <c r="C18" s="6" t="s">
        <v>14</v>
      </c>
      <c r="D18" s="4"/>
      <c r="E18" s="148"/>
      <c r="F18" s="143">
        <v>3.6015000000000001</v>
      </c>
      <c r="G18" s="147"/>
      <c r="H18" s="58"/>
      <c r="I18" s="117"/>
      <c r="J18" s="204">
        <f>'RRRP Rate Design'!J16</f>
        <v>3.7134999999999998</v>
      </c>
      <c r="K18" s="13"/>
      <c r="M18" s="3">
        <f t="shared" si="0"/>
        <v>3.1098153547133044E-2</v>
      </c>
    </row>
    <row r="19" spans="2:13" x14ac:dyDescent="0.25">
      <c r="B19" s="15"/>
      <c r="C19" s="6"/>
      <c r="D19" s="11"/>
      <c r="E19" s="145"/>
      <c r="F19" s="173"/>
      <c r="G19" s="147"/>
      <c r="H19" s="58"/>
      <c r="I19" s="117"/>
      <c r="J19" s="146"/>
      <c r="K19" s="13"/>
      <c r="M19" s="17"/>
    </row>
    <row r="20" spans="2:13" x14ac:dyDescent="0.25">
      <c r="B20" s="10" t="s">
        <v>15</v>
      </c>
      <c r="C20" s="6"/>
      <c r="D20" s="11"/>
      <c r="E20" s="145"/>
      <c r="F20" s="173"/>
      <c r="G20" s="147"/>
      <c r="H20" s="58"/>
      <c r="I20" s="117"/>
      <c r="J20" s="146"/>
      <c r="K20" s="13"/>
      <c r="M20" s="17"/>
    </row>
    <row r="21" spans="2:13" x14ac:dyDescent="0.25">
      <c r="B21" s="15" t="s">
        <v>8</v>
      </c>
      <c r="C21" s="6" t="s">
        <v>9</v>
      </c>
      <c r="D21" s="2"/>
      <c r="E21" s="148"/>
      <c r="F21" s="144">
        <v>69.459999999999994</v>
      </c>
      <c r="G21" s="147"/>
      <c r="H21" s="58"/>
      <c r="I21" s="117"/>
      <c r="J21" s="205">
        <f>'Seasonal Decoupling'!F29</f>
        <v>75.61</v>
      </c>
      <c r="K21" s="13"/>
      <c r="M21" s="3">
        <f t="shared" ref="M21:M22" si="1">(J21-F21)/F21</f>
        <v>8.8540167002591513E-2</v>
      </c>
    </row>
    <row r="22" spans="2:13" x14ac:dyDescent="0.25">
      <c r="B22" s="15" t="s">
        <v>10</v>
      </c>
      <c r="C22" s="6" t="s">
        <v>11</v>
      </c>
      <c r="D22" s="4"/>
      <c r="E22" s="148"/>
      <c r="F22" s="143">
        <v>8.1799999999999998E-2</v>
      </c>
      <c r="G22" s="147"/>
      <c r="H22" s="58"/>
      <c r="I22" s="117"/>
      <c r="J22" s="204">
        <f>'Seasonal Decoupling'!G29</f>
        <v>6.0100000000000001E-2</v>
      </c>
      <c r="K22" s="13"/>
      <c r="M22" s="3">
        <f t="shared" si="1"/>
        <v>-0.265281173594132</v>
      </c>
    </row>
    <row r="23" spans="2:13" x14ac:dyDescent="0.25">
      <c r="B23" s="15"/>
      <c r="C23" s="6"/>
      <c r="D23" s="11"/>
      <c r="E23" s="145"/>
      <c r="F23" s="173"/>
      <c r="G23" s="147"/>
      <c r="H23" s="58"/>
      <c r="I23" s="117"/>
      <c r="J23" s="146"/>
      <c r="K23" s="13"/>
      <c r="M23" s="17"/>
    </row>
    <row r="24" spans="2:13" x14ac:dyDescent="0.25">
      <c r="B24" s="10" t="s">
        <v>16</v>
      </c>
      <c r="C24" s="6"/>
      <c r="D24" s="11"/>
      <c r="E24" s="145"/>
      <c r="F24" s="173"/>
      <c r="G24" s="147"/>
      <c r="H24" s="58"/>
      <c r="I24" s="117"/>
      <c r="J24" s="146"/>
      <c r="K24" s="13"/>
      <c r="M24" s="17"/>
    </row>
    <row r="25" spans="2:13" x14ac:dyDescent="0.25">
      <c r="B25" s="15" t="s">
        <v>8</v>
      </c>
      <c r="C25" s="6" t="s">
        <v>9</v>
      </c>
      <c r="D25" s="2"/>
      <c r="E25" s="148"/>
      <c r="F25" s="144">
        <v>1.94</v>
      </c>
      <c r="G25" s="147"/>
      <c r="H25" s="58"/>
      <c r="I25" s="117"/>
      <c r="J25" s="205">
        <f>'Non-RRRP Rate Design'!H8</f>
        <v>2</v>
      </c>
      <c r="K25" s="13"/>
      <c r="M25" s="3">
        <f t="shared" ref="M25:M26" si="2">(J25-F25)/F25</f>
        <v>3.0927835051546421E-2</v>
      </c>
    </row>
    <row r="26" spans="2:13" x14ac:dyDescent="0.25">
      <c r="B26" s="15" t="s">
        <v>10</v>
      </c>
      <c r="C26" s="6" t="s">
        <v>11</v>
      </c>
      <c r="D26" s="4"/>
      <c r="E26" s="148"/>
      <c r="F26" s="143">
        <v>0.31290000000000001</v>
      </c>
      <c r="G26" s="147"/>
      <c r="H26" s="58"/>
      <c r="I26" s="117"/>
      <c r="J26" s="204">
        <f>'Non-RRRP Rate Design'!I8</f>
        <v>0.3226</v>
      </c>
      <c r="K26" s="13"/>
      <c r="M26" s="3">
        <f t="shared" si="2"/>
        <v>3.1000319590923572E-2</v>
      </c>
    </row>
    <row r="27" spans="2:13" x14ac:dyDescent="0.25">
      <c r="B27" s="15"/>
      <c r="C27" s="6"/>
      <c r="D27" s="11"/>
      <c r="E27" s="145"/>
      <c r="F27" s="173"/>
      <c r="G27" s="147"/>
      <c r="H27" s="58"/>
      <c r="I27" s="117"/>
      <c r="J27" s="146"/>
      <c r="K27" s="13"/>
      <c r="M27" s="17"/>
    </row>
    <row r="28" spans="2:13" ht="15.75" thickBot="1" x14ac:dyDescent="0.3">
      <c r="B28" s="18" t="s">
        <v>17</v>
      </c>
      <c r="C28" s="19" t="s">
        <v>9</v>
      </c>
      <c r="D28" s="20"/>
      <c r="E28" s="149"/>
      <c r="F28" s="141">
        <v>15547625</v>
      </c>
      <c r="G28" s="150"/>
      <c r="H28" s="118"/>
      <c r="I28" s="119"/>
      <c r="J28" s="206">
        <f>'RRRP Rate Design'!M19</f>
        <v>16490664.299753267</v>
      </c>
      <c r="K28" s="21"/>
      <c r="M28" s="3">
        <f>(J28-F28)/F28</f>
        <v>6.0654878140762161E-2</v>
      </c>
    </row>
  </sheetData>
  <mergeCells count="13">
    <mergeCell ref="B6:D6"/>
    <mergeCell ref="E6:G6"/>
    <mergeCell ref="I6:K6"/>
    <mergeCell ref="E7:G7"/>
    <mergeCell ref="I7:K7"/>
    <mergeCell ref="B2:K2"/>
    <mergeCell ref="B4:D4"/>
    <mergeCell ref="E4:G4"/>
    <mergeCell ref="I4:K4"/>
    <mergeCell ref="M4:M5"/>
    <mergeCell ref="B5:D5"/>
    <mergeCell ref="E5:G5"/>
    <mergeCell ref="I5:K5"/>
  </mergeCells>
  <pageMargins left="0.7" right="0.7" top="0.75" bottom="0.75" header="0.3" footer="0.3"/>
  <pageSetup scale="7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2B4982-61F9-4BF2-A139-8D79528AD383}">
  <sheetPr>
    <tabColor theme="8" tint="0.79998168889431442"/>
    <pageSetUpPr fitToPage="1"/>
  </sheetPr>
  <dimension ref="B2:F12"/>
  <sheetViews>
    <sheetView showGridLines="0" workbookViewId="0"/>
  </sheetViews>
  <sheetFormatPr defaultRowHeight="15" x14ac:dyDescent="0.25"/>
  <cols>
    <col min="1" max="1" width="2.85546875" customWidth="1"/>
    <col min="2" max="2" width="15" customWidth="1"/>
    <col min="3" max="3" width="14.140625" customWidth="1"/>
    <col min="4" max="4" width="10.28515625" bestFit="1" customWidth="1"/>
    <col min="5" max="5" width="12.140625" customWidth="1"/>
    <col min="6" max="6" width="11.7109375" customWidth="1"/>
  </cols>
  <sheetData>
    <row r="2" spans="2:6" ht="15.75" thickBot="1" x14ac:dyDescent="0.3"/>
    <row r="3" spans="2:6" x14ac:dyDescent="0.25">
      <c r="B3" s="240" t="s">
        <v>88</v>
      </c>
      <c r="C3" s="241"/>
      <c r="D3" s="241"/>
      <c r="E3" s="241"/>
      <c r="F3" s="242"/>
    </row>
    <row r="4" spans="2:6" ht="15.75" thickBot="1" x14ac:dyDescent="0.3">
      <c r="B4" s="243"/>
      <c r="C4" s="244"/>
      <c r="D4" s="244"/>
      <c r="E4" s="244"/>
      <c r="F4" s="245"/>
    </row>
    <row r="5" spans="2:6" ht="51" x14ac:dyDescent="0.25">
      <c r="B5" s="109"/>
      <c r="C5" s="110" t="s">
        <v>92</v>
      </c>
      <c r="D5" s="110" t="s">
        <v>87</v>
      </c>
      <c r="E5" s="110" t="s">
        <v>90</v>
      </c>
      <c r="F5" s="111" t="s">
        <v>89</v>
      </c>
    </row>
    <row r="6" spans="2:6" x14ac:dyDescent="0.25">
      <c r="B6" s="15" t="s">
        <v>40</v>
      </c>
      <c r="C6" s="114">
        <v>16904988.472834036</v>
      </c>
      <c r="D6" s="114">
        <v>328511.99052853708</v>
      </c>
      <c r="E6" s="114">
        <v>17362030.650583163</v>
      </c>
      <c r="F6" s="113">
        <f>(D6+E6)/C6</f>
        <v>1.046468778700443</v>
      </c>
    </row>
    <row r="7" spans="2:6" x14ac:dyDescent="0.25">
      <c r="B7" s="15" t="s">
        <v>13</v>
      </c>
      <c r="C7" s="114">
        <v>5043434.3676901637</v>
      </c>
      <c r="D7" s="114">
        <v>83044.070069468231</v>
      </c>
      <c r="E7" s="114">
        <v>4634806.1194622787</v>
      </c>
      <c r="F7" s="113">
        <f t="shared" ref="F7:F9" si="0">(D7+E7)/C7</f>
        <v>0.93544395457107332</v>
      </c>
    </row>
    <row r="8" spans="2:6" x14ac:dyDescent="0.25">
      <c r="B8" s="15" t="s">
        <v>15</v>
      </c>
      <c r="C8" s="114">
        <v>3391922.3985712621</v>
      </c>
      <c r="D8" s="114">
        <v>72715.982014777779</v>
      </c>
      <c r="E8" s="114">
        <v>2825242.8631995791</v>
      </c>
      <c r="F8" s="113">
        <f t="shared" si="0"/>
        <v>0.8543706207533015</v>
      </c>
    </row>
    <row r="9" spans="2:6" x14ac:dyDescent="0.25">
      <c r="B9" s="15" t="s">
        <v>16</v>
      </c>
      <c r="C9" s="114">
        <v>169967.81619938929</v>
      </c>
      <c r="D9" s="114">
        <v>4518.7973872169614</v>
      </c>
      <c r="E9" s="114">
        <v>199442.58204983751</v>
      </c>
      <c r="F9" s="113">
        <f t="shared" si="0"/>
        <v>1.1999999999869819</v>
      </c>
    </row>
    <row r="10" spans="2:6" ht="15.75" thickBot="1" x14ac:dyDescent="0.3">
      <c r="B10" s="34" t="s">
        <v>42</v>
      </c>
      <c r="C10" s="36">
        <f>SUM(C6:C9)</f>
        <v>25510313.055294853</v>
      </c>
      <c r="D10" s="36">
        <f>SUM(D6:D9)</f>
        <v>488790.84</v>
      </c>
      <c r="E10" s="36">
        <f>SUM(E6:E9)</f>
        <v>25021522.21529486</v>
      </c>
      <c r="F10" s="115"/>
    </row>
    <row r="12" spans="2:6" x14ac:dyDescent="0.25">
      <c r="F12" s="112"/>
    </row>
  </sheetData>
  <mergeCells count="1">
    <mergeCell ref="B3:F4"/>
  </mergeCells>
  <pageMargins left="0.7" right="0.7" top="0.75" bottom="0.75" header="0.3" footer="0.3"/>
  <pageSetup scale="9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D051E-3CEA-4204-B586-D4F1E2FC840E}">
  <sheetPr>
    <tabColor theme="8" tint="0.79998168889431442"/>
    <pageSetUpPr fitToPage="1"/>
  </sheetPr>
  <dimension ref="B2:N16"/>
  <sheetViews>
    <sheetView showGridLines="0" workbookViewId="0"/>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1.85546875" bestFit="1" customWidth="1"/>
  </cols>
  <sheetData>
    <row r="2" spans="2:14" ht="15.75" thickBot="1" x14ac:dyDescent="0.3"/>
    <row r="3" spans="2:14" ht="31.5" customHeight="1" x14ac:dyDescent="0.25">
      <c r="B3" s="246" t="s">
        <v>43</v>
      </c>
      <c r="C3" s="247"/>
      <c r="D3" s="247"/>
      <c r="E3" s="247"/>
      <c r="F3" s="247"/>
      <c r="G3" s="247"/>
      <c r="H3" s="247"/>
      <c r="I3" s="247"/>
      <c r="J3" s="247"/>
      <c r="K3" s="247"/>
      <c r="L3" s="247"/>
      <c r="M3" s="247"/>
      <c r="N3" s="248"/>
    </row>
    <row r="4" spans="2:14" x14ac:dyDescent="0.25">
      <c r="B4" s="249" t="s">
        <v>41</v>
      </c>
      <c r="C4" s="250"/>
      <c r="D4" s="250"/>
      <c r="E4" s="250"/>
      <c r="F4" s="250"/>
      <c r="G4" s="250"/>
      <c r="H4" s="250"/>
      <c r="I4" s="250"/>
      <c r="J4" s="250"/>
      <c r="K4" s="250"/>
      <c r="L4" s="250"/>
      <c r="M4" s="250"/>
      <c r="N4" s="251"/>
    </row>
    <row r="5" spans="2:14" ht="15" customHeight="1" x14ac:dyDescent="0.25">
      <c r="B5" s="252" t="s">
        <v>26</v>
      </c>
      <c r="C5" s="254" t="s">
        <v>6</v>
      </c>
      <c r="D5" s="256" t="s">
        <v>27</v>
      </c>
      <c r="E5" s="258" t="s">
        <v>28</v>
      </c>
      <c r="F5" s="259"/>
      <c r="G5" s="258" t="s">
        <v>29</v>
      </c>
      <c r="H5" s="259"/>
      <c r="I5" s="258" t="s">
        <v>30</v>
      </c>
      <c r="J5" s="259"/>
      <c r="K5" s="258" t="s">
        <v>31</v>
      </c>
      <c r="L5" s="250"/>
      <c r="M5" s="250"/>
      <c r="N5" s="251"/>
    </row>
    <row r="6" spans="2:14" ht="60" x14ac:dyDescent="0.25">
      <c r="B6" s="253"/>
      <c r="C6" s="255"/>
      <c r="D6" s="257"/>
      <c r="E6" s="46" t="s">
        <v>32</v>
      </c>
      <c r="F6" s="46" t="s">
        <v>33</v>
      </c>
      <c r="G6" s="47" t="s">
        <v>34</v>
      </c>
      <c r="H6" s="47" t="s">
        <v>35</v>
      </c>
      <c r="I6" s="47" t="s">
        <v>8</v>
      </c>
      <c r="J6" s="47" t="s">
        <v>36</v>
      </c>
      <c r="K6" s="47" t="s">
        <v>37</v>
      </c>
      <c r="L6" s="47" t="s">
        <v>38</v>
      </c>
      <c r="M6" s="47" t="s">
        <v>44</v>
      </c>
      <c r="N6" s="48" t="s">
        <v>45</v>
      </c>
    </row>
    <row r="7" spans="2:14" x14ac:dyDescent="0.25">
      <c r="B7" s="49" t="s">
        <v>40</v>
      </c>
      <c r="C7" s="6" t="s">
        <v>32</v>
      </c>
      <c r="D7" s="41">
        <v>9112.8451064303372</v>
      </c>
      <c r="E7" s="38">
        <v>113337066.328181</v>
      </c>
      <c r="F7" s="37"/>
      <c r="G7" s="52">
        <v>0.64118373052413569</v>
      </c>
      <c r="H7" s="53">
        <f>1-G7</f>
        <v>0.35881626947586431</v>
      </c>
      <c r="I7" s="39">
        <v>101.8</v>
      </c>
      <c r="J7" s="40">
        <v>5.5E-2</v>
      </c>
      <c r="K7" s="29">
        <f>D7*I7*12</f>
        <v>11132251.582015298</v>
      </c>
      <c r="L7" s="29">
        <f>E7*J7</f>
        <v>6233538.6480499553</v>
      </c>
      <c r="M7" s="37"/>
      <c r="N7" s="30">
        <f>SUM(K7:M7)</f>
        <v>17365790.230065253</v>
      </c>
    </row>
    <row r="8" spans="2:14" x14ac:dyDescent="0.25">
      <c r="B8" s="49" t="s">
        <v>13</v>
      </c>
      <c r="C8" s="6" t="s">
        <v>33</v>
      </c>
      <c r="D8" s="41">
        <v>37.282220262380214</v>
      </c>
      <c r="E8" s="37"/>
      <c r="F8" s="38">
        <v>248604.90668572392</v>
      </c>
      <c r="G8" s="52">
        <v>0.12009672583040554</v>
      </c>
      <c r="H8" s="53">
        <f t="shared" ref="H8:H10" si="0">1-G8</f>
        <v>0.87990327416959446</v>
      </c>
      <c r="I8" s="39">
        <v>1244.17</v>
      </c>
      <c r="J8" s="40">
        <v>16.8475</v>
      </c>
      <c r="K8" s="29">
        <f t="shared" ref="K8:K10" si="1">D8*I8*12</f>
        <v>556625.03980614711</v>
      </c>
      <c r="L8" s="29">
        <f>F8*J8</f>
        <v>4188371.1653877338</v>
      </c>
      <c r="M8" s="38">
        <v>-110187.67683102925</v>
      </c>
      <c r="N8" s="30">
        <f t="shared" ref="N8:N10" si="2">SUM(K8:M8)</f>
        <v>4634808.5283628516</v>
      </c>
    </row>
    <row r="9" spans="2:14" x14ac:dyDescent="0.25">
      <c r="B9" s="49" t="s">
        <v>15</v>
      </c>
      <c r="C9" s="6" t="s">
        <v>32</v>
      </c>
      <c r="D9" s="41">
        <v>2960.1858518389645</v>
      </c>
      <c r="E9" s="38">
        <v>5874372.3645382812</v>
      </c>
      <c r="F9" s="37"/>
      <c r="G9" s="52">
        <v>0.68900916148665659</v>
      </c>
      <c r="H9" s="53">
        <f t="shared" si="0"/>
        <v>0.31099083851334341</v>
      </c>
      <c r="I9" s="39">
        <v>54.8</v>
      </c>
      <c r="J9" s="40">
        <v>0.14960000000000001</v>
      </c>
      <c r="K9" s="29">
        <f t="shared" si="1"/>
        <v>1946618.2161693028</v>
      </c>
      <c r="L9" s="29">
        <f t="shared" ref="L9:L10" si="3">E9*J9</f>
        <v>878806.10573492688</v>
      </c>
      <c r="M9" s="37"/>
      <c r="N9" s="30">
        <f t="shared" si="2"/>
        <v>2825424.3219042299</v>
      </c>
    </row>
    <row r="10" spans="2:14" x14ac:dyDescent="0.25">
      <c r="B10" s="49" t="s">
        <v>16</v>
      </c>
      <c r="C10" s="6" t="s">
        <v>32</v>
      </c>
      <c r="D10" s="41">
        <v>1127.6033016645551</v>
      </c>
      <c r="E10" s="38">
        <v>581104.4520676051</v>
      </c>
      <c r="F10" s="37"/>
      <c r="G10" s="52">
        <v>0.12619223755769352</v>
      </c>
      <c r="H10" s="53">
        <f t="shared" si="0"/>
        <v>0.87380776244230651</v>
      </c>
      <c r="I10" s="39">
        <v>1.86</v>
      </c>
      <c r="J10" s="40">
        <v>0.2999</v>
      </c>
      <c r="K10" s="29">
        <f t="shared" si="1"/>
        <v>25168.105693152873</v>
      </c>
      <c r="L10" s="29">
        <f t="shared" si="3"/>
        <v>174273.22517507477</v>
      </c>
      <c r="M10" s="37"/>
      <c r="N10" s="30">
        <f t="shared" si="2"/>
        <v>199441.33086822764</v>
      </c>
    </row>
    <row r="11" spans="2:14" s="1" customFormat="1" ht="15.75" thickBot="1" x14ac:dyDescent="0.3">
      <c r="B11" s="34" t="s">
        <v>42</v>
      </c>
      <c r="C11" s="35"/>
      <c r="D11" s="36">
        <f>SUM(D7:D10)</f>
        <v>13237.91648019624</v>
      </c>
      <c r="E11" s="35"/>
      <c r="F11" s="35"/>
      <c r="G11" s="35"/>
      <c r="H11" s="35"/>
      <c r="I11" s="35"/>
      <c r="J11" s="35"/>
      <c r="K11" s="54">
        <f>SUM(K7:K10)</f>
        <v>13660662.9436839</v>
      </c>
      <c r="L11" s="54">
        <f>SUM(L7:L10)</f>
        <v>11474989.144347692</v>
      </c>
      <c r="M11" s="54">
        <f>SUM(M7:M10)</f>
        <v>-110187.67683102925</v>
      </c>
      <c r="N11" s="55">
        <f>SUM(N7:N10)</f>
        <v>25025464.411200564</v>
      </c>
    </row>
    <row r="13" spans="2:14" x14ac:dyDescent="0.25">
      <c r="K13" t="s">
        <v>46</v>
      </c>
      <c r="L13" s="32"/>
      <c r="M13" s="32"/>
      <c r="N13" s="43">
        <v>25021522.215294853</v>
      </c>
    </row>
    <row r="15" spans="2:14" x14ac:dyDescent="0.25">
      <c r="K15" t="s">
        <v>47</v>
      </c>
      <c r="N15" s="44">
        <f>N11-N13</f>
        <v>3942.1959057115018</v>
      </c>
    </row>
    <row r="16" spans="2:14" x14ac:dyDescent="0.25">
      <c r="K16" t="s">
        <v>48</v>
      </c>
      <c r="N16" s="45">
        <f>N15/N13</f>
        <v>1.5755220133256977E-4</v>
      </c>
    </row>
  </sheetData>
  <mergeCells count="9">
    <mergeCell ref="B3:N3"/>
    <mergeCell ref="B4:N4"/>
    <mergeCell ref="B5:B6"/>
    <mergeCell ref="C5:C6"/>
    <mergeCell ref="D5:D6"/>
    <mergeCell ref="E5:F5"/>
    <mergeCell ref="G5:H5"/>
    <mergeCell ref="I5:J5"/>
    <mergeCell ref="K5:N5"/>
  </mergeCells>
  <pageMargins left="0.7" right="0.7" top="0.75" bottom="0.75" header="0.3" footer="0.3"/>
  <pageSetup scale="63"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A42D4-51B4-48E3-8F1C-FF7356E430DE}">
  <sheetPr>
    <tabColor theme="9" tint="0.79998168889431442"/>
    <pageSetUpPr fitToPage="1"/>
  </sheetPr>
  <dimension ref="A2:R26"/>
  <sheetViews>
    <sheetView showGridLines="0" zoomScaleNormal="100" workbookViewId="0">
      <selection activeCell="T17" sqref="T17"/>
    </sheetView>
  </sheetViews>
  <sheetFormatPr defaultColWidth="9.140625" defaultRowHeight="15" x14ac:dyDescent="0.25"/>
  <cols>
    <col min="1" max="1" width="2.85546875" customWidth="1"/>
    <col min="2" max="2" width="19.85546875" customWidth="1"/>
    <col min="3" max="3" width="6.28515625" customWidth="1"/>
    <col min="4" max="4" width="10.140625" customWidth="1"/>
    <col min="5" max="5" width="12.7109375" bestFit="1" customWidth="1"/>
    <col min="6" max="6" width="9" bestFit="1" customWidth="1"/>
    <col min="7" max="8" width="8.85546875" bestFit="1" customWidth="1"/>
    <col min="9" max="9" width="9.140625" bestFit="1" customWidth="1"/>
    <col min="10" max="10" width="11.140625" bestFit="1" customWidth="1"/>
    <col min="11" max="11" width="11.7109375" bestFit="1" customWidth="1"/>
    <col min="12" max="12" width="12.140625" bestFit="1" customWidth="1"/>
    <col min="13" max="13" width="14.140625" bestFit="1" customWidth="1"/>
    <col min="14" max="14" width="3.85546875" customWidth="1"/>
    <col min="15" max="15" width="8.7109375" style="106" customWidth="1"/>
  </cols>
  <sheetData>
    <row r="2" spans="2:18" ht="15.75" x14ac:dyDescent="0.25">
      <c r="B2" s="213" t="s">
        <v>114</v>
      </c>
      <c r="C2" s="213"/>
      <c r="D2" s="213"/>
      <c r="E2" s="213"/>
      <c r="F2" s="213"/>
      <c r="G2" s="213"/>
      <c r="H2" s="213"/>
      <c r="I2" s="213"/>
      <c r="J2" s="213"/>
      <c r="K2" s="213"/>
      <c r="L2" s="213"/>
      <c r="M2" s="213"/>
    </row>
    <row r="3" spans="2:18" ht="16.5" thickBot="1" x14ac:dyDescent="0.3">
      <c r="B3" s="61"/>
      <c r="C3" s="61"/>
      <c r="D3" s="61"/>
      <c r="E3" s="61"/>
      <c r="F3" s="61"/>
      <c r="G3" s="61"/>
      <c r="H3" s="61"/>
      <c r="I3" s="61"/>
      <c r="J3" s="61"/>
      <c r="K3" s="61"/>
      <c r="L3" s="61"/>
      <c r="M3" s="62"/>
    </row>
    <row r="4" spans="2:18" x14ac:dyDescent="0.25">
      <c r="B4" s="265" t="s">
        <v>64</v>
      </c>
      <c r="C4" s="266"/>
      <c r="D4" s="266"/>
      <c r="E4" s="266"/>
      <c r="F4" s="266"/>
      <c r="G4" s="266"/>
      <c r="H4" s="266"/>
      <c r="I4" s="266"/>
      <c r="J4" s="266"/>
      <c r="K4" s="66" t="s">
        <v>61</v>
      </c>
      <c r="L4" s="66" t="s">
        <v>62</v>
      </c>
      <c r="M4" s="67" t="s">
        <v>63</v>
      </c>
      <c r="O4" s="107" t="s">
        <v>85</v>
      </c>
    </row>
    <row r="5" spans="2:18" x14ac:dyDescent="0.25">
      <c r="B5" s="267" t="s">
        <v>128</v>
      </c>
      <c r="C5" s="268"/>
      <c r="D5" s="268"/>
      <c r="E5" s="268"/>
      <c r="F5" s="268"/>
      <c r="G5" s="268"/>
      <c r="H5" s="268"/>
      <c r="I5" s="268"/>
      <c r="J5" s="268"/>
      <c r="K5" s="133">
        <f>'Indexed Revenue'!O5</f>
        <v>18681741.889508907</v>
      </c>
      <c r="L5" s="133">
        <f>'Indexed Revenue'!O6</f>
        <v>4986026.8658700744</v>
      </c>
      <c r="M5" s="131">
        <f>SUM(K5:L5)</f>
        <v>23667768.75537898</v>
      </c>
      <c r="P5" t="s">
        <v>61</v>
      </c>
      <c r="Q5" t="s">
        <v>62</v>
      </c>
    </row>
    <row r="6" spans="2:18" x14ac:dyDescent="0.25">
      <c r="B6" s="267" t="s">
        <v>137</v>
      </c>
      <c r="C6" s="268"/>
      <c r="D6" s="268"/>
      <c r="E6" s="268"/>
      <c r="F6" s="268"/>
      <c r="G6" s="268"/>
      <c r="H6" s="268"/>
      <c r="I6" s="268"/>
      <c r="J6" s="268"/>
      <c r="K6" s="154">
        <f>P6+P7</f>
        <v>1148638</v>
      </c>
      <c r="L6" s="154">
        <f>Q6+Q7</f>
        <v>306532</v>
      </c>
      <c r="M6" s="131">
        <f>SUM(K6:L6)</f>
        <v>1455170</v>
      </c>
      <c r="O6" s="106">
        <v>1</v>
      </c>
      <c r="P6" s="154">
        <v>759331</v>
      </c>
      <c r="Q6" s="154">
        <v>202632</v>
      </c>
      <c r="R6" t="s">
        <v>134</v>
      </c>
    </row>
    <row r="7" spans="2:18" ht="15.75" thickBot="1" x14ac:dyDescent="0.3">
      <c r="B7" s="269" t="s">
        <v>42</v>
      </c>
      <c r="C7" s="270"/>
      <c r="D7" s="270"/>
      <c r="E7" s="270"/>
      <c r="F7" s="270"/>
      <c r="G7" s="270"/>
      <c r="H7" s="270"/>
      <c r="I7" s="270"/>
      <c r="J7" s="271"/>
      <c r="K7" s="132">
        <f>SUM(K5:K6)</f>
        <v>19830379.889508907</v>
      </c>
      <c r="L7" s="132">
        <f>SUM(L5:L6)</f>
        <v>5292558.8658700744</v>
      </c>
      <c r="M7" s="132">
        <f>SUM(M5:M6)</f>
        <v>25122938.75537898</v>
      </c>
      <c r="P7" s="154">
        <v>389307</v>
      </c>
      <c r="Q7" s="154">
        <v>103900</v>
      </c>
      <c r="R7" t="s">
        <v>136</v>
      </c>
    </row>
    <row r="8" spans="2:18" ht="15.75" thickBot="1" x14ac:dyDescent="0.3">
      <c r="B8" s="58"/>
      <c r="C8" s="58"/>
      <c r="D8" s="58"/>
      <c r="E8" s="58"/>
      <c r="F8" s="58"/>
      <c r="G8" s="58"/>
      <c r="H8" s="58"/>
      <c r="I8" s="58"/>
      <c r="J8" s="58"/>
      <c r="K8" s="58"/>
      <c r="L8" s="58"/>
      <c r="M8" s="58"/>
      <c r="P8" s="45"/>
      <c r="Q8" s="45"/>
    </row>
    <row r="9" spans="2:18" x14ac:dyDescent="0.25">
      <c r="B9" s="272" t="s">
        <v>116</v>
      </c>
      <c r="C9" s="273"/>
      <c r="D9" s="273"/>
      <c r="E9" s="273"/>
      <c r="F9" s="273"/>
      <c r="G9" s="273"/>
      <c r="H9" s="273"/>
      <c r="I9" s="273"/>
      <c r="J9" s="273"/>
      <c r="K9" s="273"/>
      <c r="L9" s="273"/>
      <c r="M9" s="274"/>
    </row>
    <row r="10" spans="2:18" x14ac:dyDescent="0.25">
      <c r="B10" s="275" t="s">
        <v>54</v>
      </c>
      <c r="C10" s="276"/>
      <c r="D10" s="276"/>
      <c r="E10" s="276"/>
      <c r="F10" s="276"/>
      <c r="G10" s="276"/>
      <c r="H10" s="276"/>
      <c r="I10" s="276"/>
      <c r="J10" s="276"/>
      <c r="K10" s="276"/>
      <c r="L10" s="276"/>
      <c r="M10" s="277"/>
      <c r="P10" s="187"/>
      <c r="Q10" s="187"/>
    </row>
    <row r="11" spans="2:18" x14ac:dyDescent="0.25">
      <c r="B11" s="278" t="s">
        <v>135</v>
      </c>
      <c r="C11" s="279"/>
      <c r="D11" s="279"/>
      <c r="E11" s="279"/>
      <c r="F11" s="279"/>
      <c r="G11" s="279"/>
      <c r="H11" s="279"/>
      <c r="I11" s="279"/>
      <c r="J11" s="279"/>
      <c r="K11" s="279"/>
      <c r="L11" s="280"/>
      <c r="M11" s="179">
        <v>3.1099999999999999E-2</v>
      </c>
      <c r="O11" s="106">
        <v>2</v>
      </c>
    </row>
    <row r="12" spans="2:18" x14ac:dyDescent="0.25">
      <c r="B12" s="281" t="s">
        <v>26</v>
      </c>
      <c r="C12" s="282" t="s">
        <v>6</v>
      </c>
      <c r="D12" s="283" t="s">
        <v>27</v>
      </c>
      <c r="E12" s="276" t="s">
        <v>28</v>
      </c>
      <c r="F12" s="276"/>
      <c r="G12" s="276" t="s">
        <v>29</v>
      </c>
      <c r="H12" s="276"/>
      <c r="I12" s="276" t="s">
        <v>30</v>
      </c>
      <c r="J12" s="276"/>
      <c r="K12" s="276" t="s">
        <v>59</v>
      </c>
      <c r="L12" s="276"/>
      <c r="M12" s="277"/>
    </row>
    <row r="13" spans="2:18" ht="38.25" x14ac:dyDescent="0.25">
      <c r="B13" s="281"/>
      <c r="C13" s="282"/>
      <c r="D13" s="284"/>
      <c r="E13" s="8" t="s">
        <v>32</v>
      </c>
      <c r="F13" s="8" t="s">
        <v>33</v>
      </c>
      <c r="G13" s="28" t="s">
        <v>34</v>
      </c>
      <c r="H13" s="28" t="s">
        <v>35</v>
      </c>
      <c r="I13" s="28" t="s">
        <v>8</v>
      </c>
      <c r="J13" s="28" t="s">
        <v>36</v>
      </c>
      <c r="K13" s="28" t="s">
        <v>37</v>
      </c>
      <c r="L13" s="28" t="s">
        <v>38</v>
      </c>
      <c r="M13" s="42" t="s">
        <v>39</v>
      </c>
    </row>
    <row r="14" spans="2:18" x14ac:dyDescent="0.25">
      <c r="B14" s="10" t="s">
        <v>55</v>
      </c>
      <c r="C14" s="136" t="s">
        <v>32</v>
      </c>
      <c r="D14" s="153">
        <v>8115.5292008802571</v>
      </c>
      <c r="E14" s="154">
        <v>84857055.570733279</v>
      </c>
      <c r="F14" s="155"/>
      <c r="G14" s="137">
        <f>K14/M14</f>
        <v>0.94248321149183212</v>
      </c>
      <c r="H14" s="137">
        <f>L14/M14</f>
        <v>5.7516788508167868E-2</v>
      </c>
      <c r="I14" s="157">
        <f>ROUND('Rate Summary'!F9*(1+M11),2)</f>
        <v>58.54</v>
      </c>
      <c r="J14" s="158">
        <f>ROUND('Rate Summary'!F10*(1+M11),4)</f>
        <v>4.1000000000000003E-3</v>
      </c>
      <c r="K14" s="133">
        <f>D14*I14*12</f>
        <v>5700996.9530343628</v>
      </c>
      <c r="L14" s="133">
        <f>E14*J14</f>
        <v>347913.92784000648</v>
      </c>
      <c r="M14" s="139">
        <f>SUM(K14:L14)</f>
        <v>6048910.8808743693</v>
      </c>
      <c r="O14" s="106" t="s">
        <v>86</v>
      </c>
    </row>
    <row r="15" spans="2:18" x14ac:dyDescent="0.25">
      <c r="B15" s="10" t="s">
        <v>56</v>
      </c>
      <c r="C15" s="136" t="s">
        <v>32</v>
      </c>
      <c r="D15" s="153">
        <v>997.31590555008074</v>
      </c>
      <c r="E15" s="154">
        <v>28480010.757447898</v>
      </c>
      <c r="F15" s="155"/>
      <c r="G15" s="137">
        <f t="shared" ref="G15:G16" si="0">K15/M15</f>
        <v>0.22990861283185554</v>
      </c>
      <c r="H15" s="137">
        <f t="shared" ref="H15:H16" si="1">L15/M15</f>
        <v>0.7700913871681444</v>
      </c>
      <c r="I15" s="157">
        <f>ROUND('Rate Summary'!F13*(1+M11),2)</f>
        <v>27.85</v>
      </c>
      <c r="J15" s="158">
        <f>ROUND('Rate Summary'!F14*(1+M11),4)</f>
        <v>3.9199999999999999E-2</v>
      </c>
      <c r="K15" s="133">
        <f>D15*I15*12</f>
        <v>333302.975634837</v>
      </c>
      <c r="L15" s="133">
        <f>E15*J15</f>
        <v>1116416.4216919576</v>
      </c>
      <c r="M15" s="139">
        <f t="shared" ref="M15:M16" si="2">SUM(K15:L15)</f>
        <v>1449719.3973267947</v>
      </c>
      <c r="O15" s="106">
        <v>3</v>
      </c>
    </row>
    <row r="16" spans="2:18" x14ac:dyDescent="0.25">
      <c r="B16" s="10" t="s">
        <v>13</v>
      </c>
      <c r="C16" s="136" t="s">
        <v>33</v>
      </c>
      <c r="D16" s="156">
        <f>'2020 COS Eq Rates and Revenue'!D8</f>
        <v>37.282220262380214</v>
      </c>
      <c r="E16" s="155"/>
      <c r="F16" s="138">
        <f>'2020 COS Eq Rates and Revenue'!F8</f>
        <v>248604.90668572392</v>
      </c>
      <c r="G16" s="137">
        <f t="shared" si="0"/>
        <v>0.2577820564581389</v>
      </c>
      <c r="H16" s="137">
        <f t="shared" si="1"/>
        <v>0.74221794354186099</v>
      </c>
      <c r="I16" s="159">
        <f>ROUND('Rate Summary'!F17*(1+M11),2)</f>
        <v>716.69</v>
      </c>
      <c r="J16" s="160">
        <f>ROUND('Rate Summary'!F18*(1+M11),4)</f>
        <v>3.7134999999999998</v>
      </c>
      <c r="K16" s="133">
        <f>D16*I16*12</f>
        <v>320637.53327814332</v>
      </c>
      <c r="L16" s="138">
        <f>F16*J16</f>
        <v>923194.3209774358</v>
      </c>
      <c r="M16" s="139">
        <f t="shared" si="2"/>
        <v>1243831.8542555792</v>
      </c>
    </row>
    <row r="17" spans="1:15" x14ac:dyDescent="0.25">
      <c r="B17" s="262" t="s">
        <v>60</v>
      </c>
      <c r="C17" s="263"/>
      <c r="D17" s="263"/>
      <c r="E17" s="263"/>
      <c r="F17" s="263"/>
      <c r="G17" s="263"/>
      <c r="H17" s="263"/>
      <c r="I17" s="263"/>
      <c r="J17" s="263"/>
      <c r="K17" s="263"/>
      <c r="L17" s="264"/>
      <c r="M17" s="139">
        <f>'2020 COS Eq Rates and Revenue'!M8</f>
        <v>-110187.67683102925</v>
      </c>
    </row>
    <row r="18" spans="1:15" x14ac:dyDescent="0.25">
      <c r="B18" s="120"/>
      <c r="C18" s="121"/>
      <c r="D18" s="121"/>
      <c r="E18" s="121"/>
      <c r="F18" s="121"/>
      <c r="G18" s="121"/>
      <c r="H18" s="121"/>
      <c r="I18" s="121"/>
      <c r="J18" s="121"/>
      <c r="K18" s="121"/>
      <c r="L18" s="121"/>
      <c r="M18" s="122"/>
    </row>
    <row r="19" spans="1:15" ht="15.75" thickBot="1" x14ac:dyDescent="0.3">
      <c r="B19" s="260" t="s">
        <v>115</v>
      </c>
      <c r="C19" s="261"/>
      <c r="D19" s="261"/>
      <c r="E19" s="261"/>
      <c r="F19" s="261"/>
      <c r="G19" s="261"/>
      <c r="H19" s="261"/>
      <c r="I19" s="261"/>
      <c r="J19" s="261"/>
      <c r="K19" s="261"/>
      <c r="L19" s="261"/>
      <c r="M19" s="64">
        <f>M7-SUM(M14:M17)</f>
        <v>16490664.299753267</v>
      </c>
      <c r="O19" s="108"/>
    </row>
    <row r="20" spans="1:15" x14ac:dyDescent="0.25">
      <c r="B20" s="58"/>
      <c r="C20" s="58"/>
      <c r="D20" s="58"/>
      <c r="E20" s="58"/>
      <c r="F20" s="58"/>
      <c r="G20" s="58"/>
      <c r="H20" s="58"/>
      <c r="I20" s="58"/>
      <c r="J20" s="58"/>
      <c r="K20" s="58"/>
      <c r="L20" s="123"/>
      <c r="M20" s="124"/>
    </row>
    <row r="21" spans="1:15" x14ac:dyDescent="0.25">
      <c r="B21" s="134" t="s">
        <v>57</v>
      </c>
      <c r="C21" s="58"/>
      <c r="D21" s="58"/>
      <c r="E21" s="58"/>
      <c r="F21" s="58"/>
      <c r="G21" s="58"/>
      <c r="H21" s="58"/>
      <c r="I21" s="58"/>
      <c r="J21" s="58"/>
      <c r="K21" s="58"/>
      <c r="L21" s="58"/>
      <c r="M21" s="58"/>
    </row>
    <row r="22" spans="1:15" x14ac:dyDescent="0.25">
      <c r="A22" s="5">
        <v>1</v>
      </c>
      <c r="B22" s="135" t="s">
        <v>138</v>
      </c>
      <c r="C22" s="58"/>
      <c r="D22" s="58"/>
      <c r="E22" s="58"/>
      <c r="F22" s="58"/>
      <c r="G22" s="58"/>
      <c r="H22" s="58"/>
      <c r="I22" s="58"/>
      <c r="J22" s="58"/>
      <c r="K22" s="58"/>
      <c r="L22" s="58"/>
      <c r="M22" s="171"/>
    </row>
    <row r="23" spans="1:15" x14ac:dyDescent="0.25">
      <c r="A23" s="5">
        <v>2</v>
      </c>
      <c r="B23" s="135" t="s">
        <v>99</v>
      </c>
      <c r="C23" s="58"/>
      <c r="D23" s="58"/>
      <c r="E23" s="58"/>
      <c r="F23" s="58"/>
      <c r="G23" s="58"/>
      <c r="H23" s="58"/>
      <c r="I23" s="58"/>
      <c r="J23" s="58"/>
      <c r="K23" s="58"/>
      <c r="L23" s="58"/>
      <c r="M23" s="125"/>
    </row>
    <row r="24" spans="1:15" x14ac:dyDescent="0.25">
      <c r="A24" s="5">
        <v>3</v>
      </c>
      <c r="B24" s="135" t="s">
        <v>58</v>
      </c>
      <c r="C24" s="58"/>
      <c r="D24" s="58"/>
      <c r="E24" s="58"/>
      <c r="F24" s="58"/>
      <c r="G24" s="58"/>
      <c r="H24" s="58"/>
      <c r="I24" s="58"/>
      <c r="J24" s="58"/>
      <c r="K24" s="58"/>
      <c r="L24" s="58"/>
      <c r="M24" s="58"/>
    </row>
    <row r="25" spans="1:15" x14ac:dyDescent="0.25">
      <c r="A25" s="5">
        <v>4</v>
      </c>
      <c r="B25" s="135" t="s">
        <v>104</v>
      </c>
      <c r="C25" s="58"/>
      <c r="D25" s="58"/>
      <c r="E25" s="58"/>
      <c r="F25" s="58"/>
      <c r="G25" s="58"/>
      <c r="H25" s="58"/>
      <c r="I25" s="58"/>
      <c r="J25" s="58"/>
      <c r="K25" s="58"/>
      <c r="L25" s="58"/>
      <c r="M25" s="125"/>
    </row>
    <row r="26" spans="1:15" x14ac:dyDescent="0.25">
      <c r="M26" s="65"/>
    </row>
  </sheetData>
  <mergeCells count="17">
    <mergeCell ref="B2:M2"/>
    <mergeCell ref="B9:M9"/>
    <mergeCell ref="B10:M10"/>
    <mergeCell ref="B11:L11"/>
    <mergeCell ref="B12:B13"/>
    <mergeCell ref="C12:C13"/>
    <mergeCell ref="D12:D13"/>
    <mergeCell ref="E12:F12"/>
    <mergeCell ref="G12:H12"/>
    <mergeCell ref="I12:J12"/>
    <mergeCell ref="K12:M12"/>
    <mergeCell ref="B19:L19"/>
    <mergeCell ref="B17:L17"/>
    <mergeCell ref="B4:J4"/>
    <mergeCell ref="B5:J5"/>
    <mergeCell ref="B6:J6"/>
    <mergeCell ref="B7:J7"/>
  </mergeCells>
  <pageMargins left="0.7" right="0.7" top="0.75" bottom="0.75" header="0.3" footer="0.3"/>
  <pageSetup scale="64"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EFDCB-1D57-4877-A04B-86BB3C798B19}">
  <sheetPr>
    <tabColor theme="9" tint="0.79998168889431442"/>
    <pageSetUpPr fitToPage="1"/>
  </sheetPr>
  <dimension ref="B3:P29"/>
  <sheetViews>
    <sheetView showGridLines="0" topLeftCell="A15" workbookViewId="0">
      <selection activeCell="M37" sqref="M37"/>
    </sheetView>
  </sheetViews>
  <sheetFormatPr defaultColWidth="9.140625" defaultRowHeight="15" x14ac:dyDescent="0.25"/>
  <cols>
    <col min="1" max="1" width="2.85546875" customWidth="1"/>
    <col min="2" max="2" width="16.28515625" customWidth="1"/>
    <col min="3" max="3" width="6.28515625" customWidth="1"/>
    <col min="4" max="4" width="10.140625" customWidth="1"/>
    <col min="5" max="5" width="12.85546875" bestFit="1" customWidth="1"/>
    <col min="6" max="6" width="9.140625" bestFit="1" customWidth="1"/>
    <col min="7" max="8" width="10.140625" bestFit="1" customWidth="1"/>
    <col min="9" max="9" width="9.7109375" bestFit="1" customWidth="1"/>
    <col min="10" max="10" width="9.140625" bestFit="1" customWidth="1"/>
    <col min="11" max="12" width="11.85546875" bestFit="1" customWidth="1"/>
    <col min="13" max="13" width="11.7109375" customWidth="1"/>
    <col min="14" max="14" width="11.85546875" bestFit="1" customWidth="1"/>
    <col min="15" max="15" width="10.140625" customWidth="1"/>
    <col min="16" max="16" width="12.85546875" customWidth="1"/>
  </cols>
  <sheetData>
    <row r="3" spans="2:14" x14ac:dyDescent="0.25">
      <c r="B3" s="249" t="s">
        <v>41</v>
      </c>
      <c r="C3" s="250"/>
      <c r="D3" s="250"/>
      <c r="E3" s="250"/>
      <c r="F3" s="250"/>
      <c r="G3" s="250"/>
      <c r="H3" s="250"/>
      <c r="I3" s="250"/>
      <c r="J3" s="250"/>
      <c r="K3" s="250"/>
      <c r="L3" s="250"/>
      <c r="M3" s="250"/>
      <c r="N3" s="251"/>
    </row>
    <row r="4" spans="2:14" ht="15" customHeight="1" x14ac:dyDescent="0.25">
      <c r="B4" s="252" t="s">
        <v>26</v>
      </c>
      <c r="C4" s="254" t="s">
        <v>6</v>
      </c>
      <c r="D4" s="256" t="s">
        <v>27</v>
      </c>
      <c r="E4" s="258" t="s">
        <v>28</v>
      </c>
      <c r="F4" s="259"/>
      <c r="G4" s="258" t="s">
        <v>29</v>
      </c>
      <c r="H4" s="259"/>
      <c r="I4" s="258" t="s">
        <v>30</v>
      </c>
      <c r="J4" s="259"/>
      <c r="K4" s="258" t="s">
        <v>31</v>
      </c>
      <c r="L4" s="250"/>
      <c r="M4" s="250"/>
      <c r="N4" s="251"/>
    </row>
    <row r="5" spans="2:14" ht="60" x14ac:dyDescent="0.25">
      <c r="B5" s="253"/>
      <c r="C5" s="255"/>
      <c r="D5" s="257"/>
      <c r="E5" s="46" t="s">
        <v>32</v>
      </c>
      <c r="F5" s="46" t="s">
        <v>33</v>
      </c>
      <c r="G5" s="47" t="s">
        <v>34</v>
      </c>
      <c r="H5" s="47" t="s">
        <v>35</v>
      </c>
      <c r="I5" s="47" t="s">
        <v>8</v>
      </c>
      <c r="J5" s="47" t="s">
        <v>36</v>
      </c>
      <c r="K5" s="47" t="s">
        <v>37</v>
      </c>
      <c r="L5" s="47" t="s">
        <v>38</v>
      </c>
      <c r="M5" s="47" t="s">
        <v>44</v>
      </c>
      <c r="N5" s="48" t="s">
        <v>45</v>
      </c>
    </row>
    <row r="6" spans="2:14" x14ac:dyDescent="0.25">
      <c r="B6" s="49" t="s">
        <v>40</v>
      </c>
      <c r="C6" s="6" t="s">
        <v>32</v>
      </c>
      <c r="D6" s="41">
        <v>9112.8451064303372</v>
      </c>
      <c r="E6" s="38">
        <v>113337066.328181</v>
      </c>
      <c r="F6" s="37"/>
      <c r="G6" s="52">
        <v>0.64118373052413569</v>
      </c>
      <c r="H6" s="53">
        <f>1-G6</f>
        <v>0.35881626947586431</v>
      </c>
      <c r="I6" s="39">
        <v>101.8</v>
      </c>
      <c r="J6" s="40">
        <v>5.5E-2</v>
      </c>
      <c r="K6" s="29">
        <f>D6*I6*12</f>
        <v>11132251.582015298</v>
      </c>
      <c r="L6" s="29">
        <f>E6*J6</f>
        <v>6233538.6480499553</v>
      </c>
      <c r="M6" s="37"/>
      <c r="N6" s="30">
        <f>SUM(K6:M6)</f>
        <v>17365790.230065253</v>
      </c>
    </row>
    <row r="7" spans="2:14" x14ac:dyDescent="0.25">
      <c r="B7" s="49" t="s">
        <v>13</v>
      </c>
      <c r="C7" s="6" t="s">
        <v>33</v>
      </c>
      <c r="D7" s="41">
        <v>37.282220262380214</v>
      </c>
      <c r="E7" s="37"/>
      <c r="F7" s="38">
        <v>248604.90668572392</v>
      </c>
      <c r="G7" s="52">
        <v>0.12009672583040554</v>
      </c>
      <c r="H7" s="53">
        <f t="shared" ref="H7:H9" si="0">1-G7</f>
        <v>0.87990327416959446</v>
      </c>
      <c r="I7" s="39">
        <v>1244.17</v>
      </c>
      <c r="J7" s="40">
        <v>16.8475</v>
      </c>
      <c r="K7" s="29">
        <f t="shared" ref="K7:K9" si="1">D7*I7*12</f>
        <v>556625.03980614711</v>
      </c>
      <c r="L7" s="29">
        <f>F7*J7</f>
        <v>4188371.1653877338</v>
      </c>
      <c r="M7" s="38">
        <v>-110187.67683102925</v>
      </c>
      <c r="N7" s="30">
        <f t="shared" ref="N7:N9" si="2">SUM(K7:M7)</f>
        <v>4634808.5283628516</v>
      </c>
    </row>
    <row r="8" spans="2:14" x14ac:dyDescent="0.25">
      <c r="B8" s="49" t="s">
        <v>15</v>
      </c>
      <c r="C8" s="6" t="s">
        <v>32</v>
      </c>
      <c r="D8" s="41">
        <v>2960.1858518389645</v>
      </c>
      <c r="E8" s="38">
        <v>5874372.3645382812</v>
      </c>
      <c r="F8" s="37"/>
      <c r="G8" s="52">
        <v>0.68900916148665659</v>
      </c>
      <c r="H8" s="53">
        <f t="shared" si="0"/>
        <v>0.31099083851334341</v>
      </c>
      <c r="I8" s="39">
        <v>54.8</v>
      </c>
      <c r="J8" s="40">
        <v>0.14960000000000001</v>
      </c>
      <c r="K8" s="29">
        <f t="shared" si="1"/>
        <v>1946618.2161693028</v>
      </c>
      <c r="L8" s="29">
        <f t="shared" ref="L8:L9" si="3">E8*J8</f>
        <v>878806.10573492688</v>
      </c>
      <c r="M8" s="37"/>
      <c r="N8" s="30">
        <f t="shared" si="2"/>
        <v>2825424.3219042299</v>
      </c>
    </row>
    <row r="9" spans="2:14" x14ac:dyDescent="0.25">
      <c r="B9" s="49" t="s">
        <v>16</v>
      </c>
      <c r="C9" s="6" t="s">
        <v>32</v>
      </c>
      <c r="D9" s="41">
        <v>1127.6033016645551</v>
      </c>
      <c r="E9" s="38">
        <v>581104.4520676051</v>
      </c>
      <c r="F9" s="37"/>
      <c r="G9" s="52">
        <v>0.12619223755769352</v>
      </c>
      <c r="H9" s="53">
        <f t="shared" si="0"/>
        <v>0.87380776244230651</v>
      </c>
      <c r="I9" s="39">
        <v>1.86</v>
      </c>
      <c r="J9" s="40">
        <v>0.2999</v>
      </c>
      <c r="K9" s="29">
        <f t="shared" si="1"/>
        <v>25168.105693152873</v>
      </c>
      <c r="L9" s="29">
        <f t="shared" si="3"/>
        <v>174273.22517507477</v>
      </c>
      <c r="M9" s="37"/>
      <c r="N9" s="30">
        <f t="shared" si="2"/>
        <v>199441.33086822764</v>
      </c>
    </row>
    <row r="10" spans="2:14" s="1" customFormat="1" ht="15.75" thickBot="1" x14ac:dyDescent="0.3">
      <c r="B10" s="34" t="s">
        <v>42</v>
      </c>
      <c r="C10" s="35"/>
      <c r="D10" s="36">
        <f>SUM(D6:D9)</f>
        <v>13237.91648019624</v>
      </c>
      <c r="E10" s="35"/>
      <c r="F10" s="35"/>
      <c r="G10" s="35"/>
      <c r="H10" s="35"/>
      <c r="I10" s="35"/>
      <c r="J10" s="35"/>
      <c r="K10" s="54">
        <f>SUM(K6:K9)</f>
        <v>13660662.9436839</v>
      </c>
      <c r="L10" s="54">
        <f>SUM(L6:L9)</f>
        <v>11474989.144347692</v>
      </c>
      <c r="M10" s="54">
        <f>SUM(M6:M9)</f>
        <v>-110187.67683102925</v>
      </c>
      <c r="N10" s="55">
        <f>SUM(N6:N9)</f>
        <v>25025464.411200564</v>
      </c>
    </row>
    <row r="12" spans="2:14" x14ac:dyDescent="0.25">
      <c r="B12" s="249" t="s">
        <v>106</v>
      </c>
      <c r="C12" s="250"/>
      <c r="D12" s="250"/>
      <c r="E12" s="250"/>
      <c r="F12" s="250"/>
      <c r="G12" s="250"/>
      <c r="H12" s="250"/>
      <c r="I12" s="250"/>
      <c r="J12" s="250"/>
      <c r="K12" s="250"/>
      <c r="L12" s="250"/>
      <c r="M12" s="250"/>
      <c r="N12" s="251"/>
    </row>
    <row r="13" spans="2:14" x14ac:dyDescent="0.25">
      <c r="B13" s="252" t="s">
        <v>26</v>
      </c>
      <c r="C13" s="254" t="s">
        <v>6</v>
      </c>
      <c r="D13" s="256" t="s">
        <v>27</v>
      </c>
      <c r="E13" s="258" t="s">
        <v>28</v>
      </c>
      <c r="F13" s="259"/>
      <c r="G13" s="258" t="s">
        <v>29</v>
      </c>
      <c r="H13" s="259"/>
      <c r="I13" s="258" t="s">
        <v>30</v>
      </c>
      <c r="J13" s="259"/>
      <c r="K13" s="258" t="s">
        <v>31</v>
      </c>
      <c r="L13" s="250"/>
      <c r="M13" s="250"/>
      <c r="N13" s="251"/>
    </row>
    <row r="14" spans="2:14" ht="60" x14ac:dyDescent="0.25">
      <c r="B14" s="253"/>
      <c r="C14" s="255"/>
      <c r="D14" s="257"/>
      <c r="E14" s="46" t="s">
        <v>32</v>
      </c>
      <c r="F14" s="46" t="s">
        <v>33</v>
      </c>
      <c r="G14" s="47" t="s">
        <v>34</v>
      </c>
      <c r="H14" s="47" t="s">
        <v>35</v>
      </c>
      <c r="I14" s="47" t="s">
        <v>8</v>
      </c>
      <c r="J14" s="47" t="s">
        <v>36</v>
      </c>
      <c r="K14" s="47" t="s">
        <v>37</v>
      </c>
      <c r="L14" s="47" t="s">
        <v>38</v>
      </c>
      <c r="M14" s="47" t="s">
        <v>44</v>
      </c>
      <c r="N14" s="48" t="s">
        <v>45</v>
      </c>
    </row>
    <row r="15" spans="2:14" x14ac:dyDescent="0.25">
      <c r="B15" s="49" t="s">
        <v>40</v>
      </c>
      <c r="C15" s="6" t="s">
        <v>32</v>
      </c>
      <c r="D15" s="41">
        <v>9112.8451064303372</v>
      </c>
      <c r="E15" s="38">
        <v>113337066.328181</v>
      </c>
      <c r="F15" s="37"/>
      <c r="G15" s="52">
        <f>K15/$N15</f>
        <v>0.64104491845940414</v>
      </c>
      <c r="H15" s="53">
        <f>1-G15</f>
        <v>0.35895508154059586</v>
      </c>
      <c r="I15" s="39">
        <f>(K15/12)/D15</f>
        <v>103.42879999999998</v>
      </c>
      <c r="J15" s="170">
        <f>(L15)/E15</f>
        <v>5.5880000000000006E-2</v>
      </c>
      <c r="K15" s="29">
        <f>'Indexed Revenue'!C5</f>
        <v>11310367.607327543</v>
      </c>
      <c r="L15" s="29">
        <f>'Indexed Revenue'!D5</f>
        <v>6333275.2664187551</v>
      </c>
      <c r="M15" s="37"/>
      <c r="N15" s="30">
        <f>SUM(K15:M15)</f>
        <v>17643642.873746298</v>
      </c>
    </row>
    <row r="16" spans="2:14" x14ac:dyDescent="0.25">
      <c r="B16" s="49" t="s">
        <v>13</v>
      </c>
      <c r="C16" s="6" t="s">
        <v>33</v>
      </c>
      <c r="D16" s="41">
        <v>37.282220262380214</v>
      </c>
      <c r="E16" s="37"/>
      <c r="F16" s="38">
        <v>248604.90668572392</v>
      </c>
      <c r="G16" s="52">
        <f t="shared" ref="G16:G17" si="4">K16/$N16</f>
        <v>0.12297420456376547</v>
      </c>
      <c r="H16" s="53">
        <f t="shared" ref="H16:H18" si="5">1-G16</f>
        <v>0.87702579543623449</v>
      </c>
      <c r="I16" s="39">
        <f t="shared" ref="I16:I17" si="6">(K16/12)/D16</f>
        <v>1264.07672</v>
      </c>
      <c r="J16" s="170">
        <f>(L16)/F16</f>
        <v>16.666744351959114</v>
      </c>
      <c r="K16" s="29">
        <f>'Indexed Revenue'!C6</f>
        <v>565531.04044304544</v>
      </c>
      <c r="L16" s="29">
        <f>'Indexed Revenue'!D6</f>
        <v>4143434.4243736118</v>
      </c>
      <c r="M16" s="38">
        <v>-110187.67683102925</v>
      </c>
      <c r="N16" s="30">
        <f t="shared" ref="N16:N18" si="7">SUM(K16:M16)</f>
        <v>4598777.7879856275</v>
      </c>
    </row>
    <row r="17" spans="2:16" x14ac:dyDescent="0.25">
      <c r="B17" s="49" t="s">
        <v>15</v>
      </c>
      <c r="C17" s="6" t="s">
        <v>32</v>
      </c>
      <c r="D17" s="41">
        <v>2960.1858518389645</v>
      </c>
      <c r="E17" s="38">
        <v>5874372.3645382812</v>
      </c>
      <c r="F17" s="37"/>
      <c r="G17" s="52">
        <f t="shared" si="4"/>
        <v>0.68896491089074918</v>
      </c>
      <c r="H17" s="53">
        <f t="shared" si="5"/>
        <v>0.31103508910925082</v>
      </c>
      <c r="I17" s="39">
        <f t="shared" si="6"/>
        <v>55.676799999999993</v>
      </c>
      <c r="J17" s="170">
        <f t="shared" ref="J17:J18" si="8">(L17)/E17</f>
        <v>0.15199360000000001</v>
      </c>
      <c r="K17" s="29">
        <f>'Indexed Revenue'!C7</f>
        <v>1977764.1076280116</v>
      </c>
      <c r="L17" s="29">
        <f>'Indexed Revenue'!D7</f>
        <v>892867.0034266857</v>
      </c>
      <c r="M17" s="37"/>
      <c r="N17" s="30">
        <f t="shared" si="7"/>
        <v>2870631.1110546971</v>
      </c>
    </row>
    <row r="18" spans="2:16" x14ac:dyDescent="0.25">
      <c r="B18" s="49" t="s">
        <v>16</v>
      </c>
      <c r="C18" s="6" t="s">
        <v>32</v>
      </c>
      <c r="D18" s="41">
        <v>1127.6033016645551</v>
      </c>
      <c r="E18" s="38">
        <v>581104.4520676051</v>
      </c>
      <c r="F18" s="37"/>
      <c r="G18" s="52">
        <f>K18/$N18</f>
        <v>0.12619302921610381</v>
      </c>
      <c r="H18" s="53">
        <f t="shared" si="5"/>
        <v>0.87380697078389624</v>
      </c>
      <c r="I18" s="39">
        <f>(K18/12)/D18</f>
        <v>1.8897600000000003</v>
      </c>
      <c r="J18" s="170">
        <f t="shared" si="8"/>
        <v>0.30469839999999998</v>
      </c>
      <c r="K18" s="29">
        <f>'Indexed Revenue'!C8</f>
        <v>25570.79538424332</v>
      </c>
      <c r="L18" s="29">
        <f>'Indexed Revenue'!D8</f>
        <v>177061.59677787597</v>
      </c>
      <c r="M18" s="37"/>
      <c r="N18" s="30">
        <f t="shared" si="7"/>
        <v>202632.39216211927</v>
      </c>
      <c r="O18" s="182" t="s">
        <v>49</v>
      </c>
      <c r="P18" s="182"/>
    </row>
    <row r="19" spans="2:16" ht="15.75" thickBot="1" x14ac:dyDescent="0.3">
      <c r="B19" s="34" t="s">
        <v>42</v>
      </c>
      <c r="C19" s="35"/>
      <c r="D19" s="36">
        <f>SUM(D15:D18)</f>
        <v>13237.91648019624</v>
      </c>
      <c r="E19" s="35"/>
      <c r="F19" s="35"/>
      <c r="G19" s="35"/>
      <c r="H19" s="35"/>
      <c r="I19" s="35"/>
      <c r="J19" s="35"/>
      <c r="K19" s="54">
        <f>SUM(K15:K18)</f>
        <v>13879233.550782844</v>
      </c>
      <c r="L19" s="54">
        <f>SUM(L15:L18)</f>
        <v>11546638.29099693</v>
      </c>
      <c r="M19" s="54">
        <f>SUM(M15:M18)</f>
        <v>-110187.67683102925</v>
      </c>
      <c r="N19" s="55">
        <f>SUM(N15:N18)</f>
        <v>25315684.164948739</v>
      </c>
      <c r="O19" s="182" t="s">
        <v>107</v>
      </c>
      <c r="P19" s="183">
        <f>N19+ABS(M16)</f>
        <v>25425871.841779768</v>
      </c>
    </row>
    <row r="20" spans="2:16" x14ac:dyDescent="0.25">
      <c r="O20" s="182" t="s">
        <v>108</v>
      </c>
      <c r="P20" s="184" t="str">
        <f>IF(P19='Indexed Revenue'!E9,"True","No")</f>
        <v>True</v>
      </c>
    </row>
    <row r="21" spans="2:16" x14ac:dyDescent="0.25">
      <c r="B21" s="249" t="s">
        <v>129</v>
      </c>
      <c r="C21" s="250"/>
      <c r="D21" s="250"/>
      <c r="E21" s="250"/>
      <c r="F21" s="250"/>
      <c r="G21" s="250"/>
      <c r="H21" s="250"/>
      <c r="I21" s="250"/>
      <c r="J21" s="250"/>
      <c r="K21" s="250"/>
      <c r="L21" s="250"/>
      <c r="M21" s="250"/>
      <c r="N21" s="251"/>
    </row>
    <row r="22" spans="2:16" x14ac:dyDescent="0.25">
      <c r="B22" s="252" t="s">
        <v>26</v>
      </c>
      <c r="C22" s="254" t="s">
        <v>6</v>
      </c>
      <c r="D22" s="256" t="s">
        <v>27</v>
      </c>
      <c r="E22" s="258" t="s">
        <v>28</v>
      </c>
      <c r="F22" s="259"/>
      <c r="G22" s="258" t="s">
        <v>29</v>
      </c>
      <c r="H22" s="259"/>
      <c r="I22" s="258" t="s">
        <v>30</v>
      </c>
      <c r="J22" s="259"/>
      <c r="K22" s="258" t="s">
        <v>31</v>
      </c>
      <c r="L22" s="250"/>
      <c r="M22" s="250"/>
      <c r="N22" s="251"/>
    </row>
    <row r="23" spans="2:16" ht="60" x14ac:dyDescent="0.25">
      <c r="B23" s="253"/>
      <c r="C23" s="255"/>
      <c r="D23" s="257"/>
      <c r="E23" s="46" t="s">
        <v>32</v>
      </c>
      <c r="F23" s="46" t="s">
        <v>33</v>
      </c>
      <c r="G23" s="47" t="s">
        <v>34</v>
      </c>
      <c r="H23" s="47" t="s">
        <v>35</v>
      </c>
      <c r="I23" s="47" t="s">
        <v>8</v>
      </c>
      <c r="J23" s="47" t="s">
        <v>36</v>
      </c>
      <c r="K23" s="47" t="s">
        <v>37</v>
      </c>
      <c r="L23" s="47" t="s">
        <v>38</v>
      </c>
      <c r="M23" s="47" t="s">
        <v>44</v>
      </c>
      <c r="N23" s="48" t="s">
        <v>45</v>
      </c>
    </row>
    <row r="24" spans="2:16" x14ac:dyDescent="0.25">
      <c r="B24" s="49" t="s">
        <v>40</v>
      </c>
      <c r="C24" s="6" t="s">
        <v>32</v>
      </c>
      <c r="D24" s="41">
        <v>9112.8451064303372</v>
      </c>
      <c r="E24" s="38">
        <v>113337066.328181</v>
      </c>
      <c r="F24" s="37"/>
      <c r="G24" s="52">
        <f>K24/$N24</f>
        <v>0.64104491845940414</v>
      </c>
      <c r="H24" s="53">
        <f>1-G24</f>
        <v>0.35895508154059586</v>
      </c>
      <c r="I24" s="180">
        <f>(K24/12)/D24</f>
        <v>106.22137759999998</v>
      </c>
      <c r="J24" s="181">
        <f>(L24)/E24</f>
        <v>5.7388760000000004E-2</v>
      </c>
      <c r="K24" s="133">
        <f>'Indexed Revenue'!H5</f>
        <v>11615747.532725386</v>
      </c>
      <c r="L24" s="133">
        <f>'Indexed Revenue'!I5</f>
        <v>6504273.6986120613</v>
      </c>
      <c r="M24" s="155"/>
      <c r="N24" s="139">
        <f>SUM(K24:M24)</f>
        <v>18120021.231337447</v>
      </c>
    </row>
    <row r="25" spans="2:16" x14ac:dyDescent="0.25">
      <c r="B25" s="49" t="s">
        <v>13</v>
      </c>
      <c r="C25" s="6" t="s">
        <v>33</v>
      </c>
      <c r="D25" s="41">
        <v>37.282220262380214</v>
      </c>
      <c r="E25" s="37"/>
      <c r="F25" s="38">
        <v>248604.90668572392</v>
      </c>
      <c r="G25" s="52">
        <f t="shared" ref="G25:G26" si="9">K25/$N25</f>
        <v>0.12289678968099527</v>
      </c>
      <c r="H25" s="53">
        <f t="shared" ref="H25:H27" si="10">1-G25</f>
        <v>0.87710321031900473</v>
      </c>
      <c r="I25" s="180">
        <f t="shared" ref="I25:I26" si="11">(K25/12)/D25</f>
        <v>1298.2067914399997</v>
      </c>
      <c r="J25" s="181">
        <f>(L25)/F25</f>
        <v>17.11674644946201</v>
      </c>
      <c r="K25" s="133">
        <f>'Indexed Revenue'!H6</f>
        <v>580800.37853500759</v>
      </c>
      <c r="L25" s="133">
        <f>'Indexed Revenue'!I6</f>
        <v>4255307.1538316989</v>
      </c>
      <c r="M25" s="154">
        <v>-110187.67683102925</v>
      </c>
      <c r="N25" s="139">
        <f t="shared" ref="N25:N27" si="12">SUM(K25:M25)</f>
        <v>4725919.8555356767</v>
      </c>
    </row>
    <row r="26" spans="2:16" x14ac:dyDescent="0.25">
      <c r="B26" s="49" t="s">
        <v>15</v>
      </c>
      <c r="C26" s="6" t="s">
        <v>32</v>
      </c>
      <c r="D26" s="41">
        <v>2960.1858518389645</v>
      </c>
      <c r="E26" s="38">
        <v>5874372.3645382812</v>
      </c>
      <c r="F26" s="37"/>
      <c r="G26" s="52">
        <f t="shared" si="9"/>
        <v>0.68896491089074907</v>
      </c>
      <c r="H26" s="53">
        <f t="shared" si="10"/>
        <v>0.31103508910925093</v>
      </c>
      <c r="I26" s="180">
        <f t="shared" si="11"/>
        <v>57.180073599999986</v>
      </c>
      <c r="J26" s="181">
        <f t="shared" ref="J26:J27" si="13">(L26)/E26</f>
        <v>0.1560974272</v>
      </c>
      <c r="K26" s="133">
        <f>'Indexed Revenue'!H7</f>
        <v>2031163.7385339676</v>
      </c>
      <c r="L26" s="133">
        <f>'Indexed Revenue'!I7</f>
        <v>916974.41251920618</v>
      </c>
      <c r="M26" s="155"/>
      <c r="N26" s="139">
        <f t="shared" si="12"/>
        <v>2948138.1510531739</v>
      </c>
    </row>
    <row r="27" spans="2:16" x14ac:dyDescent="0.25">
      <c r="B27" s="49" t="s">
        <v>16</v>
      </c>
      <c r="C27" s="6" t="s">
        <v>32</v>
      </c>
      <c r="D27" s="41">
        <v>1127.6033016645551</v>
      </c>
      <c r="E27" s="38">
        <v>581104.4520676051</v>
      </c>
      <c r="F27" s="37"/>
      <c r="G27" s="52">
        <f>K27/$N27</f>
        <v>0.12619302921610379</v>
      </c>
      <c r="H27" s="53">
        <f t="shared" si="10"/>
        <v>0.87380697078389624</v>
      </c>
      <c r="I27" s="180">
        <f>(K27/12)/D27</f>
        <v>1.9407835199999999</v>
      </c>
      <c r="J27" s="181">
        <f t="shared" si="13"/>
        <v>0.3129252568</v>
      </c>
      <c r="K27" s="133">
        <f>'Indexed Revenue'!H8</f>
        <v>26261.206859617887</v>
      </c>
      <c r="L27" s="133">
        <f>'Indexed Revenue'!I8</f>
        <v>181842.2598908786</v>
      </c>
      <c r="M27" s="155"/>
      <c r="N27" s="139">
        <f t="shared" si="12"/>
        <v>208103.46675049647</v>
      </c>
      <c r="O27" s="182" t="s">
        <v>49</v>
      </c>
      <c r="P27" s="182"/>
    </row>
    <row r="28" spans="2:16" ht="15.75" thickBot="1" x14ac:dyDescent="0.3">
      <c r="B28" s="34" t="s">
        <v>42</v>
      </c>
      <c r="C28" s="35"/>
      <c r="D28" s="36">
        <f>SUM(D24:D27)</f>
        <v>13237.91648019624</v>
      </c>
      <c r="E28" s="35"/>
      <c r="F28" s="35"/>
      <c r="G28" s="35"/>
      <c r="H28" s="35"/>
      <c r="I28" s="35"/>
      <c r="J28" s="35"/>
      <c r="K28" s="54">
        <f>SUM(K24:K27)</f>
        <v>14253972.856653981</v>
      </c>
      <c r="L28" s="54">
        <f>SUM(L24:L27)</f>
        <v>11858397.524853844</v>
      </c>
      <c r="M28" s="54">
        <f>SUM(M24:M27)</f>
        <v>-110187.67683102925</v>
      </c>
      <c r="N28" s="55">
        <f>SUM(N24:N27)</f>
        <v>26002182.704676792</v>
      </c>
      <c r="O28" s="182" t="s">
        <v>107</v>
      </c>
      <c r="P28" s="183">
        <f>N28+ABS(M25)</f>
        <v>26112370.381507821</v>
      </c>
    </row>
    <row r="29" spans="2:16" x14ac:dyDescent="0.25">
      <c r="O29" s="182" t="s">
        <v>108</v>
      </c>
      <c r="P29" s="184" t="str">
        <f>IF(P28='Indexed Revenue'!H24,"True","No")</f>
        <v>True</v>
      </c>
    </row>
  </sheetData>
  <mergeCells count="24">
    <mergeCell ref="B21:N21"/>
    <mergeCell ref="B22:B23"/>
    <mergeCell ref="C22:C23"/>
    <mergeCell ref="D22:D23"/>
    <mergeCell ref="E22:F22"/>
    <mergeCell ref="G22:H22"/>
    <mergeCell ref="I22:J22"/>
    <mergeCell ref="K22:N22"/>
    <mergeCell ref="B12:N12"/>
    <mergeCell ref="K4:N4"/>
    <mergeCell ref="B3:N3"/>
    <mergeCell ref="B4:B5"/>
    <mergeCell ref="C4:C5"/>
    <mergeCell ref="D4:D5"/>
    <mergeCell ref="E4:F4"/>
    <mergeCell ref="G4:H4"/>
    <mergeCell ref="I4:J4"/>
    <mergeCell ref="K13:N13"/>
    <mergeCell ref="B13:B14"/>
    <mergeCell ref="C13:C14"/>
    <mergeCell ref="D13:D14"/>
    <mergeCell ref="E13:F13"/>
    <mergeCell ref="G13:H13"/>
    <mergeCell ref="I13:J13"/>
  </mergeCells>
  <pageMargins left="0.7" right="0.7" top="0.75" bottom="0.75" header="0.3" footer="0.3"/>
  <pageSetup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BE060-AD1F-4276-964B-024741D9AAFA}">
  <sheetPr>
    <tabColor theme="9" tint="0.79998168889431442"/>
  </sheetPr>
  <dimension ref="B1:L9"/>
  <sheetViews>
    <sheetView showGridLines="0" workbookViewId="0">
      <selection activeCell="Q31" sqref="Q31"/>
    </sheetView>
  </sheetViews>
  <sheetFormatPr defaultColWidth="9.140625" defaultRowHeight="15" x14ac:dyDescent="0.25"/>
  <cols>
    <col min="1" max="1" width="2.85546875" customWidth="1"/>
    <col min="2" max="2" width="18.7109375" customWidth="1"/>
    <col min="3" max="3" width="11.7109375" bestFit="1" customWidth="1"/>
    <col min="4" max="4" width="8.7109375" customWidth="1"/>
    <col min="6" max="6" width="18.7109375" customWidth="1"/>
    <col min="7" max="7" width="11.7109375" bestFit="1" customWidth="1"/>
    <col min="8" max="8" width="8.7109375" customWidth="1"/>
    <col min="10" max="10" width="16.5703125" bestFit="1" customWidth="1"/>
    <col min="11" max="11" width="10.7109375" bestFit="1" customWidth="1"/>
  </cols>
  <sheetData>
    <row r="1" spans="2:12" ht="15.75" thickBot="1" x14ac:dyDescent="0.3"/>
    <row r="2" spans="2:12" ht="30.75" customHeight="1" thickBot="1" x14ac:dyDescent="0.3">
      <c r="B2" s="285" t="s">
        <v>25</v>
      </c>
      <c r="C2" s="286"/>
      <c r="D2" s="287"/>
      <c r="F2" s="285" t="s">
        <v>95</v>
      </c>
      <c r="G2" s="286"/>
      <c r="H2" s="287"/>
      <c r="J2" s="285" t="s">
        <v>120</v>
      </c>
      <c r="K2" s="286"/>
      <c r="L2" s="287"/>
    </row>
    <row r="3" spans="2:12" x14ac:dyDescent="0.25">
      <c r="B3" s="22" t="s">
        <v>18</v>
      </c>
      <c r="C3" s="23" t="s">
        <v>19</v>
      </c>
      <c r="D3" s="24" t="s">
        <v>20</v>
      </c>
      <c r="F3" s="22" t="s">
        <v>18</v>
      </c>
      <c r="G3" s="23" t="s">
        <v>19</v>
      </c>
      <c r="H3" s="24" t="s">
        <v>20</v>
      </c>
      <c r="J3" s="22" t="s">
        <v>18</v>
      </c>
      <c r="K3" s="23" t="s">
        <v>19</v>
      </c>
      <c r="L3" s="24" t="s">
        <v>20</v>
      </c>
    </row>
    <row r="4" spans="2:12" x14ac:dyDescent="0.25">
      <c r="B4" s="15" t="s">
        <v>21</v>
      </c>
      <c r="C4" s="136" t="s">
        <v>102</v>
      </c>
      <c r="D4" s="168">
        <v>2.1999999999999999E-2</v>
      </c>
      <c r="F4" s="15" t="s">
        <v>21</v>
      </c>
      <c r="G4" s="136" t="s">
        <v>102</v>
      </c>
      <c r="H4" s="174">
        <v>3.3000000000000002E-2</v>
      </c>
      <c r="J4" s="15" t="s">
        <v>21</v>
      </c>
      <c r="K4" s="33" t="s">
        <v>102</v>
      </c>
      <c r="L4" s="26">
        <v>3.6999999999999998E-2</v>
      </c>
    </row>
    <row r="5" spans="2:12" x14ac:dyDescent="0.25">
      <c r="B5" s="15" t="s">
        <v>22</v>
      </c>
      <c r="C5" s="136" t="s">
        <v>102</v>
      </c>
      <c r="D5" s="168">
        <v>0</v>
      </c>
      <c r="F5" s="15" t="s">
        <v>22</v>
      </c>
      <c r="G5" s="136" t="s">
        <v>102</v>
      </c>
      <c r="H5" s="174">
        <v>0</v>
      </c>
      <c r="J5" s="15" t="s">
        <v>22</v>
      </c>
      <c r="K5" s="33" t="s">
        <v>102</v>
      </c>
      <c r="L5" s="26">
        <v>0</v>
      </c>
    </row>
    <row r="6" spans="2:12" x14ac:dyDescent="0.25">
      <c r="B6" s="15" t="s">
        <v>23</v>
      </c>
      <c r="C6" s="136" t="s">
        <v>103</v>
      </c>
      <c r="D6" s="169">
        <v>6.0000000000000001E-3</v>
      </c>
      <c r="F6" s="15" t="s">
        <v>23</v>
      </c>
      <c r="G6" s="136" t="s">
        <v>103</v>
      </c>
      <c r="H6" s="175">
        <v>6.0000000000000001E-3</v>
      </c>
      <c r="J6" s="15" t="s">
        <v>23</v>
      </c>
      <c r="K6" s="33" t="s">
        <v>139</v>
      </c>
      <c r="L6" s="27">
        <v>6.0000000000000001E-3</v>
      </c>
    </row>
    <row r="7" spans="2:12" ht="15.75" thickBot="1" x14ac:dyDescent="0.3">
      <c r="B7" s="31" t="s">
        <v>91</v>
      </c>
      <c r="C7" s="126" t="s">
        <v>24</v>
      </c>
      <c r="D7" s="127">
        <f>D4-D5-D6</f>
        <v>1.6E-2</v>
      </c>
      <c r="F7" s="31" t="s">
        <v>91</v>
      </c>
      <c r="G7" s="126" t="s">
        <v>24</v>
      </c>
      <c r="H7" s="176">
        <f>H4-H5-H6</f>
        <v>2.7000000000000003E-2</v>
      </c>
      <c r="J7" s="31" t="s">
        <v>91</v>
      </c>
      <c r="K7" s="19" t="s">
        <v>24</v>
      </c>
      <c r="L7" s="25">
        <f>L4-L5-L6</f>
        <v>3.1E-2</v>
      </c>
    </row>
    <row r="9" spans="2:12" x14ac:dyDescent="0.25">
      <c r="J9" s="58" t="s">
        <v>117</v>
      </c>
    </row>
  </sheetData>
  <mergeCells count="3">
    <mergeCell ref="B2:D2"/>
    <mergeCell ref="F2:H2"/>
    <mergeCell ref="J2:L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A11CC-CA96-4E43-81B5-813207B4E22B}">
  <sheetPr>
    <tabColor theme="9" tint="0.79998168889431442"/>
    <pageSetUpPr fitToPage="1"/>
  </sheetPr>
  <dimension ref="B1:O33"/>
  <sheetViews>
    <sheetView showGridLines="0" workbookViewId="0">
      <selection activeCell="L26" sqref="L26"/>
    </sheetView>
  </sheetViews>
  <sheetFormatPr defaultColWidth="9.140625" defaultRowHeight="15" x14ac:dyDescent="0.25"/>
  <cols>
    <col min="1" max="1" width="2.85546875" customWidth="1"/>
    <col min="2" max="2" width="24.85546875" customWidth="1"/>
    <col min="3" max="5" width="12.85546875" customWidth="1"/>
    <col min="6" max="6" width="10.140625" customWidth="1"/>
    <col min="7" max="7" width="24.85546875" customWidth="1"/>
    <col min="8" max="10" width="12.85546875" customWidth="1"/>
    <col min="12" max="12" width="24.7109375" customWidth="1"/>
    <col min="13" max="15" width="12.7109375" customWidth="1"/>
  </cols>
  <sheetData>
    <row r="1" spans="2:15" ht="15.75" thickBot="1" x14ac:dyDescent="0.3"/>
    <row r="2" spans="2:15" ht="33.75" customHeight="1" x14ac:dyDescent="0.25">
      <c r="B2" s="231" t="s">
        <v>53</v>
      </c>
      <c r="C2" s="232"/>
      <c r="D2" s="232"/>
      <c r="E2" s="233"/>
      <c r="G2" s="231" t="s">
        <v>94</v>
      </c>
      <c r="H2" s="232"/>
      <c r="I2" s="232"/>
      <c r="J2" s="233"/>
      <c r="L2" s="231" t="s">
        <v>121</v>
      </c>
      <c r="M2" s="232"/>
      <c r="N2" s="232"/>
      <c r="O2" s="233"/>
    </row>
    <row r="3" spans="2:15" ht="15" customHeight="1" x14ac:dyDescent="0.25">
      <c r="B3" s="252" t="s">
        <v>26</v>
      </c>
      <c r="C3" s="258" t="s">
        <v>31</v>
      </c>
      <c r="D3" s="250"/>
      <c r="E3" s="251"/>
      <c r="G3" s="252" t="s">
        <v>26</v>
      </c>
      <c r="H3" s="258" t="s">
        <v>31</v>
      </c>
      <c r="I3" s="250"/>
      <c r="J3" s="251"/>
      <c r="L3" s="252" t="s">
        <v>26</v>
      </c>
      <c r="M3" s="258" t="s">
        <v>31</v>
      </c>
      <c r="N3" s="250"/>
      <c r="O3" s="251"/>
    </row>
    <row r="4" spans="2:15" ht="14.85" customHeight="1" x14ac:dyDescent="0.25">
      <c r="B4" s="253"/>
      <c r="C4" s="47" t="s">
        <v>37</v>
      </c>
      <c r="D4" s="47" t="s">
        <v>38</v>
      </c>
      <c r="E4" s="48" t="s">
        <v>39</v>
      </c>
      <c r="G4" s="253"/>
      <c r="H4" s="47" t="s">
        <v>37</v>
      </c>
      <c r="I4" s="47" t="s">
        <v>38</v>
      </c>
      <c r="J4" s="48" t="s">
        <v>39</v>
      </c>
      <c r="L4" s="253"/>
      <c r="M4" s="47" t="s">
        <v>37</v>
      </c>
      <c r="N4" s="47" t="s">
        <v>38</v>
      </c>
      <c r="O4" s="48" t="s">
        <v>39</v>
      </c>
    </row>
    <row r="5" spans="2:15" x14ac:dyDescent="0.25">
      <c r="B5" s="49" t="s">
        <v>40</v>
      </c>
      <c r="C5" s="133">
        <f>'2020 COS Eq Rates and Revenue'!K7*(1+'IRM Adjustment Factor'!$D$7)</f>
        <v>11310367.607327543</v>
      </c>
      <c r="D5" s="133">
        <f>SUM('2020 COS Eq Rates and Revenue'!L7:M7)*(1+'IRM Adjustment Factor'!$D$7)</f>
        <v>6333275.2664187551</v>
      </c>
      <c r="E5" s="139">
        <f>C5+D5</f>
        <v>17643642.873746298</v>
      </c>
      <c r="G5" s="49" t="s">
        <v>40</v>
      </c>
      <c r="H5" s="128">
        <f>C5*(1+'IRM Adjustment Factor'!$H$7)</f>
        <v>11615747.532725386</v>
      </c>
      <c r="I5" s="128">
        <f>D5*(1+'IRM Adjustment Factor'!$H$7)</f>
        <v>6504273.6986120613</v>
      </c>
      <c r="J5" s="30">
        <f>H5+I5</f>
        <v>18120021.231337447</v>
      </c>
      <c r="L5" s="49" t="s">
        <v>40</v>
      </c>
      <c r="M5" s="128">
        <f>H5*(1+'IRM Adjustment Factor'!$L$7)</f>
        <v>11975835.706239872</v>
      </c>
      <c r="N5" s="128">
        <f>I5*(1+'IRM Adjustment Factor'!$L$7)</f>
        <v>6705906.1832690351</v>
      </c>
      <c r="O5" s="30">
        <f>M5+N5</f>
        <v>18681741.889508907</v>
      </c>
    </row>
    <row r="6" spans="2:15" x14ac:dyDescent="0.25">
      <c r="B6" s="49" t="s">
        <v>13</v>
      </c>
      <c r="C6" s="133">
        <f>'2020 COS Eq Rates and Revenue'!K8*(1+'IRM Adjustment Factor'!$D$7)</f>
        <v>565531.04044304544</v>
      </c>
      <c r="D6" s="133">
        <f>SUM('2020 COS Eq Rates and Revenue'!L8:M8)*(1+'IRM Adjustment Factor'!$D$7)</f>
        <v>4143434.4243736118</v>
      </c>
      <c r="E6" s="139">
        <f t="shared" ref="E6:E8" si="0">C6+D6</f>
        <v>4708965.4648166569</v>
      </c>
      <c r="G6" s="49" t="s">
        <v>13</v>
      </c>
      <c r="H6" s="128">
        <f>C6*(1+'IRM Adjustment Factor'!$H$7)</f>
        <v>580800.37853500759</v>
      </c>
      <c r="I6" s="128">
        <f>D6*(1+'IRM Adjustment Factor'!$H$7)</f>
        <v>4255307.1538316989</v>
      </c>
      <c r="J6" s="30">
        <f t="shared" ref="J6:J8" si="1">H6+I6</f>
        <v>4836107.5323667061</v>
      </c>
      <c r="L6" s="49" t="s">
        <v>13</v>
      </c>
      <c r="M6" s="128">
        <f>H6*(1+'IRM Adjustment Factor'!$L$7)</f>
        <v>598805.1902695928</v>
      </c>
      <c r="N6" s="128">
        <f>I6*(1+'IRM Adjustment Factor'!$L$7)</f>
        <v>4387221.6756004812</v>
      </c>
      <c r="O6" s="30">
        <f t="shared" ref="O6:O8" si="2">M6+N6</f>
        <v>4986026.8658700744</v>
      </c>
    </row>
    <row r="7" spans="2:15" x14ac:dyDescent="0.25">
      <c r="B7" s="49" t="s">
        <v>15</v>
      </c>
      <c r="C7" s="133">
        <f>'2020 COS Eq Rates and Revenue'!K9*(1+'IRM Adjustment Factor'!$D$7)</f>
        <v>1977764.1076280116</v>
      </c>
      <c r="D7" s="133">
        <f>SUM('2020 COS Eq Rates and Revenue'!L9:M9)*(1+'IRM Adjustment Factor'!$D$7)</f>
        <v>892867.0034266857</v>
      </c>
      <c r="E7" s="139">
        <f t="shared" si="0"/>
        <v>2870631.1110546971</v>
      </c>
      <c r="G7" s="49" t="s">
        <v>15</v>
      </c>
      <c r="H7" s="128">
        <f>C7*(1+'IRM Adjustment Factor'!$H$7)</f>
        <v>2031163.7385339676</v>
      </c>
      <c r="I7" s="128">
        <f>D7*(1+'IRM Adjustment Factor'!$H$7)</f>
        <v>916974.41251920618</v>
      </c>
      <c r="J7" s="30">
        <f t="shared" si="1"/>
        <v>2948138.1510531739</v>
      </c>
      <c r="L7" s="49" t="s">
        <v>15</v>
      </c>
      <c r="M7" s="128">
        <f>H7*(1+'IRM Adjustment Factor'!$L$7)</f>
        <v>2094129.8144285204</v>
      </c>
      <c r="N7" s="128">
        <f>I7*(1+'IRM Adjustment Factor'!$L$7)</f>
        <v>945400.61930730147</v>
      </c>
      <c r="O7" s="30">
        <f t="shared" si="2"/>
        <v>3039530.4337358219</v>
      </c>
    </row>
    <row r="8" spans="2:15" x14ac:dyDescent="0.25">
      <c r="B8" s="49" t="s">
        <v>16</v>
      </c>
      <c r="C8" s="133">
        <f>'2020 COS Eq Rates and Revenue'!K10*(1+'IRM Adjustment Factor'!$D$7)</f>
        <v>25570.79538424332</v>
      </c>
      <c r="D8" s="133">
        <f>SUM('2020 COS Eq Rates and Revenue'!L10:M10)*(1+'IRM Adjustment Factor'!$D$7)</f>
        <v>177061.59677787597</v>
      </c>
      <c r="E8" s="139">
        <f t="shared" si="0"/>
        <v>202632.39216211927</v>
      </c>
      <c r="G8" s="49" t="s">
        <v>16</v>
      </c>
      <c r="H8" s="128">
        <f>C8*(1+'IRM Adjustment Factor'!$H$7)</f>
        <v>26261.206859617887</v>
      </c>
      <c r="I8" s="128">
        <f>D8*(1+'IRM Adjustment Factor'!$H$7)</f>
        <v>181842.2598908786</v>
      </c>
      <c r="J8" s="30">
        <f t="shared" si="1"/>
        <v>208103.46675049647</v>
      </c>
      <c r="L8" s="49" t="s">
        <v>16</v>
      </c>
      <c r="M8" s="128">
        <f>H8*(1+'IRM Adjustment Factor'!$L$7)</f>
        <v>27075.304272266039</v>
      </c>
      <c r="N8" s="128">
        <f>I8*(1+'IRM Adjustment Factor'!$L$7)</f>
        <v>187479.36994749581</v>
      </c>
      <c r="O8" s="30">
        <f t="shared" si="2"/>
        <v>214554.67421976186</v>
      </c>
    </row>
    <row r="9" spans="2:15" ht="15.75" thickBot="1" x14ac:dyDescent="0.3">
      <c r="B9" s="34" t="s">
        <v>42</v>
      </c>
      <c r="C9" s="50">
        <f>SUM(C5:C8)</f>
        <v>13879233.550782844</v>
      </c>
      <c r="D9" s="50">
        <f>SUM(D5:D8)</f>
        <v>11546638.29099693</v>
      </c>
      <c r="E9" s="51">
        <f>SUM(E5:E8)</f>
        <v>25425871.841779768</v>
      </c>
      <c r="G9" s="34" t="s">
        <v>42</v>
      </c>
      <c r="H9" s="129">
        <f>SUM(H5:H8)</f>
        <v>14253972.856653981</v>
      </c>
      <c r="I9" s="129">
        <f>SUM(I5:I8)</f>
        <v>11858397.524853844</v>
      </c>
      <c r="J9" s="130">
        <f>SUM(J5:J8)</f>
        <v>26112370.381507821</v>
      </c>
      <c r="L9" s="34" t="s">
        <v>42</v>
      </c>
      <c r="M9" s="129">
        <f>SUM(M5:M8)</f>
        <v>14695846.01521025</v>
      </c>
      <c r="N9" s="129">
        <f>SUM(N5:N8)</f>
        <v>12226007.848124312</v>
      </c>
      <c r="O9" s="130">
        <f>SUM(O5:O8)</f>
        <v>26921853.863334563</v>
      </c>
    </row>
    <row r="10" spans="2:15" x14ac:dyDescent="0.25">
      <c r="C10" s="56"/>
      <c r="D10" s="56"/>
      <c r="E10" s="56"/>
    </row>
    <row r="11" spans="2:15" x14ac:dyDescent="0.25">
      <c r="H11" s="289"/>
      <c r="I11" s="289"/>
      <c r="J11" s="5"/>
    </row>
    <row r="12" spans="2:15" ht="33.75" customHeight="1" x14ac:dyDescent="0.25">
      <c r="B12" s="288" t="s">
        <v>105</v>
      </c>
      <c r="C12" s="288"/>
      <c r="D12" s="288"/>
      <c r="E12" s="288"/>
      <c r="F12" s="288"/>
      <c r="G12" s="288"/>
      <c r="H12" s="288"/>
      <c r="I12" s="288"/>
      <c r="J12" s="288"/>
    </row>
    <row r="14" spans="2:15" x14ac:dyDescent="0.25">
      <c r="B14" s="57" t="s">
        <v>49</v>
      </c>
    </row>
    <row r="16" spans="2:15" x14ac:dyDescent="0.25">
      <c r="B16" t="s">
        <v>50</v>
      </c>
      <c r="G16" s="59">
        <f>'2020 COS Eq Rates and Revenue'!N11</f>
        <v>25025464.411200564</v>
      </c>
    </row>
    <row r="17" spans="2:8" x14ac:dyDescent="0.25">
      <c r="B17" t="s">
        <v>52</v>
      </c>
      <c r="G17" s="60">
        <f>'IRM Adjustment Factor'!D7</f>
        <v>1.6E-2</v>
      </c>
    </row>
    <row r="18" spans="2:8" x14ac:dyDescent="0.25">
      <c r="B18" t="s">
        <v>51</v>
      </c>
      <c r="G18" s="59">
        <f>G16*(1+G17)</f>
        <v>25425871.841779772</v>
      </c>
    </row>
    <row r="20" spans="2:8" x14ac:dyDescent="0.25">
      <c r="B20" s="58" t="str">
        <f>IF(E9=G18,"Total of Indexed Class Revenue Equals Indexed Total Revenue","Total of Indexed Class Revenue DOES NOT EQUAL Indexed Total Revenue")</f>
        <v>Total of Indexed Class Revenue Equals Indexed Total Revenue</v>
      </c>
    </row>
    <row r="21" spans="2:8" ht="18" customHeight="1" x14ac:dyDescent="0.25"/>
    <row r="22" spans="2:8" x14ac:dyDescent="0.25">
      <c r="B22" t="s">
        <v>96</v>
      </c>
      <c r="H22" s="59">
        <f>E9</f>
        <v>25425871.841779768</v>
      </c>
    </row>
    <row r="23" spans="2:8" x14ac:dyDescent="0.25">
      <c r="B23" t="s">
        <v>97</v>
      </c>
      <c r="H23" s="60">
        <f>'IRM Adjustment Factor'!H7</f>
        <v>2.7000000000000003E-2</v>
      </c>
    </row>
    <row r="24" spans="2:8" x14ac:dyDescent="0.25">
      <c r="B24" t="s">
        <v>98</v>
      </c>
      <c r="H24" s="59">
        <f>H22*(1+H23)</f>
        <v>26112370.381507821</v>
      </c>
    </row>
    <row r="26" spans="2:8" x14ac:dyDescent="0.25">
      <c r="B26" s="58" t="str">
        <f>IF(J9=H24,"Total of Indexed Class Revenue Equals Indexed Total Revenue","Total of Indexed Class Revenue DOES NOT EQUAL Indexed Total Revenue")</f>
        <v>Total of Indexed Class Revenue Equals Indexed Total Revenue</v>
      </c>
    </row>
    <row r="29" spans="2:8" x14ac:dyDescent="0.25">
      <c r="B29" t="s">
        <v>130</v>
      </c>
      <c r="H29" s="59">
        <f>J9</f>
        <v>26112370.381507821</v>
      </c>
    </row>
    <row r="30" spans="2:8" x14ac:dyDescent="0.25">
      <c r="B30" t="s">
        <v>131</v>
      </c>
      <c r="H30" s="60">
        <f>'IRM Adjustment Factor'!L7</f>
        <v>3.1E-2</v>
      </c>
    </row>
    <row r="31" spans="2:8" x14ac:dyDescent="0.25">
      <c r="B31" t="s">
        <v>132</v>
      </c>
      <c r="H31" s="59">
        <f>H29*(1+H30)</f>
        <v>26921853.863334563</v>
      </c>
    </row>
    <row r="33" spans="2:2" x14ac:dyDescent="0.25">
      <c r="B33" s="58" t="str">
        <f>IF(O9=H31,"Total of Indexed Class Revenue Equals Indexed Total Revenue","Total of Indexed Class Revenue DOES NOT EQUAL Indexed Total Revenue")</f>
        <v>Total of Indexed Class Revenue Equals Indexed Total Revenue</v>
      </c>
    </row>
  </sheetData>
  <mergeCells count="11">
    <mergeCell ref="L2:O2"/>
    <mergeCell ref="L3:L4"/>
    <mergeCell ref="M3:O3"/>
    <mergeCell ref="B12:J12"/>
    <mergeCell ref="B2:E2"/>
    <mergeCell ref="B3:B4"/>
    <mergeCell ref="C3:E3"/>
    <mergeCell ref="G2:J2"/>
    <mergeCell ref="G3:G4"/>
    <mergeCell ref="H3:J3"/>
    <mergeCell ref="H11:I11"/>
  </mergeCells>
  <pageMargins left="0.7" right="0.7" top="0.75" bottom="0.75" header="0.3" footer="0.3"/>
  <pageSetup scale="70"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D64E9-2019-4699-98F5-96F159A60E67}">
  <sheetPr>
    <tabColor theme="9" tint="0.79998168889431442"/>
    <pageSetUpPr fitToPage="1"/>
  </sheetPr>
  <dimension ref="B2:M9"/>
  <sheetViews>
    <sheetView showGridLines="0" workbookViewId="0">
      <selection activeCell="Q26" sqref="Q26"/>
    </sheetView>
  </sheetViews>
  <sheetFormatPr defaultColWidth="9.140625" defaultRowHeight="15" x14ac:dyDescent="0.25"/>
  <cols>
    <col min="1" max="1" width="2.85546875" customWidth="1"/>
    <col min="2" max="2" width="29.140625" bestFit="1" customWidth="1"/>
    <col min="3" max="3" width="7.140625" customWidth="1"/>
    <col min="4" max="4" width="10.140625" customWidth="1"/>
    <col min="5" max="5" width="12.140625" customWidth="1"/>
    <col min="6" max="6" width="10.7109375" customWidth="1"/>
    <col min="7" max="7" width="11" customWidth="1"/>
    <col min="8" max="9" width="12.85546875" customWidth="1"/>
    <col min="10" max="12" width="10.7109375" customWidth="1"/>
    <col min="13" max="13" width="10.7109375" bestFit="1" customWidth="1"/>
  </cols>
  <sheetData>
    <row r="2" spans="2:13" ht="15.75" x14ac:dyDescent="0.25">
      <c r="B2" s="213" t="s">
        <v>65</v>
      </c>
      <c r="C2" s="213"/>
      <c r="D2" s="213"/>
      <c r="E2" s="213"/>
      <c r="F2" s="213"/>
      <c r="G2" s="213"/>
      <c r="H2" s="213"/>
      <c r="I2" s="213"/>
      <c r="J2" s="213"/>
      <c r="K2" s="213"/>
      <c r="L2" s="213"/>
      <c r="M2" s="63"/>
    </row>
    <row r="3" spans="2:13" ht="15.75" thickBot="1" x14ac:dyDescent="0.3"/>
    <row r="4" spans="2:13" x14ac:dyDescent="0.25">
      <c r="B4" s="290" t="s">
        <v>118</v>
      </c>
      <c r="C4" s="291"/>
      <c r="D4" s="291"/>
      <c r="E4" s="291"/>
      <c r="F4" s="291"/>
      <c r="G4" s="291"/>
      <c r="H4" s="291"/>
      <c r="I4" s="291"/>
      <c r="J4" s="291"/>
      <c r="K4" s="291"/>
      <c r="L4" s="292"/>
      <c r="M4" s="68"/>
    </row>
    <row r="5" spans="2:13" x14ac:dyDescent="0.25">
      <c r="B5" s="293" t="s">
        <v>26</v>
      </c>
      <c r="C5" s="294" t="s">
        <v>6</v>
      </c>
      <c r="D5" s="295" t="s">
        <v>27</v>
      </c>
      <c r="E5" s="296" t="s">
        <v>32</v>
      </c>
      <c r="F5" s="258" t="s">
        <v>133</v>
      </c>
      <c r="G5" s="259"/>
      <c r="H5" s="258" t="s">
        <v>125</v>
      </c>
      <c r="I5" s="259"/>
      <c r="J5" s="258" t="s">
        <v>31</v>
      </c>
      <c r="K5" s="250"/>
      <c r="L5" s="251"/>
      <c r="M5" s="68"/>
    </row>
    <row r="6" spans="2:13" ht="45" x14ac:dyDescent="0.25">
      <c r="B6" s="293"/>
      <c r="C6" s="294"/>
      <c r="D6" s="295"/>
      <c r="E6" s="297"/>
      <c r="F6" s="47" t="s">
        <v>8</v>
      </c>
      <c r="G6" s="47" t="s">
        <v>36</v>
      </c>
      <c r="H6" s="47" t="s">
        <v>8</v>
      </c>
      <c r="I6" s="47" t="s">
        <v>36</v>
      </c>
      <c r="J6" s="47" t="s">
        <v>37</v>
      </c>
      <c r="K6" s="47" t="s">
        <v>38</v>
      </c>
      <c r="L6" s="48" t="s">
        <v>39</v>
      </c>
    </row>
    <row r="7" spans="2:13" x14ac:dyDescent="0.25">
      <c r="B7" s="49" t="s">
        <v>15</v>
      </c>
      <c r="C7" s="136" t="s">
        <v>32</v>
      </c>
      <c r="D7" s="69">
        <f>'2020 COS Eq Rates and Revenue'!D9</f>
        <v>2960.1858518389645</v>
      </c>
      <c r="E7" s="69">
        <f>'2020 COS Eq Rates and Revenue'!E9</f>
        <v>5874372.3645382812</v>
      </c>
      <c r="F7" s="163">
        <f>'Rate Summary'!F21</f>
        <v>69.459999999999994</v>
      </c>
      <c r="G7" s="164">
        <f>'Rate Summary'!F22</f>
        <v>8.1799999999999998E-2</v>
      </c>
      <c r="H7" s="185">
        <f>ROUND(F7*(1+'IRM Adjustment Factor'!L7),2)</f>
        <v>71.61</v>
      </c>
      <c r="I7" s="186">
        <f>ROUND(G7*(1+'IRM Adjustment Factor'!L7),4)</f>
        <v>8.43E-2</v>
      </c>
      <c r="J7" s="161">
        <f>D7*H7*12</f>
        <v>2543746.906202259</v>
      </c>
      <c r="K7" s="161">
        <f>E7*I7</f>
        <v>495209.59033057711</v>
      </c>
      <c r="L7" s="162">
        <f>SUM(J7:K7)</f>
        <v>3038956.496532836</v>
      </c>
    </row>
    <row r="8" spans="2:13" ht="15.75" thickBot="1" x14ac:dyDescent="0.3">
      <c r="B8" s="194" t="s">
        <v>16</v>
      </c>
      <c r="C8" s="126" t="s">
        <v>32</v>
      </c>
      <c r="D8" s="195">
        <f>'2020 COS Eq Rates and Revenue'!D10</f>
        <v>1127.6033016645551</v>
      </c>
      <c r="E8" s="195">
        <f>'2020 COS Eq Rates and Revenue'!E10</f>
        <v>581104.4520676051</v>
      </c>
      <c r="F8" s="196">
        <f>'Rate Summary'!F25</f>
        <v>1.94</v>
      </c>
      <c r="G8" s="197">
        <f>'Rate Summary'!F26</f>
        <v>0.31290000000000001</v>
      </c>
      <c r="H8" s="198">
        <f>ROUND(F8*(1+'IRM Adjustment Factor'!L7),2)</f>
        <v>2</v>
      </c>
      <c r="I8" s="199">
        <f>ROUND(G8*(1+'IRM Adjustment Factor'!L7),4)</f>
        <v>0.3226</v>
      </c>
      <c r="J8" s="200">
        <f>D8*H8*12</f>
        <v>27062.479239949324</v>
      </c>
      <c r="K8" s="200">
        <f>E8*I8</f>
        <v>187464.2962370094</v>
      </c>
      <c r="L8" s="201">
        <f>SUM(J8:K8)</f>
        <v>214526.77547695872</v>
      </c>
    </row>
    <row r="9" spans="2:13" ht="15.75" hidden="1" thickBot="1" x14ac:dyDescent="0.3">
      <c r="B9" s="188" t="s">
        <v>42</v>
      </c>
      <c r="C9" s="189"/>
      <c r="D9" s="190">
        <f>SUM(D7:D8)</f>
        <v>4087.7891535035196</v>
      </c>
      <c r="E9" s="190">
        <f>SUM(E7:E8)</f>
        <v>6455476.8166058864</v>
      </c>
      <c r="F9" s="191"/>
      <c r="G9" s="191"/>
      <c r="H9" s="191"/>
      <c r="I9" s="191"/>
      <c r="J9" s="192">
        <f>J7+J8</f>
        <v>2570809.3854422085</v>
      </c>
      <c r="K9" s="192">
        <f>K7+K8</f>
        <v>682673.88656758657</v>
      </c>
      <c r="L9" s="193">
        <f>L7+L8</f>
        <v>3253483.2720097946</v>
      </c>
    </row>
  </sheetData>
  <mergeCells count="9">
    <mergeCell ref="B2:L2"/>
    <mergeCell ref="B4:L4"/>
    <mergeCell ref="B5:B6"/>
    <mergeCell ref="C5:C6"/>
    <mergeCell ref="D5:D6"/>
    <mergeCell ref="E5:E6"/>
    <mergeCell ref="F5:G5"/>
    <mergeCell ref="J5:L5"/>
    <mergeCell ref="H5:I5"/>
  </mergeCells>
  <pageMargins left="0.7" right="0.7" top="0.75" bottom="0.75" header="0.3" footer="0.3"/>
  <pageSetup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Cover Sheet</vt:lpstr>
      <vt:lpstr>Rate Summary</vt:lpstr>
      <vt:lpstr>2020 COS Cost Allocation</vt:lpstr>
      <vt:lpstr>2020 COS Eq Rates and Revenue</vt:lpstr>
      <vt:lpstr>RRRP Rate Design</vt:lpstr>
      <vt:lpstr>Equiv Rates for ACM Model</vt:lpstr>
      <vt:lpstr>IRM Adjustment Factor</vt:lpstr>
      <vt:lpstr>Indexed Revenue</vt:lpstr>
      <vt:lpstr>Non-RRRP Rate Design</vt:lpstr>
      <vt:lpstr>R1(i) Decoupling</vt:lpstr>
      <vt:lpstr>Seasonal Decoupling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Beharriell, Greg</dc:creator>
  <cp:lastModifiedBy>Stefan, Oana</cp:lastModifiedBy>
  <dcterms:created xsi:type="dcterms:W3CDTF">2020-05-21T17:58:27Z</dcterms:created>
  <dcterms:modified xsi:type="dcterms:W3CDTF">2022-11-16T19:35:28Z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14.8</vt:lpwstr>
  </property>
</Properties>
</file>