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1 -2023 Rebasing\! FINAL FILING DOCUMENTS\Error Corrections Refiling - once filed this folder will be removed\"/>
    </mc:Choice>
  </mc:AlternateContent>
  <xr:revisionPtr revIDLastSave="0" documentId="13_ncr:1_{51AAB78C-FBFC-4833-96EA-8FB8EEC5BE9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Sch 8 - 2014 to 2018" sheetId="13" r:id="rId1"/>
    <sheet name="Sch 8 - 2019 to 2023" sheetId="1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cow97" localSheetId="0">#REF!</definedName>
    <definedName name="_cow97">#REF!</definedName>
    <definedName name="_crp03" localSheetId="0">#REF!</definedName>
    <definedName name="_crp03">#REF!</definedName>
    <definedName name="_CRP0398" localSheetId="0">#REF!</definedName>
    <definedName name="_CRP0398">#REF!</definedName>
    <definedName name="_CRP0399" localSheetId="0">#REF!</definedName>
    <definedName name="_CRP0399">#REF!</definedName>
    <definedName name="_Dat_5" localSheetId="0">#REF!</definedName>
    <definedName name="_Dat_5">#REF!</definedName>
    <definedName name="_DAT1" localSheetId="0">#REF!</definedName>
    <definedName name="_DAT1">#REF!</definedName>
    <definedName name="_DAT2" localSheetId="0">#REF!</definedName>
    <definedName name="_DAT2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8" localSheetId="0">#REF!</definedName>
    <definedName name="_DAT78">#REF!</definedName>
    <definedName name="_KWH97" localSheetId="0">#REF!</definedName>
    <definedName name="_KWH97">#REF!</definedName>
    <definedName name="afa" localSheetId="0">#REF!</definedName>
    <definedName name="afa">#REF!</definedName>
    <definedName name="area" localSheetId="0">#REF!</definedName>
    <definedName name="area">#REF!</definedName>
    <definedName name="area1" localSheetId="0">#REF!</definedName>
    <definedName name="area1">#REF!</definedName>
    <definedName name="asd" localSheetId="0">#REF!</definedName>
    <definedName name="asd">#REF!</definedName>
    <definedName name="BALSHEET2000" localSheetId="0">#REF!</definedName>
    <definedName name="BALSHEET2000">#REF!</definedName>
    <definedName name="BALSHEET2001" localSheetId="0">#REF!</definedName>
    <definedName name="BALSHEET2001">#REF!</definedName>
    <definedName name="BALSHEET96" localSheetId="0">#REF!</definedName>
    <definedName name="BALSHEET96">#REF!</definedName>
    <definedName name="BALSHEET97" localSheetId="0">#REF!</definedName>
    <definedName name="BALSHEET97">#REF!</definedName>
    <definedName name="BANKJUNE" localSheetId="0">#REF!</definedName>
    <definedName name="BANKJUNE">#REF!</definedName>
    <definedName name="BANKMAY" localSheetId="0">#REF!</definedName>
    <definedName name="BANKMAY">#REF!</definedName>
    <definedName name="banksept" localSheetId="0">#REF!</definedName>
    <definedName name="banksept">#REF!</definedName>
    <definedName name="bsmay">'[1]#REF'!$G$8:$G$46</definedName>
    <definedName name="bud" localSheetId="0">#REF!</definedName>
    <definedName name="bud">#REF!</definedName>
    <definedName name="budg97" localSheetId="0">#REF!</definedName>
    <definedName name="budg97">#REF!</definedName>
    <definedName name="budget97" localSheetId="0">#REF!</definedName>
    <definedName name="budget97">#REF!</definedName>
    <definedName name="Cap_Ord_Act" localSheetId="0">#REF!</definedName>
    <definedName name="Cap_Ord_Act">#REF!</definedName>
    <definedName name="Cap_Ord_Plan" localSheetId="0">#REF!</definedName>
    <definedName name="Cap_Ord_Plan">#REF!</definedName>
    <definedName name="CASHFL2000" localSheetId="0">#REF!</definedName>
    <definedName name="CASHFL2000">#REF!</definedName>
    <definedName name="CASHFL2001" localSheetId="0">#REF!</definedName>
    <definedName name="CASHFL2001">#REF!</definedName>
    <definedName name="CASHFL96" localSheetId="0">#REF!</definedName>
    <definedName name="CASHFL96">#REF!</definedName>
    <definedName name="CASHFL97" localSheetId="0">#REF!</definedName>
    <definedName name="CASHFL97">#REF!</definedName>
    <definedName name="CC__2999" localSheetId="0">#REF!</definedName>
    <definedName name="CC__2999">#REF!</definedName>
    <definedName name="cert" localSheetId="0">#REF!</definedName>
    <definedName name="cert">#REF!</definedName>
    <definedName name="CHANGES2000" localSheetId="0">#REF!</definedName>
    <definedName name="CHANGES2000">#REF!</definedName>
    <definedName name="CHANGES2001" localSheetId="0">#REF!</definedName>
    <definedName name="CHANGES2001">#REF!</definedName>
    <definedName name="CHANGES96" localSheetId="0">#REF!</definedName>
    <definedName name="CHANGES96">#REF!</definedName>
    <definedName name="CHANGES97" localSheetId="0">#REF!</definedName>
    <definedName name="CHANGES97">#REF!</definedName>
    <definedName name="cne" localSheetId="0">'[2]Budget 2003 - CNP CONSOLIDATED'!#REF!</definedName>
    <definedName name="cne">'[2]Budget 2003 - CNP CONSOLIDATED'!#REF!</definedName>
    <definedName name="CNE_operexp">'[3]Import - CNE operexp'!$A$2:$N$14</definedName>
    <definedName name="CNP_Sales" localSheetId="0">#REF!</definedName>
    <definedName name="CNP_Sales">#REF!</definedName>
    <definedName name="cnwp" localSheetId="0">#REF!</definedName>
    <definedName name="cnwp">#REF!</definedName>
    <definedName name="CNWP0398" localSheetId="0">#REF!</definedName>
    <definedName name="CNWP0398">#REF!</definedName>
    <definedName name="cnwpci" localSheetId="0">#REF!</definedName>
    <definedName name="cnwpci">#REF!</definedName>
    <definedName name="cost_centers" localSheetId="0">#REF!</definedName>
    <definedName name="cost_centers">#REF!</definedName>
    <definedName name="crp" localSheetId="0">#REF!</definedName>
    <definedName name="crp">#REF!</definedName>
    <definedName name="dfd" localSheetId="0">#REF!</definedName>
    <definedName name="dfd">#REF!</definedName>
    <definedName name="dsgs" localSheetId="0">#REF!</definedName>
    <definedName name="dsgs">#REF!</definedName>
    <definedName name="erwer" localSheetId="0">#REF!</definedName>
    <definedName name="erwer">#REF!</definedName>
    <definedName name="ewet" localSheetId="0">#REF!</definedName>
    <definedName name="ewet">#REF!</definedName>
    <definedName name="fda" localSheetId="0">#REF!</definedName>
    <definedName name="fda">#REF!</definedName>
    <definedName name="fds" localSheetId="0">#REF!</definedName>
    <definedName name="fds">#REF!</definedName>
    <definedName name="FE_2002_Rev" localSheetId="0">'[4]Budget 2003 - CNP CONSOLIDATED'!#REF!</definedName>
    <definedName name="FE_2002_Rev">'[4]Budget 2003 - CNP CONSOLIDATED'!#REF!</definedName>
    <definedName name="FE_2002_RevYTD" localSheetId="0">'[4]Budget 2003 - CNP CONSOLIDATED'!#REF!</definedName>
    <definedName name="FE_2002_RevYTD">'[4]Budget 2003 - CNP CONSOLIDATED'!#REF!</definedName>
    <definedName name="FE_Month" localSheetId="0">'[4]Budget 2003 - CNP CONSOLIDATED'!#REF!</definedName>
    <definedName name="FE_Month">'[4]Budget 2003 - CNP CONSOLIDATED'!#REF!</definedName>
    <definedName name="FE_Monthly" localSheetId="0">'[4]Budget 2003 - CNP CONSOLIDATED'!#REF!</definedName>
    <definedName name="FE_Monthly">'[4]Budget 2003 - CNP CONSOLIDATED'!#REF!</definedName>
    <definedName name="FE_Y.T.D." localSheetId="0">'[4]Budget 2003 - CNP CONSOLIDATED'!#REF!</definedName>
    <definedName name="FE_Y.T.D.">'[4]Budget 2003 - CNP CONSOLIDATED'!#REF!</definedName>
    <definedName name="FE_YTD" localSheetId="0">'[4]Budget 2003 - CNP CONSOLIDATED'!#REF!</definedName>
    <definedName name="FE_YTD">'[4]Budget 2003 - CNP CONSOLIDATED'!#REF!</definedName>
    <definedName name="fin" localSheetId="0">#REF!</definedName>
    <definedName name="fin">#REF!</definedName>
    <definedName name="fss" localSheetId="0">#REF!</definedName>
    <definedName name="fss">#REF!</definedName>
    <definedName name="gda" localSheetId="0">#REF!</definedName>
    <definedName name="gda">#REF!</definedName>
    <definedName name="gfsf" localSheetId="0">#REF!</definedName>
    <definedName name="gfsf">#REF!</definedName>
    <definedName name="HEAD" localSheetId="0">[4]DATA!#REF!</definedName>
    <definedName name="HEAD">[4]DATA!#REF!</definedName>
    <definedName name="iee" localSheetId="0">#REF!</definedName>
    <definedName name="iee">#REF!</definedName>
    <definedName name="imp" localSheetId="0">#REF!</definedName>
    <definedName name="imp">#REF!</definedName>
    <definedName name="import" localSheetId="0">#REF!</definedName>
    <definedName name="import">#REF!</definedName>
    <definedName name="import1" localSheetId="0">#REF!</definedName>
    <definedName name="import1">#REF!</definedName>
    <definedName name="INCSTMT2000" localSheetId="0">#REF!</definedName>
    <definedName name="INCSTMT2000">#REF!</definedName>
    <definedName name="INCSTMT2001" localSheetId="0">#REF!</definedName>
    <definedName name="INCSTMT2001">#REF!</definedName>
    <definedName name="INCSTMT2014" localSheetId="0">#REF!</definedName>
    <definedName name="INCSTMT2014">#REF!</definedName>
    <definedName name="INCSTMT96" localSheetId="0">#REF!</definedName>
    <definedName name="INCSTMT96">#REF!</definedName>
    <definedName name="INCSTMT97" localSheetId="0">#REF!</definedName>
    <definedName name="INCSTMT97">#REF!</definedName>
    <definedName name="jtr" localSheetId="0">#REF!</definedName>
    <definedName name="jtr">#REF!</definedName>
    <definedName name="KWH97YTD" localSheetId="0">#REF!</definedName>
    <definedName name="KWH97YTD">#REF!</definedName>
    <definedName name="lod" localSheetId="0">#REF!</definedName>
    <definedName name="lod">#REF!</definedName>
    <definedName name="main_orders" localSheetId="0">#REF!</definedName>
    <definedName name="main_orders">#REF!</definedName>
    <definedName name="maint_orders">'[5]Budget 2002 - Maint orders'!$A$1:$Y$154</definedName>
    <definedName name="MAY" localSheetId="0">#REF!</definedName>
    <definedName name="MAY">#REF!</definedName>
    <definedName name="MWH" localSheetId="0">#REF!</definedName>
    <definedName name="MWH">#REF!</definedName>
    <definedName name="newcom" localSheetId="0">'[6]Budget 2003 - CNP CONSOLIDATED'!#REF!</definedName>
    <definedName name="newcom">'[6]Budget 2003 - CNP CONSOLIDATED'!#REF!</definedName>
    <definedName name="Operating_Income" localSheetId="0">#REF!</definedName>
    <definedName name="Operating_Income">#REF!</definedName>
    <definedName name="PC_2002_Rev" localSheetId="0">'[4]Budget 2003 - CNP CONSOLIDATED'!#REF!</definedName>
    <definedName name="PC_2002_Rev">'[4]Budget 2003 - CNP CONSOLIDATED'!#REF!</definedName>
    <definedName name="PC_2002_RevYTD" localSheetId="0">'[4]Budget 2003 - CNP CONSOLIDATED'!#REF!</definedName>
    <definedName name="PC_2002_RevYTD">'[4]Budget 2003 - CNP CONSOLIDATED'!#REF!</definedName>
    <definedName name="PC_Month" localSheetId="0">'[4]Budget 2003 - CNP CONSOLIDATED'!#REF!</definedName>
    <definedName name="PC_Month">'[4]Budget 2003 - CNP CONSOLIDATED'!#REF!</definedName>
    <definedName name="PC_Monthly" localSheetId="0">'[4]Budget 2003 - CNP CONSOLIDATED'!#REF!</definedName>
    <definedName name="PC_Monthly">'[4]Budget 2003 - CNP CONSOLIDATED'!#REF!</definedName>
    <definedName name="PC_Y.T.D." localSheetId="0">'[4]Budget 2003 - CNP CONSOLIDATED'!#REF!</definedName>
    <definedName name="PC_Y.T.D.">'[4]Budget 2003 - CNP CONSOLIDATED'!#REF!</definedName>
    <definedName name="PC_YTD" localSheetId="0">'[4]Budget 2003 - CNP CONSOLIDATED'!#REF!</definedName>
    <definedName name="PC_YTD">'[4]Budget 2003 - CNP CONSOLIDATED'!#REF!</definedName>
    <definedName name="PL_cne">'[3]Import PL - CNE'!$A$1:$O$12</definedName>
    <definedName name="plall" localSheetId="0">#REF!</definedName>
    <definedName name="plall">#REF!</definedName>
    <definedName name="_xlnm.Print_Area" localSheetId="0">'Sch 8 - 2014 to 2018'!$A$1:$O$96</definedName>
    <definedName name="_xlnm.Print_Area" localSheetId="1">'Sch 8 - 2019 to 2023'!$A$1:$P$124</definedName>
    <definedName name="_xlnm.Print_Titles" localSheetId="0">'Sch 8 - 2014 to 2018'!$1:$11</definedName>
    <definedName name="_xlnm.Print_Titles" localSheetId="1">'Sch 8 - 2019 to 2023'!$1:$11</definedName>
    <definedName name="range">'[7]Comparative P&amp;L (non-cons.)'!$B$1:$K$39</definedName>
    <definedName name="range3">'[8]CNP Ltd. P&amp;L (consolidated)'!$B$1:$L$53</definedName>
    <definedName name="RATIO" localSheetId="0">#REF!</definedName>
    <definedName name="RATIO">#REF!</definedName>
    <definedName name="RATIO2" localSheetId="0">#REF!</definedName>
    <definedName name="RATIO2">#REF!</definedName>
    <definedName name="ratio97" localSheetId="0">#REF!</definedName>
    <definedName name="ratio97">#REF!</definedName>
    <definedName name="rewrew" localSheetId="0">#REF!</definedName>
    <definedName name="rewrew">#REF!</definedName>
    <definedName name="sfdd" localSheetId="0">#REF!</definedName>
    <definedName name="sfdd">#REF!</definedName>
    <definedName name="sgd" localSheetId="0">#REF!</definedName>
    <definedName name="sgd">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jr" localSheetId="0">#REF!</definedName>
    <definedName name="tjr">#REF!</definedName>
    <definedName name="tre" localSheetId="0">#REF!</definedName>
    <definedName name="tre">#REF!</definedName>
    <definedName name="utr" localSheetId="0">#REF!</definedName>
    <definedName name="utr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7" i="16" l="1"/>
  <c r="C87" i="16"/>
  <c r="K88" i="16" l="1"/>
  <c r="I88" i="16"/>
  <c r="J88" i="16" s="1"/>
  <c r="G88" i="16"/>
  <c r="O88" i="16" l="1"/>
  <c r="P88" i="16" s="1"/>
  <c r="R58" i="16"/>
  <c r="C93" i="13" l="1"/>
  <c r="C76" i="13"/>
  <c r="C59" i="13"/>
  <c r="C42" i="13"/>
  <c r="C24" i="13"/>
  <c r="C15" i="13"/>
  <c r="B24" i="13"/>
  <c r="B17" i="13"/>
  <c r="K118" i="16" l="1"/>
  <c r="I118" i="16"/>
  <c r="J118" i="16" s="1"/>
  <c r="G118" i="16"/>
  <c r="C122" i="16"/>
  <c r="C92" i="16"/>
  <c r="O118" i="16" l="1"/>
  <c r="P118" i="16" s="1"/>
  <c r="H117" i="16"/>
  <c r="H87" i="16"/>
  <c r="D109" i="16" l="1"/>
  <c r="I109" i="16" s="1"/>
  <c r="K110" i="16"/>
  <c r="K111" i="16"/>
  <c r="I110" i="16"/>
  <c r="J110" i="16"/>
  <c r="I111" i="16"/>
  <c r="J111" i="16"/>
  <c r="G110" i="16"/>
  <c r="G111" i="16"/>
  <c r="K81" i="16"/>
  <c r="I81" i="16"/>
  <c r="J81" i="16"/>
  <c r="G81" i="16"/>
  <c r="O111" i="16" l="1"/>
  <c r="P111" i="16" s="1"/>
  <c r="O110" i="16"/>
  <c r="P110" i="16" s="1"/>
  <c r="J109" i="16"/>
  <c r="K109" i="16"/>
  <c r="O81" i="16"/>
  <c r="P81" i="16" s="1"/>
  <c r="B109" i="16" s="1"/>
  <c r="G109" i="16" s="1"/>
  <c r="O109" i="16" l="1"/>
  <c r="P109" i="16" s="1"/>
  <c r="N121" i="16" l="1"/>
  <c r="M121" i="16"/>
  <c r="E121" i="16"/>
  <c r="C121" i="16"/>
  <c r="C124" i="16" s="1"/>
  <c r="D120" i="16"/>
  <c r="D119" i="16"/>
  <c r="I119" i="16" s="1"/>
  <c r="J119" i="16" s="1"/>
  <c r="D117" i="16"/>
  <c r="I117" i="16" s="1"/>
  <c r="J117" i="16" s="1"/>
  <c r="D116" i="16"/>
  <c r="I116" i="16" s="1"/>
  <c r="J116" i="16" s="1"/>
  <c r="D115" i="16"/>
  <c r="I115" i="16" s="1"/>
  <c r="J115" i="16" s="1"/>
  <c r="D114" i="16"/>
  <c r="I114" i="16" s="1"/>
  <c r="J114" i="16" s="1"/>
  <c r="D113" i="16"/>
  <c r="I113" i="16" s="1"/>
  <c r="J113" i="16" s="1"/>
  <c r="D112" i="16"/>
  <c r="I112" i="16" s="1"/>
  <c r="J112" i="16" s="1"/>
  <c r="D108" i="16"/>
  <c r="J108" i="16" s="1"/>
  <c r="D107" i="16"/>
  <c r="J107" i="16" s="1"/>
  <c r="D106" i="16"/>
  <c r="J106" i="16" s="1"/>
  <c r="D105" i="16"/>
  <c r="J105" i="16" s="1"/>
  <c r="D104" i="16"/>
  <c r="I104" i="16" s="1"/>
  <c r="J104" i="16" s="1"/>
  <c r="D103" i="16"/>
  <c r="I103" i="16" s="1"/>
  <c r="J103" i="16" s="1"/>
  <c r="D102" i="16"/>
  <c r="I102" i="16" s="1"/>
  <c r="J102" i="16" s="1"/>
  <c r="D101" i="16"/>
  <c r="I101" i="16" s="1"/>
  <c r="J101" i="16" s="1"/>
  <c r="D100" i="16"/>
  <c r="K100" i="16" s="1"/>
  <c r="D73" i="16"/>
  <c r="K73" i="16" s="1"/>
  <c r="D74" i="16"/>
  <c r="K74" i="16" s="1"/>
  <c r="D75" i="16"/>
  <c r="I75" i="16" s="1"/>
  <c r="J75" i="16" s="1"/>
  <c r="D76" i="16"/>
  <c r="I76" i="16" s="1"/>
  <c r="J76" i="16" s="1"/>
  <c r="D77" i="16"/>
  <c r="K77" i="16" s="1"/>
  <c r="D78" i="16"/>
  <c r="K78" i="16" s="1"/>
  <c r="D79" i="16"/>
  <c r="K79" i="16" s="1"/>
  <c r="D80" i="16"/>
  <c r="J80" i="16" s="1"/>
  <c r="D82" i="16"/>
  <c r="K82" i="16" s="1"/>
  <c r="D83" i="16"/>
  <c r="K83" i="16" s="1"/>
  <c r="D84" i="16"/>
  <c r="K84" i="16" s="1"/>
  <c r="D85" i="16"/>
  <c r="K85" i="16" s="1"/>
  <c r="D86" i="16"/>
  <c r="K86" i="16" s="1"/>
  <c r="D87" i="16"/>
  <c r="I87" i="16" s="1"/>
  <c r="J87" i="16" s="1"/>
  <c r="D89" i="16"/>
  <c r="K89" i="16" s="1"/>
  <c r="D90" i="16"/>
  <c r="D72" i="16"/>
  <c r="K72" i="16" s="1"/>
  <c r="N91" i="16"/>
  <c r="M91" i="16"/>
  <c r="E91" i="16"/>
  <c r="C91" i="16"/>
  <c r="C95" i="16" s="1"/>
  <c r="J78" i="16"/>
  <c r="R59" i="16"/>
  <c r="R61" i="16" s="1"/>
  <c r="I58" i="16"/>
  <c r="J58" i="16"/>
  <c r="K58" i="16"/>
  <c r="I59" i="16"/>
  <c r="J59" i="16"/>
  <c r="K59" i="16"/>
  <c r="G58" i="16"/>
  <c r="G59" i="16"/>
  <c r="N68" i="16"/>
  <c r="M68" i="16"/>
  <c r="H68" i="16"/>
  <c r="F68" i="16"/>
  <c r="D68" i="16"/>
  <c r="C68" i="16"/>
  <c r="K67" i="16"/>
  <c r="I67" i="16"/>
  <c r="J67" i="16" s="1"/>
  <c r="K66" i="16"/>
  <c r="I66" i="16"/>
  <c r="J66" i="16" s="1"/>
  <c r="K65" i="16"/>
  <c r="I65" i="16"/>
  <c r="J65" i="16" s="1"/>
  <c r="K64" i="16"/>
  <c r="I64" i="16"/>
  <c r="J64" i="16" s="1"/>
  <c r="K63" i="16"/>
  <c r="I63" i="16"/>
  <c r="J63" i="16" s="1"/>
  <c r="K62" i="16"/>
  <c r="I62" i="16"/>
  <c r="J62" i="16" s="1"/>
  <c r="K61" i="16"/>
  <c r="I61" i="16"/>
  <c r="J61" i="16" s="1"/>
  <c r="K60" i="16"/>
  <c r="I60" i="16"/>
  <c r="J60" i="16" s="1"/>
  <c r="K57" i="16"/>
  <c r="J57" i="16"/>
  <c r="I57" i="16"/>
  <c r="K56" i="16"/>
  <c r="J56" i="16"/>
  <c r="I56" i="16"/>
  <c r="K55" i="16"/>
  <c r="I55" i="16"/>
  <c r="J55" i="16" s="1"/>
  <c r="K54" i="16"/>
  <c r="I54" i="16"/>
  <c r="J54" i="16" s="1"/>
  <c r="K53" i="16"/>
  <c r="I53" i="16"/>
  <c r="J53" i="16" s="1"/>
  <c r="K52" i="16"/>
  <c r="I52" i="16"/>
  <c r="J52" i="16" s="1"/>
  <c r="K51" i="16"/>
  <c r="I51" i="16"/>
  <c r="J51" i="16" s="1"/>
  <c r="B39" i="16"/>
  <c r="K116" i="16" l="1"/>
  <c r="I83" i="16"/>
  <c r="J83" i="16" s="1"/>
  <c r="I73" i="16"/>
  <c r="J73" i="16" s="1"/>
  <c r="K112" i="16"/>
  <c r="K76" i="16"/>
  <c r="K105" i="16"/>
  <c r="K113" i="16"/>
  <c r="K106" i="16"/>
  <c r="I86" i="16"/>
  <c r="J86" i="16" s="1"/>
  <c r="I77" i="16"/>
  <c r="K102" i="16"/>
  <c r="K107" i="16"/>
  <c r="K114" i="16"/>
  <c r="J77" i="16"/>
  <c r="K108" i="16"/>
  <c r="K115" i="16"/>
  <c r="O58" i="16"/>
  <c r="P58" i="16" s="1"/>
  <c r="B79" i="16" s="1"/>
  <c r="G79" i="16" s="1"/>
  <c r="I78" i="16"/>
  <c r="I84" i="16"/>
  <c r="J84" i="16" s="1"/>
  <c r="O59" i="16"/>
  <c r="P59" i="16" s="1"/>
  <c r="B80" i="16" s="1"/>
  <c r="G80" i="16" s="1"/>
  <c r="K75" i="16"/>
  <c r="I85" i="16"/>
  <c r="J85" i="16" s="1"/>
  <c r="K104" i="16"/>
  <c r="K117" i="16"/>
  <c r="K119" i="16"/>
  <c r="D121" i="16"/>
  <c r="K103" i="16"/>
  <c r="K101" i="16"/>
  <c r="I82" i="16"/>
  <c r="J82" i="16" s="1"/>
  <c r="I100" i="16"/>
  <c r="I105" i="16"/>
  <c r="I106" i="16"/>
  <c r="I107" i="16"/>
  <c r="I108" i="16"/>
  <c r="I74" i="16"/>
  <c r="J74" i="16" s="1"/>
  <c r="K87" i="16"/>
  <c r="K80" i="16"/>
  <c r="I89" i="16"/>
  <c r="J89" i="16" s="1"/>
  <c r="I80" i="16"/>
  <c r="I79" i="16"/>
  <c r="J79" i="16"/>
  <c r="I72" i="16"/>
  <c r="D91" i="16"/>
  <c r="E68" i="16"/>
  <c r="I68" i="16"/>
  <c r="K68" i="16"/>
  <c r="J68" i="16"/>
  <c r="O80" i="16" l="1"/>
  <c r="P80" i="16" s="1"/>
  <c r="B108" i="16" s="1"/>
  <c r="G108" i="16" s="1"/>
  <c r="O108" i="16" s="1"/>
  <c r="P108" i="16" s="1"/>
  <c r="O79" i="16"/>
  <c r="P79" i="16" s="1"/>
  <c r="B107" i="16" s="1"/>
  <c r="G107" i="16" s="1"/>
  <c r="O107" i="16" s="1"/>
  <c r="P107" i="16" s="1"/>
  <c r="J100" i="16"/>
  <c r="J72" i="16"/>
  <c r="G70" i="13" l="1"/>
  <c r="G76" i="13"/>
  <c r="R40" i="16"/>
  <c r="R39" i="16"/>
  <c r="R42" i="16" s="1"/>
  <c r="R21" i="16"/>
  <c r="R20" i="16"/>
  <c r="K15" i="16" l="1"/>
  <c r="K16" i="16"/>
  <c r="K17" i="16"/>
  <c r="K18" i="16"/>
  <c r="K19" i="16"/>
  <c r="K20" i="16"/>
  <c r="K21" i="16"/>
  <c r="K22" i="16"/>
  <c r="K23" i="16"/>
  <c r="K24" i="16"/>
  <c r="K25" i="16"/>
  <c r="K26" i="16"/>
  <c r="K27" i="16"/>
  <c r="K14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32" i="16"/>
  <c r="G38" i="16"/>
  <c r="I34" i="16"/>
  <c r="J34" i="16" s="1"/>
  <c r="I35" i="16"/>
  <c r="J35" i="16" s="1"/>
  <c r="I36" i="16"/>
  <c r="J36" i="16" s="1"/>
  <c r="I37" i="16"/>
  <c r="I38" i="16"/>
  <c r="I39" i="16"/>
  <c r="J39" i="16" s="1"/>
  <c r="I40" i="16"/>
  <c r="J40" i="16" s="1"/>
  <c r="I41" i="16"/>
  <c r="J41" i="16" s="1"/>
  <c r="I42" i="16"/>
  <c r="J42" i="16" s="1"/>
  <c r="I43" i="16"/>
  <c r="J43" i="16" s="1"/>
  <c r="I44" i="16"/>
  <c r="J44" i="16" s="1"/>
  <c r="I45" i="16"/>
  <c r="J45" i="16" s="1"/>
  <c r="I46" i="16"/>
  <c r="I33" i="16"/>
  <c r="J33" i="16" s="1"/>
  <c r="I32" i="16"/>
  <c r="I15" i="16"/>
  <c r="J15" i="16" s="1"/>
  <c r="I16" i="16"/>
  <c r="J16" i="16" s="1"/>
  <c r="I17" i="16"/>
  <c r="J17" i="16" s="1"/>
  <c r="I18" i="16"/>
  <c r="J18" i="16" s="1"/>
  <c r="I20" i="16"/>
  <c r="J20" i="16" s="1"/>
  <c r="I21" i="16"/>
  <c r="J21" i="16" s="1"/>
  <c r="I22" i="16"/>
  <c r="J22" i="16" s="1"/>
  <c r="I23" i="16"/>
  <c r="J23" i="16" s="1"/>
  <c r="I24" i="16"/>
  <c r="J24" i="16" s="1"/>
  <c r="I25" i="16"/>
  <c r="J25" i="16" s="1"/>
  <c r="I26" i="16"/>
  <c r="J26" i="16" s="1"/>
  <c r="I27" i="16"/>
  <c r="J27" i="16" s="1"/>
  <c r="I14" i="16"/>
  <c r="J14" i="16" s="1"/>
  <c r="J38" i="16"/>
  <c r="N47" i="16"/>
  <c r="M47" i="16"/>
  <c r="H47" i="16"/>
  <c r="F47" i="16"/>
  <c r="E47" i="16"/>
  <c r="D47" i="16"/>
  <c r="C47" i="16"/>
  <c r="J46" i="16"/>
  <c r="J37" i="16"/>
  <c r="J19" i="16"/>
  <c r="H28" i="16"/>
  <c r="G19" i="16"/>
  <c r="O38" i="16" l="1"/>
  <c r="P38" i="16" s="1"/>
  <c r="B57" i="16" s="1"/>
  <c r="G57" i="16" s="1"/>
  <c r="O57" i="16" s="1"/>
  <c r="P57" i="16" s="1"/>
  <c r="B78" i="16" s="1"/>
  <c r="G78" i="16" s="1"/>
  <c r="O78" i="16" s="1"/>
  <c r="P78" i="16" s="1"/>
  <c r="B106" i="16" s="1"/>
  <c r="G106" i="16" s="1"/>
  <c r="O106" i="16" s="1"/>
  <c r="P106" i="16" s="1"/>
  <c r="O19" i="16"/>
  <c r="P19" i="16" s="1"/>
  <c r="B37" i="16" s="1"/>
  <c r="I47" i="16"/>
  <c r="K47" i="16"/>
  <c r="J32" i="16"/>
  <c r="K28" i="16"/>
  <c r="J28" i="16"/>
  <c r="I28" i="16"/>
  <c r="R19" i="16"/>
  <c r="N28" i="16"/>
  <c r="M28" i="16"/>
  <c r="F28" i="16"/>
  <c r="E28" i="16"/>
  <c r="D28" i="16"/>
  <c r="C28" i="16"/>
  <c r="G37" i="16" l="1"/>
  <c r="O37" i="16" s="1"/>
  <c r="P37" i="16" s="1"/>
  <c r="B56" i="16" s="1"/>
  <c r="G56" i="16" s="1"/>
  <c r="O56" i="16" s="1"/>
  <c r="P56" i="16" s="1"/>
  <c r="B77" i="16" s="1"/>
  <c r="G77" i="16" s="1"/>
  <c r="O77" i="16" s="1"/>
  <c r="P77" i="16" s="1"/>
  <c r="B105" i="16" s="1"/>
  <c r="G105" i="16" s="1"/>
  <c r="O105" i="16" s="1"/>
  <c r="P105" i="16" s="1"/>
  <c r="J47" i="16"/>
  <c r="R22" i="16"/>
  <c r="Q129" i="13"/>
  <c r="Q131" i="13"/>
  <c r="Q130" i="13"/>
  <c r="Q132" i="13" l="1"/>
  <c r="Q90" i="13"/>
  <c r="Q89" i="13"/>
  <c r="Q73" i="13"/>
  <c r="Q72" i="13"/>
  <c r="Q88" i="13" l="1"/>
  <c r="Q91" i="13" s="1"/>
  <c r="Q71" i="13"/>
  <c r="Q74" i="13" s="1"/>
  <c r="I67" i="13" l="1"/>
  <c r="I68" i="13"/>
  <c r="I69" i="13"/>
  <c r="I70" i="13"/>
  <c r="I71" i="13"/>
  <c r="I72" i="13"/>
  <c r="I73" i="13"/>
  <c r="I74" i="13"/>
  <c r="I75" i="13"/>
  <c r="I77" i="13"/>
  <c r="I78" i="13"/>
  <c r="I50" i="13"/>
  <c r="I51" i="13"/>
  <c r="I52" i="13"/>
  <c r="I53" i="13"/>
  <c r="I54" i="13"/>
  <c r="I55" i="13"/>
  <c r="I56" i="13"/>
  <c r="I57" i="13"/>
  <c r="I58" i="13"/>
  <c r="I60" i="13"/>
  <c r="I61" i="13"/>
  <c r="I76" i="13" l="1"/>
  <c r="C23" i="13"/>
  <c r="Q58" i="13" l="1"/>
  <c r="Q54" i="13"/>
  <c r="Q41" i="13"/>
  <c r="Q37" i="13"/>
  <c r="I59" i="13"/>
  <c r="Q23" i="13"/>
  <c r="Q19" i="13"/>
  <c r="Q25" i="13" s="1"/>
  <c r="I126" i="13"/>
  <c r="I127" i="13"/>
  <c r="I128" i="13"/>
  <c r="I129" i="13"/>
  <c r="I130" i="13"/>
  <c r="H131" i="13"/>
  <c r="I131" i="13"/>
  <c r="N131" i="13"/>
  <c r="I132" i="13"/>
  <c r="I133" i="13"/>
  <c r="I134" i="13"/>
  <c r="I135" i="13"/>
  <c r="I136" i="13"/>
  <c r="I137" i="13"/>
  <c r="I138" i="13"/>
  <c r="I139" i="13"/>
  <c r="C140" i="13"/>
  <c r="E140" i="13"/>
  <c r="F140" i="13"/>
  <c r="G140" i="13"/>
  <c r="L140" i="13"/>
  <c r="M140" i="13"/>
  <c r="I144" i="13"/>
  <c r="I145" i="13"/>
  <c r="I146" i="13"/>
  <c r="I147" i="13"/>
  <c r="I148" i="13"/>
  <c r="I149" i="13"/>
  <c r="H150" i="13"/>
  <c r="I150" i="13"/>
  <c r="N150" i="13"/>
  <c r="I151" i="13"/>
  <c r="I152" i="13"/>
  <c r="I153" i="13"/>
  <c r="I154" i="13"/>
  <c r="I155" i="13"/>
  <c r="I156" i="13"/>
  <c r="I157" i="13"/>
  <c r="I158" i="13"/>
  <c r="C159" i="13"/>
  <c r="E159" i="13"/>
  <c r="F159" i="13"/>
  <c r="G159" i="13"/>
  <c r="L159" i="13"/>
  <c r="M159" i="13"/>
  <c r="I163" i="13"/>
  <c r="I164" i="13"/>
  <c r="I165" i="13"/>
  <c r="I166" i="13"/>
  <c r="I167" i="13"/>
  <c r="I168" i="13"/>
  <c r="I169" i="13"/>
  <c r="H170" i="13"/>
  <c r="I170" i="13"/>
  <c r="N170" i="13"/>
  <c r="H171" i="13"/>
  <c r="I171" i="13"/>
  <c r="N171" i="13"/>
  <c r="I172" i="13"/>
  <c r="I173" i="13"/>
  <c r="I174" i="13"/>
  <c r="I175" i="13"/>
  <c r="I176" i="13"/>
  <c r="I177" i="13"/>
  <c r="I178" i="13"/>
  <c r="I179" i="13"/>
  <c r="C180" i="13"/>
  <c r="E180" i="13"/>
  <c r="F180" i="13"/>
  <c r="G180" i="13"/>
  <c r="L180" i="13"/>
  <c r="M180" i="13"/>
  <c r="I184" i="13"/>
  <c r="I185" i="13"/>
  <c r="I186" i="13"/>
  <c r="I187" i="13"/>
  <c r="C188" i="13"/>
  <c r="C201" i="13" s="1"/>
  <c r="C204" i="13" s="1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E201" i="13"/>
  <c r="F201" i="13"/>
  <c r="G201" i="13"/>
  <c r="L201" i="13"/>
  <c r="M201" i="13"/>
  <c r="I208" i="13"/>
  <c r="I209" i="13"/>
  <c r="I210" i="13"/>
  <c r="I211" i="13"/>
  <c r="C212" i="13"/>
  <c r="C225" i="13" s="1"/>
  <c r="C228" i="13" s="1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E225" i="13"/>
  <c r="F225" i="13"/>
  <c r="G225" i="13"/>
  <c r="L225" i="13"/>
  <c r="M225" i="13"/>
  <c r="J150" i="13" l="1"/>
  <c r="O171" i="13"/>
  <c r="B192" i="13" s="1"/>
  <c r="N192" i="13" s="1"/>
  <c r="O150" i="13"/>
  <c r="B169" i="13" s="1"/>
  <c r="H169" i="13" s="1"/>
  <c r="I225" i="13"/>
  <c r="J171" i="13"/>
  <c r="I188" i="13"/>
  <c r="I201" i="13" s="1"/>
  <c r="I180" i="13"/>
  <c r="I159" i="13"/>
  <c r="I140" i="13"/>
  <c r="J170" i="13"/>
  <c r="J131" i="13"/>
  <c r="Q60" i="13"/>
  <c r="Q43" i="13"/>
  <c r="H192" i="13"/>
  <c r="O170" i="13"/>
  <c r="B191" i="13" s="1"/>
  <c r="O131" i="13"/>
  <c r="B149" i="13" s="1"/>
  <c r="N169" i="13" l="1"/>
  <c r="O169" i="13" s="1"/>
  <c r="B190" i="13" s="1"/>
  <c r="J169" i="13"/>
  <c r="N149" i="13"/>
  <c r="H149" i="13"/>
  <c r="J192" i="13"/>
  <c r="O192" i="13"/>
  <c r="B216" i="13" s="1"/>
  <c r="H191" i="13"/>
  <c r="N191" i="13"/>
  <c r="J191" i="13" l="1"/>
  <c r="O191" i="13"/>
  <c r="B215" i="13" s="1"/>
  <c r="J149" i="13"/>
  <c r="O149" i="13"/>
  <c r="B168" i="13" s="1"/>
  <c r="H190" i="13"/>
  <c r="N190" i="13"/>
  <c r="H216" i="13"/>
  <c r="N216" i="13"/>
  <c r="C96" i="13"/>
  <c r="C79" i="13"/>
  <c r="M96" i="13"/>
  <c r="L96" i="13"/>
  <c r="G96" i="13"/>
  <c r="F96" i="13"/>
  <c r="E96" i="13"/>
  <c r="I95" i="13"/>
  <c r="I94" i="13"/>
  <c r="I92" i="13"/>
  <c r="I91" i="13"/>
  <c r="I90" i="13"/>
  <c r="I89" i="13"/>
  <c r="I88" i="13"/>
  <c r="I87" i="13"/>
  <c r="I86" i="13"/>
  <c r="I85" i="13"/>
  <c r="I84" i="13"/>
  <c r="I83" i="13"/>
  <c r="M79" i="13"/>
  <c r="L79" i="13"/>
  <c r="G79" i="13"/>
  <c r="F79" i="13"/>
  <c r="E79" i="13"/>
  <c r="I66" i="13"/>
  <c r="M62" i="13"/>
  <c r="L62" i="13"/>
  <c r="G62" i="13"/>
  <c r="F62" i="13"/>
  <c r="E62" i="13"/>
  <c r="I49" i="13"/>
  <c r="M45" i="13"/>
  <c r="L45" i="13"/>
  <c r="G45" i="13"/>
  <c r="F45" i="13"/>
  <c r="E45" i="13"/>
  <c r="I44" i="13"/>
  <c r="I43" i="13"/>
  <c r="C45" i="13"/>
  <c r="I41" i="13"/>
  <c r="I40" i="13"/>
  <c r="I39" i="13"/>
  <c r="I38" i="13"/>
  <c r="I37" i="13"/>
  <c r="I36" i="13"/>
  <c r="I35" i="13"/>
  <c r="I34" i="13"/>
  <c r="I33" i="13"/>
  <c r="I32" i="13"/>
  <c r="M27" i="13"/>
  <c r="L27" i="13"/>
  <c r="G27" i="13"/>
  <c r="F27" i="13"/>
  <c r="E27" i="13"/>
  <c r="D27" i="13"/>
  <c r="N26" i="13"/>
  <c r="I26" i="13"/>
  <c r="H26" i="13"/>
  <c r="N25" i="13"/>
  <c r="I25" i="13"/>
  <c r="H25" i="13"/>
  <c r="I23" i="13"/>
  <c r="N22" i="13"/>
  <c r="I22" i="13"/>
  <c r="H22" i="13"/>
  <c r="N21" i="13"/>
  <c r="I21" i="13"/>
  <c r="H21" i="13"/>
  <c r="N20" i="13"/>
  <c r="I20" i="13"/>
  <c r="H20" i="13"/>
  <c r="N19" i="13"/>
  <c r="I19" i="13"/>
  <c r="H19" i="13"/>
  <c r="N18" i="13"/>
  <c r="I18" i="13"/>
  <c r="H18" i="13"/>
  <c r="I17" i="13"/>
  <c r="N16" i="13"/>
  <c r="I16" i="13"/>
  <c r="H16" i="13"/>
  <c r="N14" i="13"/>
  <c r="I14" i="13"/>
  <c r="H14" i="13"/>
  <c r="J26" i="13" l="1"/>
  <c r="J216" i="13"/>
  <c r="O216" i="13"/>
  <c r="J190" i="13"/>
  <c r="O190" i="13"/>
  <c r="B214" i="13" s="1"/>
  <c r="H168" i="13"/>
  <c r="N168" i="13"/>
  <c r="O25" i="13"/>
  <c r="B43" i="13" s="1"/>
  <c r="H43" i="13" s="1"/>
  <c r="J22" i="13"/>
  <c r="N215" i="13"/>
  <c r="H215" i="13"/>
  <c r="J18" i="13"/>
  <c r="O16" i="13"/>
  <c r="B34" i="13" s="1"/>
  <c r="H34" i="13" s="1"/>
  <c r="C62" i="13"/>
  <c r="J21" i="13"/>
  <c r="I42" i="13"/>
  <c r="I45" i="13" s="1"/>
  <c r="J20" i="13"/>
  <c r="O18" i="13"/>
  <c r="B36" i="13" s="1"/>
  <c r="H36" i="13" s="1"/>
  <c r="N23" i="13"/>
  <c r="O21" i="13"/>
  <c r="B39" i="13" s="1"/>
  <c r="N39" i="13" s="1"/>
  <c r="O26" i="13"/>
  <c r="B44" i="13" s="1"/>
  <c r="N44" i="13" s="1"/>
  <c r="I93" i="13"/>
  <c r="I96" i="13" s="1"/>
  <c r="O22" i="13"/>
  <c r="B40" i="13" s="1"/>
  <c r="H40" i="13" s="1"/>
  <c r="J25" i="13"/>
  <c r="J16" i="13"/>
  <c r="I79" i="13"/>
  <c r="O20" i="13"/>
  <c r="B38" i="13" s="1"/>
  <c r="N38" i="13" s="1"/>
  <c r="I62" i="13"/>
  <c r="O19" i="13"/>
  <c r="B37" i="13" s="1"/>
  <c r="J19" i="13"/>
  <c r="O14" i="13"/>
  <c r="J14" i="13"/>
  <c r="H23" i="13"/>
  <c r="N43" i="13" l="1"/>
  <c r="N34" i="13"/>
  <c r="J168" i="13"/>
  <c r="O168" i="13"/>
  <c r="B189" i="13" s="1"/>
  <c r="N214" i="13"/>
  <c r="H214" i="13"/>
  <c r="O215" i="13"/>
  <c r="J215" i="13"/>
  <c r="H39" i="13"/>
  <c r="J39" i="13" s="1"/>
  <c r="H38" i="13"/>
  <c r="O38" i="13" s="1"/>
  <c r="B55" i="13" s="1"/>
  <c r="H44" i="13"/>
  <c r="J44" i="13" s="1"/>
  <c r="N40" i="13"/>
  <c r="O40" i="13" s="1"/>
  <c r="B57" i="13" s="1"/>
  <c r="N36" i="13"/>
  <c r="O36" i="13" s="1"/>
  <c r="B53" i="13" s="1"/>
  <c r="O43" i="13"/>
  <c r="B60" i="13" s="1"/>
  <c r="J43" i="13"/>
  <c r="J36" i="13"/>
  <c r="B32" i="13"/>
  <c r="H37" i="13"/>
  <c r="N37" i="13"/>
  <c r="J23" i="13"/>
  <c r="O23" i="13"/>
  <c r="B41" i="13" s="1"/>
  <c r="J34" i="13"/>
  <c r="O34" i="13"/>
  <c r="B51" i="13" s="1"/>
  <c r="J40" i="13"/>
  <c r="O44" i="13" l="1"/>
  <c r="B61" i="13" s="1"/>
  <c r="H61" i="13" s="1"/>
  <c r="J38" i="13"/>
  <c r="J214" i="13"/>
  <c r="O214" i="13"/>
  <c r="H189" i="13"/>
  <c r="N189" i="13"/>
  <c r="O39" i="13"/>
  <c r="B56" i="13" s="1"/>
  <c r="N56" i="13" s="1"/>
  <c r="H51" i="13"/>
  <c r="N51" i="13"/>
  <c r="N53" i="13"/>
  <c r="H53" i="13"/>
  <c r="H41" i="13"/>
  <c r="N41" i="13"/>
  <c r="N55" i="13"/>
  <c r="H55" i="13"/>
  <c r="J37" i="13"/>
  <c r="O37" i="13"/>
  <c r="B54" i="13" s="1"/>
  <c r="N32" i="13"/>
  <c r="H32" i="13"/>
  <c r="N57" i="13"/>
  <c r="H57" i="13"/>
  <c r="N60" i="13"/>
  <c r="H60" i="13"/>
  <c r="N61" i="13" l="1"/>
  <c r="H56" i="13"/>
  <c r="O56" i="13" s="1"/>
  <c r="B73" i="13" s="1"/>
  <c r="O189" i="13"/>
  <c r="B213" i="13" s="1"/>
  <c r="J189" i="13"/>
  <c r="O61" i="13"/>
  <c r="B78" i="13" s="1"/>
  <c r="J61" i="13"/>
  <c r="J57" i="13"/>
  <c r="O57" i="13"/>
  <c r="B74" i="13" s="1"/>
  <c r="J41" i="13"/>
  <c r="O41" i="13"/>
  <c r="B58" i="13" s="1"/>
  <c r="O55" i="13"/>
  <c r="B72" i="13" s="1"/>
  <c r="J55" i="13"/>
  <c r="J53" i="13"/>
  <c r="O53" i="13"/>
  <c r="B70" i="13" s="1"/>
  <c r="O32" i="13"/>
  <c r="J32" i="13"/>
  <c r="O60" i="13"/>
  <c r="B77" i="13" s="1"/>
  <c r="J60" i="13"/>
  <c r="N54" i="13"/>
  <c r="H54" i="13"/>
  <c r="O51" i="13"/>
  <c r="B68" i="13" s="1"/>
  <c r="J51" i="13"/>
  <c r="J56" i="13" l="1"/>
  <c r="H213" i="13"/>
  <c r="N213" i="13"/>
  <c r="B49" i="13"/>
  <c r="H77" i="13"/>
  <c r="N77" i="13"/>
  <c r="H78" i="13"/>
  <c r="N78" i="13"/>
  <c r="H70" i="13"/>
  <c r="N70" i="13"/>
  <c r="H68" i="13"/>
  <c r="N68" i="13"/>
  <c r="N58" i="13"/>
  <c r="H58" i="13"/>
  <c r="H73" i="13"/>
  <c r="N73" i="13"/>
  <c r="H74" i="13"/>
  <c r="N74" i="13"/>
  <c r="H72" i="13"/>
  <c r="N72" i="13"/>
  <c r="O54" i="13"/>
  <c r="B71" i="13" s="1"/>
  <c r="J54" i="13"/>
  <c r="J213" i="13" l="1"/>
  <c r="O213" i="13"/>
  <c r="H71" i="13"/>
  <c r="N71" i="13"/>
  <c r="O78" i="13"/>
  <c r="B95" i="13" s="1"/>
  <c r="J78" i="13"/>
  <c r="O58" i="13"/>
  <c r="B75" i="13" s="1"/>
  <c r="J58" i="13"/>
  <c r="J72" i="13"/>
  <c r="O72" i="13"/>
  <c r="B89" i="13" s="1"/>
  <c r="O77" i="13"/>
  <c r="B94" i="13" s="1"/>
  <c r="J77" i="13"/>
  <c r="J73" i="13"/>
  <c r="O73" i="13"/>
  <c r="B90" i="13" s="1"/>
  <c r="J74" i="13"/>
  <c r="O74" i="13"/>
  <c r="B91" i="13" s="1"/>
  <c r="N91" i="13" s="1"/>
  <c r="J68" i="13"/>
  <c r="O68" i="13"/>
  <c r="B85" i="13" s="1"/>
  <c r="J70" i="13"/>
  <c r="O70" i="13"/>
  <c r="B87" i="13" s="1"/>
  <c r="N49" i="13"/>
  <c r="H49" i="13"/>
  <c r="H75" i="13" l="1"/>
  <c r="N75" i="13"/>
  <c r="N90" i="13"/>
  <c r="H90" i="13"/>
  <c r="H87" i="13"/>
  <c r="N87" i="13"/>
  <c r="N95" i="13"/>
  <c r="H95" i="13"/>
  <c r="N85" i="13"/>
  <c r="H85" i="13"/>
  <c r="H94" i="13"/>
  <c r="N94" i="13"/>
  <c r="J71" i="13"/>
  <c r="O71" i="13"/>
  <c r="B88" i="13" s="1"/>
  <c r="O49" i="13"/>
  <c r="J49" i="13"/>
  <c r="H91" i="13"/>
  <c r="N89" i="13"/>
  <c r="H89" i="13"/>
  <c r="H88" i="13" l="1"/>
  <c r="N88" i="13"/>
  <c r="O87" i="13"/>
  <c r="B18" i="16" s="1"/>
  <c r="J87" i="13"/>
  <c r="J90" i="13"/>
  <c r="O90" i="13"/>
  <c r="B22" i="16" s="1"/>
  <c r="O94" i="13"/>
  <c r="B26" i="16" s="1"/>
  <c r="J94" i="13"/>
  <c r="J75" i="13"/>
  <c r="O75" i="13"/>
  <c r="B92" i="13" s="1"/>
  <c r="O89" i="13"/>
  <c r="B21" i="16" s="1"/>
  <c r="J89" i="13"/>
  <c r="O85" i="13"/>
  <c r="B16" i="16" s="1"/>
  <c r="J85" i="13"/>
  <c r="O95" i="13"/>
  <c r="B27" i="16" s="1"/>
  <c r="J95" i="13"/>
  <c r="J91" i="13"/>
  <c r="O91" i="13"/>
  <c r="B23" i="16" s="1"/>
  <c r="B66" i="13"/>
  <c r="B139" i="13" l="1"/>
  <c r="N139" i="13" s="1"/>
  <c r="G27" i="16"/>
  <c r="O27" i="16" s="1"/>
  <c r="P27" i="16" s="1"/>
  <c r="B46" i="16" s="1"/>
  <c r="B134" i="13"/>
  <c r="G22" i="16"/>
  <c r="O22" i="16" s="1"/>
  <c r="P22" i="16" s="1"/>
  <c r="B41" i="16" s="1"/>
  <c r="B138" i="13"/>
  <c r="H138" i="13" s="1"/>
  <c r="G26" i="16"/>
  <c r="O26" i="16" s="1"/>
  <c r="P26" i="16" s="1"/>
  <c r="B45" i="16" s="1"/>
  <c r="B133" i="13"/>
  <c r="G21" i="16"/>
  <c r="B130" i="13"/>
  <c r="N130" i="13" s="1"/>
  <c r="G18" i="16"/>
  <c r="O18" i="16" s="1"/>
  <c r="P18" i="16" s="1"/>
  <c r="B36" i="16" s="1"/>
  <c r="B135" i="13"/>
  <c r="N135" i="13" s="1"/>
  <c r="G23" i="16"/>
  <c r="O23" i="16" s="1"/>
  <c r="P23" i="16" s="1"/>
  <c r="B42" i="16" s="1"/>
  <c r="B128" i="13"/>
  <c r="G16" i="16"/>
  <c r="H134" i="13"/>
  <c r="N134" i="13"/>
  <c r="H139" i="13"/>
  <c r="H133" i="13"/>
  <c r="N133" i="13"/>
  <c r="N128" i="13"/>
  <c r="H128" i="13"/>
  <c r="H130" i="13"/>
  <c r="O88" i="13"/>
  <c r="B20" i="16" s="1"/>
  <c r="J88" i="13"/>
  <c r="H66" i="13"/>
  <c r="N66" i="13"/>
  <c r="H92" i="13"/>
  <c r="N92" i="13"/>
  <c r="N138" i="13" l="1"/>
  <c r="O16" i="16"/>
  <c r="P16" i="16" s="1"/>
  <c r="G41" i="16"/>
  <c r="O41" i="16" s="1"/>
  <c r="P41" i="16" s="1"/>
  <c r="B62" i="16" s="1"/>
  <c r="G62" i="16" s="1"/>
  <c r="O62" i="16" s="1"/>
  <c r="P62" i="16" s="1"/>
  <c r="B84" i="16" s="1"/>
  <c r="G84" i="16" s="1"/>
  <c r="O84" i="16" s="1"/>
  <c r="P84" i="16" s="1"/>
  <c r="B114" i="16" s="1"/>
  <c r="G114" i="16" s="1"/>
  <c r="O114" i="16" s="1"/>
  <c r="P114" i="16" s="1"/>
  <c r="G45" i="16"/>
  <c r="O45" i="16" s="1"/>
  <c r="P45" i="16" s="1"/>
  <c r="B66" i="16" s="1"/>
  <c r="G66" i="16" s="1"/>
  <c r="O66" i="16" s="1"/>
  <c r="P66" i="16" s="1"/>
  <c r="B89" i="16" s="1"/>
  <c r="G89" i="16" s="1"/>
  <c r="O89" i="16" s="1"/>
  <c r="P89" i="16" s="1"/>
  <c r="B119" i="16" s="1"/>
  <c r="G119" i="16" s="1"/>
  <c r="O119" i="16" s="1"/>
  <c r="P119" i="16" s="1"/>
  <c r="G46" i="16"/>
  <c r="O46" i="16" s="1"/>
  <c r="P46" i="16" s="1"/>
  <c r="B67" i="16" s="1"/>
  <c r="G67" i="16" s="1"/>
  <c r="G36" i="16"/>
  <c r="O36" i="16" s="1"/>
  <c r="P36" i="16" s="1"/>
  <c r="B55" i="16" s="1"/>
  <c r="G55" i="16" s="1"/>
  <c r="O55" i="16" s="1"/>
  <c r="P55" i="16" s="1"/>
  <c r="B76" i="16" s="1"/>
  <c r="G76" i="16" s="1"/>
  <c r="O76" i="16" s="1"/>
  <c r="P76" i="16" s="1"/>
  <c r="B104" i="16" s="1"/>
  <c r="G104" i="16" s="1"/>
  <c r="O104" i="16" s="1"/>
  <c r="P104" i="16" s="1"/>
  <c r="G42" i="16"/>
  <c r="O42" i="16" s="1"/>
  <c r="P42" i="16" s="1"/>
  <c r="B63" i="16" s="1"/>
  <c r="G63" i="16" s="1"/>
  <c r="O63" i="16" s="1"/>
  <c r="P63" i="16" s="1"/>
  <c r="B85" i="16" s="1"/>
  <c r="G85" i="16" s="1"/>
  <c r="O85" i="16" s="1"/>
  <c r="P85" i="16" s="1"/>
  <c r="B115" i="16" s="1"/>
  <c r="G115" i="16" s="1"/>
  <c r="H135" i="13"/>
  <c r="J135" i="13" s="1"/>
  <c r="O21" i="16"/>
  <c r="P21" i="16" s="1"/>
  <c r="B40" i="16" s="1"/>
  <c r="B132" i="13"/>
  <c r="G20" i="16"/>
  <c r="J134" i="13"/>
  <c r="O134" i="13"/>
  <c r="B153" i="13" s="1"/>
  <c r="J130" i="13"/>
  <c r="O130" i="13"/>
  <c r="B148" i="13" s="1"/>
  <c r="O128" i="13"/>
  <c r="B146" i="13" s="1"/>
  <c r="J128" i="13"/>
  <c r="J139" i="13"/>
  <c r="O139" i="13"/>
  <c r="B158" i="13" s="1"/>
  <c r="H132" i="13"/>
  <c r="N132" i="13"/>
  <c r="J133" i="13"/>
  <c r="O133" i="13"/>
  <c r="B152" i="13" s="1"/>
  <c r="J138" i="13"/>
  <c r="O138" i="13"/>
  <c r="B157" i="13" s="1"/>
  <c r="O92" i="13"/>
  <c r="B24" i="16" s="1"/>
  <c r="J92" i="13"/>
  <c r="J66" i="13"/>
  <c r="O66" i="13"/>
  <c r="O135" i="13" l="1"/>
  <c r="B154" i="13" s="1"/>
  <c r="O115" i="16"/>
  <c r="P115" i="16" s="1"/>
  <c r="O67" i="16"/>
  <c r="P67" i="16" s="1"/>
  <c r="B90" i="16" s="1"/>
  <c r="B34" i="16"/>
  <c r="G34" i="16" s="1"/>
  <c r="O34" i="16" s="1"/>
  <c r="P34" i="16" s="1"/>
  <c r="B53" i="16" s="1"/>
  <c r="G53" i="16" s="1"/>
  <c r="O53" i="16" s="1"/>
  <c r="P53" i="16" s="1"/>
  <c r="B74" i="16" s="1"/>
  <c r="G74" i="16" s="1"/>
  <c r="O74" i="16" s="1"/>
  <c r="P74" i="16" s="1"/>
  <c r="B102" i="16" s="1"/>
  <c r="G102" i="16" s="1"/>
  <c r="G40" i="16"/>
  <c r="O40" i="16" s="1"/>
  <c r="P40" i="16" s="1"/>
  <c r="B61" i="16" s="1"/>
  <c r="G61" i="16" s="1"/>
  <c r="O61" i="16" s="1"/>
  <c r="P61" i="16" s="1"/>
  <c r="B83" i="16" s="1"/>
  <c r="G83" i="16" s="1"/>
  <c r="O83" i="16" s="1"/>
  <c r="P83" i="16" s="1"/>
  <c r="B113" i="16" s="1"/>
  <c r="G113" i="16" s="1"/>
  <c r="O113" i="16" s="1"/>
  <c r="P113" i="16" s="1"/>
  <c r="G39" i="16"/>
  <c r="O39" i="16" s="1"/>
  <c r="P39" i="16" s="1"/>
  <c r="B60" i="16" s="1"/>
  <c r="G60" i="16" s="1"/>
  <c r="O60" i="16" s="1"/>
  <c r="P60" i="16" s="1"/>
  <c r="B82" i="16" s="1"/>
  <c r="G82" i="16" s="1"/>
  <c r="O82" i="16" s="1"/>
  <c r="P82" i="16" s="1"/>
  <c r="B112" i="16" s="1"/>
  <c r="G112" i="16" s="1"/>
  <c r="O112" i="16" s="1"/>
  <c r="P112" i="16" s="1"/>
  <c r="O20" i="16"/>
  <c r="B136" i="13"/>
  <c r="H136" i="13" s="1"/>
  <c r="G24" i="16"/>
  <c r="O24" i="16" s="1"/>
  <c r="P24" i="16" s="1"/>
  <c r="B43" i="16" s="1"/>
  <c r="N153" i="13"/>
  <c r="H153" i="13"/>
  <c r="N152" i="13"/>
  <c r="H152" i="13"/>
  <c r="H154" i="13"/>
  <c r="N154" i="13"/>
  <c r="N157" i="13"/>
  <c r="H157" i="13"/>
  <c r="O132" i="13"/>
  <c r="B151" i="13" s="1"/>
  <c r="J132" i="13"/>
  <c r="H148" i="13"/>
  <c r="N148" i="13"/>
  <c r="H158" i="13"/>
  <c r="N158" i="13"/>
  <c r="H146" i="13"/>
  <c r="N146" i="13"/>
  <c r="B83" i="13"/>
  <c r="N136" i="13" l="1"/>
  <c r="F90" i="16"/>
  <c r="O102" i="16"/>
  <c r="P102" i="16" s="1"/>
  <c r="G43" i="16"/>
  <c r="O43" i="16" s="1"/>
  <c r="J158" i="13"/>
  <c r="O158" i="13"/>
  <c r="B179" i="13" s="1"/>
  <c r="O157" i="13"/>
  <c r="B178" i="13" s="1"/>
  <c r="J157" i="13"/>
  <c r="O136" i="13"/>
  <c r="B155" i="13" s="1"/>
  <c r="J136" i="13"/>
  <c r="J148" i="13"/>
  <c r="O148" i="13"/>
  <c r="B167" i="13" s="1"/>
  <c r="J154" i="13"/>
  <c r="O154" i="13"/>
  <c r="B175" i="13" s="1"/>
  <c r="J152" i="13"/>
  <c r="O152" i="13"/>
  <c r="B173" i="13" s="1"/>
  <c r="O146" i="13"/>
  <c r="B165" i="13" s="1"/>
  <c r="J146" i="13"/>
  <c r="O153" i="13"/>
  <c r="B174" i="13" s="1"/>
  <c r="J153" i="13"/>
  <c r="H151" i="13"/>
  <c r="N151" i="13"/>
  <c r="H83" i="13"/>
  <c r="N83" i="13"/>
  <c r="F91" i="16" l="1"/>
  <c r="H90" i="16"/>
  <c r="K90" i="16"/>
  <c r="G90" i="16"/>
  <c r="P43" i="16"/>
  <c r="B64" i="16" s="1"/>
  <c r="G64" i="16" s="1"/>
  <c r="O64" i="16" s="1"/>
  <c r="P64" i="16" s="1"/>
  <c r="B86" i="16" s="1"/>
  <c r="G86" i="16" s="1"/>
  <c r="O86" i="16" s="1"/>
  <c r="P86" i="16" s="1"/>
  <c r="B116" i="16" s="1"/>
  <c r="G116" i="16" s="1"/>
  <c r="O116" i="16" s="1"/>
  <c r="P116" i="16" s="1"/>
  <c r="N167" i="13"/>
  <c r="H167" i="13"/>
  <c r="H165" i="13"/>
  <c r="N165" i="13"/>
  <c r="N173" i="13"/>
  <c r="H173" i="13"/>
  <c r="J151" i="13"/>
  <c r="O151" i="13"/>
  <c r="B172" i="13" s="1"/>
  <c r="H155" i="13"/>
  <c r="N155" i="13"/>
  <c r="N178" i="13"/>
  <c r="H178" i="13"/>
  <c r="H175" i="13"/>
  <c r="N175" i="13"/>
  <c r="H179" i="13"/>
  <c r="N179" i="13"/>
  <c r="N174" i="13"/>
  <c r="H174" i="13"/>
  <c r="J83" i="13"/>
  <c r="O83" i="13"/>
  <c r="B14" i="16" s="1"/>
  <c r="K91" i="16" l="1"/>
  <c r="H91" i="16"/>
  <c r="I90" i="16"/>
  <c r="B126" i="13"/>
  <c r="H126" i="13" s="1"/>
  <c r="J165" i="13"/>
  <c r="O165" i="13"/>
  <c r="B186" i="13" s="1"/>
  <c r="O178" i="13"/>
  <c r="B199" i="13" s="1"/>
  <c r="J178" i="13"/>
  <c r="O167" i="13"/>
  <c r="B188" i="13" s="1"/>
  <c r="J167" i="13"/>
  <c r="O174" i="13"/>
  <c r="B195" i="13" s="1"/>
  <c r="J174" i="13"/>
  <c r="H172" i="13"/>
  <c r="N172" i="13"/>
  <c r="N126" i="13"/>
  <c r="J175" i="13"/>
  <c r="O175" i="13"/>
  <c r="B196" i="13" s="1"/>
  <c r="J173" i="13"/>
  <c r="O173" i="13"/>
  <c r="B194" i="13" s="1"/>
  <c r="J155" i="13"/>
  <c r="O155" i="13"/>
  <c r="B176" i="13" s="1"/>
  <c r="J179" i="13"/>
  <c r="O179" i="13"/>
  <c r="B200" i="13" s="1"/>
  <c r="J90" i="16" l="1"/>
  <c r="I91" i="16"/>
  <c r="H186" i="13"/>
  <c r="N186" i="13"/>
  <c r="H176" i="13"/>
  <c r="N176" i="13"/>
  <c r="N196" i="13"/>
  <c r="H196" i="13"/>
  <c r="H195" i="13"/>
  <c r="N195" i="13"/>
  <c r="J172" i="13"/>
  <c r="O172" i="13"/>
  <c r="B193" i="13" s="1"/>
  <c r="N188" i="13"/>
  <c r="H188" i="13"/>
  <c r="N200" i="13"/>
  <c r="H200" i="13"/>
  <c r="H194" i="13"/>
  <c r="N194" i="13"/>
  <c r="J126" i="13"/>
  <c r="O126" i="13"/>
  <c r="H199" i="13"/>
  <c r="N199" i="13"/>
  <c r="J91" i="16" l="1"/>
  <c r="O90" i="16"/>
  <c r="P90" i="16" s="1"/>
  <c r="B120" i="16" s="1"/>
  <c r="G14" i="16"/>
  <c r="J199" i="13"/>
  <c r="O199" i="13"/>
  <c r="B223" i="13" s="1"/>
  <c r="J195" i="13"/>
  <c r="O195" i="13"/>
  <c r="B219" i="13" s="1"/>
  <c r="J186" i="13"/>
  <c r="O186" i="13"/>
  <c r="B210" i="13" s="1"/>
  <c r="J196" i="13"/>
  <c r="O196" i="13"/>
  <c r="B220" i="13" s="1"/>
  <c r="H193" i="13"/>
  <c r="N193" i="13"/>
  <c r="J194" i="13"/>
  <c r="O194" i="13"/>
  <c r="B218" i="13" s="1"/>
  <c r="B144" i="13"/>
  <c r="J176" i="13"/>
  <c r="O176" i="13"/>
  <c r="B197" i="13" s="1"/>
  <c r="J200" i="13"/>
  <c r="O200" i="13"/>
  <c r="B224" i="13" s="1"/>
  <c r="J188" i="13"/>
  <c r="O188" i="13"/>
  <c r="B212" i="13" s="1"/>
  <c r="F120" i="16" l="1"/>
  <c r="G120" i="16" s="1"/>
  <c r="O14" i="16"/>
  <c r="H144" i="13"/>
  <c r="N144" i="13"/>
  <c r="N210" i="13"/>
  <c r="H210" i="13"/>
  <c r="H197" i="13"/>
  <c r="N197" i="13"/>
  <c r="N218" i="13"/>
  <c r="H218" i="13"/>
  <c r="H224" i="13"/>
  <c r="N224" i="13"/>
  <c r="H219" i="13"/>
  <c r="N219" i="13"/>
  <c r="O193" i="13"/>
  <c r="B217" i="13" s="1"/>
  <c r="J193" i="13"/>
  <c r="H212" i="13"/>
  <c r="N212" i="13"/>
  <c r="H220" i="13"/>
  <c r="N220" i="13"/>
  <c r="N223" i="13"/>
  <c r="H223" i="13"/>
  <c r="F121" i="16" l="1"/>
  <c r="H120" i="16"/>
  <c r="K120" i="16"/>
  <c r="K121" i="16" s="1"/>
  <c r="P14" i="16"/>
  <c r="B32" i="16" s="1"/>
  <c r="J212" i="13"/>
  <c r="O212" i="13"/>
  <c r="J218" i="13"/>
  <c r="O218" i="13"/>
  <c r="J220" i="13"/>
  <c r="O220" i="13"/>
  <c r="H217" i="13"/>
  <c r="N217" i="13"/>
  <c r="O223" i="13"/>
  <c r="J223" i="13"/>
  <c r="O210" i="13"/>
  <c r="J210" i="13"/>
  <c r="J224" i="13"/>
  <c r="O224" i="13"/>
  <c r="J144" i="13"/>
  <c r="O144" i="13"/>
  <c r="O219" i="13"/>
  <c r="J219" i="13"/>
  <c r="O197" i="13"/>
  <c r="B221" i="13" s="1"/>
  <c r="J197" i="13"/>
  <c r="I120" i="16" l="1"/>
  <c r="H121" i="16"/>
  <c r="J217" i="13"/>
  <c r="O217" i="13"/>
  <c r="B163" i="13"/>
  <c r="H221" i="13"/>
  <c r="N221" i="13"/>
  <c r="J120" i="16" l="1"/>
  <c r="I121" i="16"/>
  <c r="G32" i="16"/>
  <c r="J221" i="13"/>
  <c r="O221" i="13"/>
  <c r="N163" i="13"/>
  <c r="H163" i="13"/>
  <c r="J121" i="16" l="1"/>
  <c r="O120" i="16"/>
  <c r="P120" i="16" s="1"/>
  <c r="O32" i="16"/>
  <c r="O163" i="13"/>
  <c r="J163" i="13"/>
  <c r="P32" i="16" l="1"/>
  <c r="B51" i="16" s="1"/>
  <c r="B184" i="13"/>
  <c r="G51" i="16" l="1"/>
  <c r="N184" i="13"/>
  <c r="H184" i="13"/>
  <c r="O51" i="16" l="1"/>
  <c r="P51" i="16" s="1"/>
  <c r="B72" i="16" s="1"/>
  <c r="O184" i="13"/>
  <c r="J184" i="13"/>
  <c r="G72" i="16" l="1"/>
  <c r="B208" i="13"/>
  <c r="O72" i="16" l="1"/>
  <c r="H208" i="13"/>
  <c r="N208" i="13"/>
  <c r="P72" i="16" l="1"/>
  <c r="J208" i="13"/>
  <c r="O208" i="13"/>
  <c r="B100" i="16" l="1"/>
  <c r="G100" i="16" l="1"/>
  <c r="I24" i="13"/>
  <c r="O100" i="16" l="1"/>
  <c r="H15" i="13"/>
  <c r="C27" i="13"/>
  <c r="N15" i="13"/>
  <c r="I15" i="13"/>
  <c r="P100" i="16" l="1"/>
  <c r="J15" i="13"/>
  <c r="I27" i="13"/>
  <c r="O15" i="13"/>
  <c r="B33" i="13" s="1"/>
  <c r="H33" i="13" l="1"/>
  <c r="N33" i="13"/>
  <c r="O33" i="13" l="1"/>
  <c r="B50" i="13" s="1"/>
  <c r="J33" i="13"/>
  <c r="N17" i="13"/>
  <c r="B27" i="13"/>
  <c r="B28" i="13" s="1"/>
  <c r="H17" i="13"/>
  <c r="N50" i="13" l="1"/>
  <c r="H50" i="13"/>
  <c r="N24" i="13"/>
  <c r="N27" i="13" s="1"/>
  <c r="H24" i="13"/>
  <c r="H27" i="13" s="1"/>
  <c r="J17" i="13"/>
  <c r="O17" i="13"/>
  <c r="O50" i="13" l="1"/>
  <c r="B67" i="13" s="1"/>
  <c r="J50" i="13"/>
  <c r="B35" i="13"/>
  <c r="J24" i="13"/>
  <c r="J27" i="13" s="1"/>
  <c r="O24" i="13"/>
  <c r="B42" i="13" s="1"/>
  <c r="H67" i="13" l="1"/>
  <c r="N67" i="13"/>
  <c r="N42" i="13"/>
  <c r="H42" i="13"/>
  <c r="O27" i="13"/>
  <c r="H35" i="13"/>
  <c r="N35" i="13"/>
  <c r="B45" i="13"/>
  <c r="J67" i="13" l="1"/>
  <c r="O67" i="13"/>
  <c r="B84" i="13" s="1"/>
  <c r="N45" i="13"/>
  <c r="O35" i="13"/>
  <c r="J35" i="13"/>
  <c r="H45" i="13"/>
  <c r="J42" i="13"/>
  <c r="O42" i="13"/>
  <c r="B59" i="13" s="1"/>
  <c r="H84" i="13" l="1"/>
  <c r="N84" i="13"/>
  <c r="H59" i="13"/>
  <c r="N59" i="13"/>
  <c r="J45" i="13"/>
  <c r="B52" i="13"/>
  <c r="O45" i="13"/>
  <c r="O84" i="13" l="1"/>
  <c r="B15" i="16" s="1"/>
  <c r="J84" i="13"/>
  <c r="O59" i="13"/>
  <c r="B76" i="13" s="1"/>
  <c r="J59" i="13"/>
  <c r="H52" i="13"/>
  <c r="N52" i="13"/>
  <c r="N62" i="13" s="1"/>
  <c r="B62" i="13"/>
  <c r="B127" i="13" l="1"/>
  <c r="G15" i="16"/>
  <c r="O15" i="16" s="1"/>
  <c r="P15" i="16" s="1"/>
  <c r="J52" i="13"/>
  <c r="J62" i="13" s="1"/>
  <c r="O52" i="13"/>
  <c r="H62" i="13"/>
  <c r="N76" i="13"/>
  <c r="H76" i="13"/>
  <c r="B33" i="16" l="1"/>
  <c r="G33" i="16" s="1"/>
  <c r="O33" i="16" s="1"/>
  <c r="P33" i="16" s="1"/>
  <c r="B52" i="16" s="1"/>
  <c r="N127" i="13"/>
  <c r="H127" i="13"/>
  <c r="O76" i="13"/>
  <c r="B93" i="13" s="1"/>
  <c r="J76" i="13"/>
  <c r="B69" i="13"/>
  <c r="O62" i="13"/>
  <c r="G52" i="16" l="1"/>
  <c r="O127" i="13"/>
  <c r="B145" i="13" s="1"/>
  <c r="J127" i="13"/>
  <c r="H69" i="13"/>
  <c r="N69" i="13"/>
  <c r="N79" i="13" s="1"/>
  <c r="B79" i="13"/>
  <c r="H93" i="13"/>
  <c r="N93" i="13"/>
  <c r="O52" i="16" l="1"/>
  <c r="N145" i="13"/>
  <c r="H145" i="13"/>
  <c r="J93" i="13"/>
  <c r="O93" i="13"/>
  <c r="B25" i="16" s="1"/>
  <c r="J69" i="13"/>
  <c r="J79" i="13" s="1"/>
  <c r="O69" i="13"/>
  <c r="H79" i="13"/>
  <c r="P52" i="16" l="1"/>
  <c r="B73" i="16" s="1"/>
  <c r="J145" i="13"/>
  <c r="O145" i="13"/>
  <c r="B164" i="13" s="1"/>
  <c r="B86" i="13"/>
  <c r="O79" i="13"/>
  <c r="B137" i="13"/>
  <c r="G73" i="16" l="1"/>
  <c r="G25" i="16"/>
  <c r="O25" i="16" s="1"/>
  <c r="P25" i="16" s="1"/>
  <c r="B44" i="16" s="1"/>
  <c r="N164" i="13"/>
  <c r="H164" i="13"/>
  <c r="H137" i="13"/>
  <c r="J137" i="13" s="1"/>
  <c r="N137" i="13"/>
  <c r="H86" i="13"/>
  <c r="N86" i="13"/>
  <c r="N96" i="13" s="1"/>
  <c r="B96" i="13"/>
  <c r="O73" i="16" l="1"/>
  <c r="J164" i="13"/>
  <c r="O164" i="13"/>
  <c r="B185" i="13" s="1"/>
  <c r="G44" i="16"/>
  <c r="O44" i="16" s="1"/>
  <c r="P44" i="16" s="1"/>
  <c r="B65" i="16" s="1"/>
  <c r="G65" i="16" s="1"/>
  <c r="O65" i="16" s="1"/>
  <c r="P65" i="16" s="1"/>
  <c r="B87" i="16" s="1"/>
  <c r="G87" i="16" s="1"/>
  <c r="O87" i="16" s="1"/>
  <c r="P87" i="16" s="1"/>
  <c r="B117" i="16" s="1"/>
  <c r="O137" i="13"/>
  <c r="B156" i="13" s="1"/>
  <c r="H156" i="13" s="1"/>
  <c r="J86" i="13"/>
  <c r="J96" i="13" s="1"/>
  <c r="O86" i="13"/>
  <c r="B17" i="16" s="1"/>
  <c r="H96" i="13"/>
  <c r="G117" i="16" l="1"/>
  <c r="O117" i="16" s="1"/>
  <c r="P117" i="16" s="1"/>
  <c r="P73" i="16"/>
  <c r="H185" i="13"/>
  <c r="N185" i="13"/>
  <c r="N156" i="13"/>
  <c r="O156" i="13" s="1"/>
  <c r="B177" i="13" s="1"/>
  <c r="B129" i="13"/>
  <c r="O96" i="13"/>
  <c r="J156" i="13"/>
  <c r="B101" i="16" l="1"/>
  <c r="O185" i="13"/>
  <c r="B209" i="13" s="1"/>
  <c r="J185" i="13"/>
  <c r="N177" i="13"/>
  <c r="H177" i="13"/>
  <c r="H129" i="13"/>
  <c r="N129" i="13"/>
  <c r="N140" i="13" s="1"/>
  <c r="B140" i="13"/>
  <c r="G101" i="16" l="1"/>
  <c r="H209" i="13"/>
  <c r="N209" i="13"/>
  <c r="G17" i="16"/>
  <c r="B28" i="16"/>
  <c r="J129" i="13"/>
  <c r="J140" i="13" s="1"/>
  <c r="O129" i="13"/>
  <c r="H140" i="13"/>
  <c r="J177" i="13"/>
  <c r="O177" i="13"/>
  <c r="B198" i="13" s="1"/>
  <c r="O101" i="16" l="1"/>
  <c r="J209" i="13"/>
  <c r="O209" i="13"/>
  <c r="N198" i="13"/>
  <c r="H198" i="13"/>
  <c r="B147" i="13"/>
  <c r="O140" i="13"/>
  <c r="O17" i="16"/>
  <c r="G28" i="16"/>
  <c r="P101" i="16" l="1"/>
  <c r="P17" i="16"/>
  <c r="B35" i="16" s="1"/>
  <c r="O28" i="16"/>
  <c r="H147" i="13"/>
  <c r="N147" i="13"/>
  <c r="N159" i="13" s="1"/>
  <c r="B159" i="13"/>
  <c r="O198" i="13"/>
  <c r="B222" i="13" s="1"/>
  <c r="J198" i="13"/>
  <c r="J147" i="13" l="1"/>
  <c r="J159" i="13" s="1"/>
  <c r="O147" i="13"/>
  <c r="H159" i="13"/>
  <c r="H222" i="13"/>
  <c r="N222" i="13"/>
  <c r="P28" i="16"/>
  <c r="O222" i="13" l="1"/>
  <c r="J222" i="13"/>
  <c r="G35" i="16"/>
  <c r="B47" i="16"/>
  <c r="B166" i="13"/>
  <c r="O159" i="13"/>
  <c r="N166" i="13" l="1"/>
  <c r="N180" i="13" s="1"/>
  <c r="H166" i="13"/>
  <c r="B180" i="13"/>
  <c r="O35" i="16"/>
  <c r="G47" i="16"/>
  <c r="P35" i="16" l="1"/>
  <c r="O47" i="16"/>
  <c r="J166" i="13"/>
  <c r="J180" i="13" s="1"/>
  <c r="O166" i="13"/>
  <c r="H180" i="13"/>
  <c r="P47" i="16" l="1"/>
  <c r="B54" i="16"/>
  <c r="B187" i="13"/>
  <c r="O180" i="13"/>
  <c r="G54" i="16" l="1"/>
  <c r="B68" i="16"/>
  <c r="H187" i="13"/>
  <c r="N187" i="13"/>
  <c r="N201" i="13" s="1"/>
  <c r="B201" i="13"/>
  <c r="O54" i="16" l="1"/>
  <c r="G68" i="16"/>
  <c r="O187" i="13"/>
  <c r="J187" i="13"/>
  <c r="J201" i="13" s="1"/>
  <c r="H201" i="13"/>
  <c r="P54" i="16" l="1"/>
  <c r="O68" i="16"/>
  <c r="B211" i="13"/>
  <c r="O201" i="13"/>
  <c r="P68" i="16" l="1"/>
  <c r="B75" i="16"/>
  <c r="H211" i="13"/>
  <c r="N211" i="13"/>
  <c r="N225" i="13" s="1"/>
  <c r="B225" i="13"/>
  <c r="G75" i="16" l="1"/>
  <c r="B91" i="16"/>
  <c r="O211" i="13"/>
  <c r="O225" i="13" s="1"/>
  <c r="J211" i="13"/>
  <c r="J225" i="13" s="1"/>
  <c r="H225" i="13"/>
  <c r="O75" i="16" l="1"/>
  <c r="G91" i="16"/>
  <c r="P75" i="16" l="1"/>
  <c r="O91" i="16"/>
  <c r="B103" i="16" l="1"/>
  <c r="P91" i="16"/>
  <c r="G103" i="16" l="1"/>
  <c r="B121" i="16"/>
  <c r="O103" i="16" l="1"/>
  <c r="G121" i="16"/>
  <c r="P103" i="16" l="1"/>
  <c r="P121" i="16" s="1"/>
  <c r="O12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Hutson</author>
    <author>Jin, Jessica Z</author>
  </authors>
  <commentList>
    <comment ref="K13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only additions in 2017 and thereafter are subject to a 5% CCA rate, otherwise it remains at 7%</t>
        </r>
      </text>
    </comment>
    <comment ref="C13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Jin, Jessica Z:</t>
        </r>
        <r>
          <rPr>
            <sz val="9"/>
            <color indexed="81"/>
            <rFont val="Tahoma"/>
            <family val="2"/>
          </rPr>
          <t xml:space="preserve">
Per 2019 SS12, poles were no longer being expensed but were put into Class 47</t>
        </r>
      </text>
    </comment>
    <comment ref="G137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Jin, Jessica Z:</t>
        </r>
        <r>
          <rPr>
            <sz val="9"/>
            <color indexed="81"/>
            <rFont val="Tahoma"/>
            <family val="2"/>
          </rPr>
          <t xml:space="preserve">
There was nothing here  but there were POD on the filed Sch 8</t>
        </r>
      </text>
    </comment>
    <comment ref="K15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only additions in 2017 and thereafter are subject to a 5% CCA rate, otherwise it remains at 7%</t>
        </r>
      </text>
    </comment>
    <comment ref="C156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Jin, Jessica Z:</t>
        </r>
        <r>
          <rPr>
            <sz val="9"/>
            <color indexed="81"/>
            <rFont val="Tahoma"/>
            <family val="2"/>
          </rPr>
          <t xml:space="preserve">
Per 2020 SS12, poles were no longer being expensed but were put to Class 47</t>
        </r>
      </text>
    </comment>
    <comment ref="K17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only additions in 2017 and thereafter are subject to a 5% CCA rate, otherwise it remains at 7%</t>
        </r>
      </text>
    </comment>
    <comment ref="C184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Jin, Jessica Z:</t>
        </r>
        <r>
          <rPr>
            <sz val="9"/>
            <color indexed="81"/>
            <rFont val="Tahoma"/>
            <family val="2"/>
          </rPr>
          <t xml:space="preserve">
See below for email from Mark</t>
        </r>
      </text>
    </comment>
    <comment ref="K19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only additions in 2017 and thereafter are subject to a 5% CCA rate, otherwise it remains at 7%</t>
        </r>
      </text>
    </comment>
    <comment ref="K22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only additions in 2017 and thereafter are subject to a 5% CCA rate, otherwise it remains at 7%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Hutson</author>
  </authors>
  <commentList>
    <comment ref="L6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only additions in 2017 and thereafter are subject to a 5% CCA rate, otherwise it remains at 7%</t>
        </r>
      </text>
    </comment>
    <comment ref="L8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only additions in 2017 and thereafter are subject to a 5% CCA rate, otherwise it remains at 7%</t>
        </r>
      </text>
    </comment>
    <comment ref="C8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$1M - contributed capital received in year
$350K - storm restoration costs expensed on Sch 1</t>
        </r>
      </text>
    </comment>
    <comment ref="L1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only additions in 2017 and thereafter are subject to a 5% CCA rate, otherwise it remains at 7%</t>
        </r>
      </text>
    </comment>
    <comment ref="C11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$1M - contributed capital received in year
$385K - storm restoration costs expensed on Sch 1</t>
        </r>
      </text>
    </comment>
  </commentList>
</comments>
</file>

<file path=xl/sharedStrings.xml><?xml version="1.0" encoding="utf-8"?>
<sst xmlns="http://schemas.openxmlformats.org/spreadsheetml/2006/main" count="250" uniqueCount="102">
  <si>
    <t>Bluewater Power Distribution Corporation</t>
  </si>
  <si>
    <t>Summary of Capital Cost Allowance</t>
  </si>
  <si>
    <t>UCC</t>
  </si>
  <si>
    <t>1/2 of</t>
  </si>
  <si>
    <t xml:space="preserve">Reduced </t>
  </si>
  <si>
    <t>Terminal</t>
  </si>
  <si>
    <t>Class No.</t>
  </si>
  <si>
    <t>BOY</t>
  </si>
  <si>
    <t>Additions</t>
  </si>
  <si>
    <t xml:space="preserve">KPMG </t>
  </si>
  <si>
    <t>Adjustments</t>
  </si>
  <si>
    <t>Proceeds*</t>
  </si>
  <si>
    <t>[203] - [207]</t>
  </si>
  <si>
    <t>Rate %</t>
  </si>
  <si>
    <t>Recapture</t>
  </si>
  <si>
    <t>Loss</t>
  </si>
  <si>
    <t>CCA</t>
  </si>
  <si>
    <t>EOY</t>
  </si>
  <si>
    <t>[200]</t>
  </si>
  <si>
    <t>[201]</t>
  </si>
  <si>
    <t>[203]</t>
  </si>
  <si>
    <t xml:space="preserve">Disposals </t>
  </si>
  <si>
    <t>[205]</t>
  </si>
  <si>
    <t>[207]</t>
  </si>
  <si>
    <t>[211]</t>
  </si>
  <si>
    <t>[212]</t>
  </si>
  <si>
    <t>[213]</t>
  </si>
  <si>
    <t>[215]</t>
  </si>
  <si>
    <t>[217]</t>
  </si>
  <si>
    <t>[220]</t>
  </si>
  <si>
    <t>1b</t>
  </si>
  <si>
    <t>See Yellow for Cells that Have been adjusted from Originally Filed</t>
  </si>
  <si>
    <t>2015 with adjustments</t>
  </si>
  <si>
    <t>2016 with adjustments</t>
  </si>
  <si>
    <t>2019 with opening adjustments</t>
  </si>
  <si>
    <t xml:space="preserve">Difference </t>
  </si>
  <si>
    <t>2021 with opening adjustments</t>
  </si>
  <si>
    <t>V</t>
  </si>
  <si>
    <t>2022 with opening adjustments</t>
  </si>
  <si>
    <t xml:space="preserve">Client addition </t>
  </si>
  <si>
    <t>2023 with opening adjustments</t>
  </si>
  <si>
    <t xml:space="preserve">2020 with opening adjustments </t>
  </si>
  <si>
    <t>2014 with adjustments</t>
  </si>
  <si>
    <t>original CCA per Sch 8</t>
  </si>
  <si>
    <t>original CEC per Sch 10</t>
  </si>
  <si>
    <t>disallowed per auditor statement of adjustments (re smart meters)</t>
  </si>
  <si>
    <t>disallowed per auditor statement of adjustments</t>
  </si>
  <si>
    <t>total revised CCA plus CEC</t>
  </si>
  <si>
    <t>original CCA per Sch 8 (now includes Class 14.1)</t>
  </si>
  <si>
    <t>total revised CCA</t>
  </si>
  <si>
    <t>disallowed Class 14.1 per auditor statement of adjustments</t>
  </si>
  <si>
    <t>2014 check:</t>
  </si>
  <si>
    <t>2015 check:</t>
  </si>
  <si>
    <t>2016 check:</t>
  </si>
  <si>
    <t>2017 check:</t>
  </si>
  <si>
    <t>2017 with adjustments</t>
  </si>
  <si>
    <t>2018 with adjustments</t>
  </si>
  <si>
    <t>2018 check:</t>
  </si>
  <si>
    <t>14.1 (new)</t>
  </si>
  <si>
    <t>14.1 (Sch 10)</t>
  </si>
  <si>
    <t>disallowed re Class 47 (re $83,855 proceeds correction)</t>
  </si>
  <si>
    <t>allowed re Class 10 (re $83,855 proceeds correction)</t>
  </si>
  <si>
    <t>allowed re Class 10 (re 2017 $83,855 proceeds correction)</t>
  </si>
  <si>
    <t>disallowed re Class 47 (re 2017 $83,855 proceeds correction)</t>
  </si>
  <si>
    <t>2019 check:</t>
  </si>
  <si>
    <t>2019 with adjustments</t>
  </si>
  <si>
    <t>[225]</t>
  </si>
  <si>
    <t>Additions from</t>
  </si>
  <si>
    <t>Column 3</t>
  </si>
  <si>
    <t>that are AIIP</t>
  </si>
  <si>
    <t>Proceeds</t>
  </si>
  <si>
    <t>to reduce the</t>
  </si>
  <si>
    <t>UCC of AIIP</t>
  </si>
  <si>
    <t xml:space="preserve">Net cost of </t>
  </si>
  <si>
    <t>AIIP added</t>
  </si>
  <si>
    <t>during year</t>
  </si>
  <si>
    <t>UCC Adjustment</t>
  </si>
  <si>
    <t>for AIIP added</t>
  </si>
  <si>
    <t>for non-AIIP added</t>
  </si>
  <si>
    <t>[224]</t>
  </si>
  <si>
    <t>n/a</t>
  </si>
  <si>
    <t>2020 with adjustments</t>
  </si>
  <si>
    <t>2020 check:</t>
  </si>
  <si>
    <t>2021 with adjustments</t>
  </si>
  <si>
    <t>2021 check:</t>
  </si>
  <si>
    <t>allowed per auditor statement of adjustments (re smart meters)</t>
  </si>
  <si>
    <t>2022 bridge year</t>
  </si>
  <si>
    <t>2023 test year</t>
  </si>
  <si>
    <t>= cost amount not included in Class 10.1 due to ceiling limit</t>
  </si>
  <si>
    <t>allowed per auditor statement of adjustment (re rotten poles)</t>
  </si>
  <si>
    <t>w/o 14.1 =</t>
  </si>
  <si>
    <t>= land</t>
  </si>
  <si>
    <t>47 - smart grid</t>
  </si>
  <si>
    <t>= storm restoration costs expensed in Sch (1)</t>
  </si>
  <si>
    <t>other minor adjustments in 2020</t>
  </si>
  <si>
    <t>allowed per auditor statement of adjustments (re rotten poles)</t>
  </si>
  <si>
    <t>(before any adjustments to 2020 opening UCC balance)</t>
  </si>
  <si>
    <t>adjustment to remove from the $470,244 the 5 years of errors</t>
  </si>
  <si>
    <t>adjustment to remove from the $511,134 the 5 years of errors</t>
  </si>
  <si>
    <t>= total capital budget additions</t>
  </si>
  <si>
    <t>EB-2022-0016</t>
  </si>
  <si>
    <t>November 18,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</si>
</sst>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rgb="FF00B05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sz val="10"/>
      <color indexed="57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167" fontId="0" fillId="0" borderId="0" xfId="1" applyNumberFormat="1" applyFont="1"/>
    <xf numFmtId="0" fontId="5" fillId="0" borderId="0" xfId="3" applyFont="1"/>
    <xf numFmtId="0" fontId="6" fillId="0" borderId="0" xfId="3" applyFont="1"/>
    <xf numFmtId="0" fontId="7" fillId="0" borderId="0" xfId="3" applyFont="1"/>
    <xf numFmtId="0" fontId="8" fillId="0" borderId="0" xfId="3" applyFont="1"/>
    <xf numFmtId="15" fontId="5" fillId="0" borderId="0" xfId="3" quotePrefix="1" applyNumberFormat="1" applyFont="1"/>
    <xf numFmtId="0" fontId="9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37" fontId="4" fillId="0" borderId="0" xfId="4" applyNumberFormat="1" applyFont="1" applyFill="1" applyAlignment="1">
      <alignment horizontal="right"/>
    </xf>
    <xf numFmtId="168" fontId="4" fillId="0" borderId="0" xfId="4" applyNumberFormat="1" applyFont="1" applyFill="1"/>
    <xf numFmtId="164" fontId="10" fillId="0" borderId="0" xfId="3" applyNumberFormat="1" applyFont="1" applyAlignment="1">
      <alignment horizontal="right"/>
    </xf>
    <xf numFmtId="167" fontId="4" fillId="0" borderId="0" xfId="5" applyNumberFormat="1" applyFont="1" applyFill="1" applyAlignment="1">
      <alignment horizontal="center"/>
    </xf>
    <xf numFmtId="0" fontId="9" fillId="0" borderId="0" xfId="3" applyFont="1"/>
    <xf numFmtId="168" fontId="4" fillId="0" borderId="2" xfId="4" applyNumberFormat="1" applyFont="1" applyFill="1" applyBorder="1"/>
    <xf numFmtId="168" fontId="4" fillId="0" borderId="3" xfId="4" applyNumberFormat="1" applyFont="1" applyFill="1" applyBorder="1"/>
    <xf numFmtId="168" fontId="6" fillId="0" borderId="0" xfId="3" applyNumberFormat="1" applyFont="1" applyAlignment="1">
      <alignment horizontal="center"/>
    </xf>
    <xf numFmtId="0" fontId="9" fillId="2" borderId="0" xfId="3" applyFont="1" applyFill="1" applyAlignment="1">
      <alignment horizontal="left"/>
    </xf>
    <xf numFmtId="168" fontId="4" fillId="2" borderId="0" xfId="4" applyNumberFormat="1" applyFont="1" applyFill="1"/>
    <xf numFmtId="0" fontId="9" fillId="2" borderId="0" xfId="3" applyFont="1" applyFill="1"/>
    <xf numFmtId="167" fontId="4" fillId="0" borderId="0" xfId="1" applyNumberFormat="1" applyFont="1"/>
    <xf numFmtId="0" fontId="4" fillId="0" borderId="0" xfId="3" applyFont="1"/>
    <xf numFmtId="168" fontId="4" fillId="0" borderId="0" xfId="3" applyNumberFormat="1" applyFont="1"/>
    <xf numFmtId="0" fontId="4" fillId="0" borderId="0" xfId="3" applyFont="1" applyAlignment="1">
      <alignment horizontal="center"/>
    </xf>
    <xf numFmtId="0" fontId="4" fillId="0" borderId="2" xfId="3" applyFont="1" applyBorder="1" applyAlignment="1">
      <alignment horizontal="center"/>
    </xf>
    <xf numFmtId="164" fontId="4" fillId="0" borderId="0" xfId="3" applyNumberFormat="1" applyFont="1"/>
    <xf numFmtId="168" fontId="4" fillId="0" borderId="2" xfId="3" applyNumberFormat="1" applyFont="1" applyBorder="1"/>
    <xf numFmtId="168" fontId="11" fillId="0" borderId="0" xfId="4" applyNumberFormat="1" applyFont="1" applyFill="1"/>
    <xf numFmtId="168" fontId="12" fillId="0" borderId="0" xfId="4" applyNumberFormat="1" applyFont="1" applyFill="1" applyAlignment="1">
      <alignment horizontal="center"/>
    </xf>
    <xf numFmtId="168" fontId="4" fillId="0" borderId="0" xfId="4" applyNumberFormat="1" applyFont="1" applyFill="1" applyAlignment="1">
      <alignment horizontal="center"/>
    </xf>
    <xf numFmtId="37" fontId="11" fillId="0" borderId="0" xfId="4" applyNumberFormat="1" applyFont="1" applyFill="1" applyAlignment="1">
      <alignment horizontal="right"/>
    </xf>
    <xf numFmtId="167" fontId="11" fillId="0" borderId="0" xfId="5" applyNumberFormat="1" applyFont="1" applyFill="1"/>
    <xf numFmtId="168" fontId="11" fillId="0" borderId="0" xfId="4" applyNumberFormat="1" applyFont="1" applyFill="1" applyBorder="1"/>
    <xf numFmtId="168" fontId="11" fillId="2" borderId="0" xfId="4" applyNumberFormat="1" applyFont="1" applyFill="1"/>
    <xf numFmtId="168" fontId="11" fillId="2" borderId="0" xfId="4" applyNumberFormat="1" applyFont="1" applyFill="1" applyBorder="1"/>
    <xf numFmtId="37" fontId="11" fillId="0" borderId="0" xfId="4" applyNumberFormat="1" applyFont="1" applyFill="1" applyBorder="1" applyAlignment="1">
      <alignment horizontal="right"/>
    </xf>
    <xf numFmtId="168" fontId="11" fillId="0" borderId="2" xfId="4" applyNumberFormat="1" applyFont="1" applyFill="1" applyBorder="1"/>
    <xf numFmtId="166" fontId="11" fillId="0" borderId="2" xfId="5" applyFont="1" applyFill="1" applyBorder="1" applyAlignment="1">
      <alignment horizontal="right"/>
    </xf>
    <xf numFmtId="168" fontId="11" fillId="0" borderId="1" xfId="4" applyNumberFormat="1" applyFont="1" applyFill="1" applyBorder="1"/>
    <xf numFmtId="167" fontId="11" fillId="0" borderId="0" xfId="5" applyNumberFormat="1" applyFont="1" applyFill="1" applyBorder="1"/>
    <xf numFmtId="166" fontId="11" fillId="0" borderId="0" xfId="5" applyFont="1" applyFill="1" applyBorder="1" applyAlignment="1">
      <alignment horizontal="left"/>
    </xf>
    <xf numFmtId="0" fontId="11" fillId="0" borderId="0" xfId="5" applyNumberFormat="1" applyFont="1" applyFill="1" applyBorder="1" applyAlignment="1">
      <alignment horizontal="left"/>
    </xf>
    <xf numFmtId="168" fontId="11" fillId="0" borderId="3" xfId="4" applyNumberFormat="1" applyFont="1" applyFill="1" applyBorder="1"/>
    <xf numFmtId="37" fontId="11" fillId="0" borderId="2" xfId="4" applyNumberFormat="1" applyFont="1" applyFill="1" applyBorder="1" applyAlignment="1">
      <alignment horizontal="right"/>
    </xf>
    <xf numFmtId="168" fontId="4" fillId="0" borderId="1" xfId="4" applyNumberFormat="1" applyFont="1" applyFill="1" applyBorder="1"/>
    <xf numFmtId="0" fontId="4" fillId="0" borderId="0" xfId="3" applyFont="1" applyBorder="1"/>
    <xf numFmtId="167" fontId="4" fillId="0" borderId="0" xfId="3" applyNumberFormat="1" applyFont="1" applyBorder="1"/>
    <xf numFmtId="167" fontId="4" fillId="0" borderId="0" xfId="1" applyNumberFormat="1" applyFont="1" applyBorder="1"/>
    <xf numFmtId="0" fontId="8" fillId="2" borderId="0" xfId="3" quotePrefix="1" applyFont="1" applyFill="1"/>
    <xf numFmtId="167" fontId="4" fillId="0" borderId="2" xfId="1" applyNumberFormat="1" applyFont="1" applyBorder="1"/>
    <xf numFmtId="167" fontId="4" fillId="0" borderId="0" xfId="1" applyNumberFormat="1" applyFont="1" applyAlignment="1">
      <alignment horizontal="right"/>
    </xf>
    <xf numFmtId="168" fontId="11" fillId="3" borderId="1" xfId="4" applyNumberFormat="1" applyFont="1" applyFill="1" applyBorder="1"/>
    <xf numFmtId="167" fontId="4" fillId="3" borderId="1" xfId="1" applyNumberFormat="1" applyFont="1" applyFill="1" applyBorder="1"/>
    <xf numFmtId="167" fontId="10" fillId="0" borderId="0" xfId="1" applyNumberFormat="1" applyFont="1" applyAlignment="1">
      <alignment horizontal="right"/>
    </xf>
    <xf numFmtId="168" fontId="4" fillId="0" borderId="0" xfId="3" applyNumberFormat="1" applyFont="1" applyFill="1"/>
    <xf numFmtId="37" fontId="11" fillId="4" borderId="0" xfId="4" applyNumberFormat="1" applyFont="1" applyFill="1" applyAlignment="1">
      <alignment horizontal="right"/>
    </xf>
    <xf numFmtId="166" fontId="4" fillId="0" borderId="0" xfId="1" applyNumberFormat="1" applyFont="1"/>
    <xf numFmtId="167" fontId="4" fillId="2" borderId="0" xfId="1" applyNumberFormat="1" applyFont="1" applyFill="1"/>
    <xf numFmtId="0" fontId="4" fillId="0" borderId="0" xfId="3" applyFont="1" applyBorder="1" applyAlignment="1">
      <alignment horizontal="center"/>
    </xf>
    <xf numFmtId="37" fontId="4" fillId="0" borderId="0" xfId="4" applyNumberFormat="1" applyFont="1" applyFill="1" applyAlignment="1">
      <alignment horizontal="center"/>
    </xf>
    <xf numFmtId="37" fontId="11" fillId="0" borderId="0" xfId="4" applyNumberFormat="1" applyFont="1" applyFill="1" applyAlignment="1">
      <alignment horizontal="center"/>
    </xf>
    <xf numFmtId="37" fontId="11" fillId="0" borderId="0" xfId="4" applyNumberFormat="1" applyFont="1" applyFill="1" applyBorder="1" applyAlignment="1">
      <alignment horizontal="center"/>
    </xf>
    <xf numFmtId="166" fontId="11" fillId="0" borderId="2" xfId="5" applyFont="1" applyFill="1" applyBorder="1" applyAlignment="1">
      <alignment horizontal="center"/>
    </xf>
    <xf numFmtId="168" fontId="11" fillId="0" borderId="0" xfId="4" applyNumberFormat="1" applyFont="1" applyFill="1" applyAlignment="1">
      <alignment horizontal="right"/>
    </xf>
    <xf numFmtId="167" fontId="4" fillId="0" borderId="0" xfId="1" applyNumberFormat="1" applyFont="1" applyFill="1"/>
    <xf numFmtId="0" fontId="4" fillId="2" borderId="0" xfId="3" applyFont="1" applyFill="1"/>
    <xf numFmtId="9" fontId="0" fillId="0" borderId="0" xfId="2" applyFont="1"/>
    <xf numFmtId="166" fontId="0" fillId="0" borderId="0" xfId="0" applyNumberFormat="1"/>
    <xf numFmtId="168" fontId="11" fillId="0" borderId="0" xfId="4" quotePrefix="1" applyNumberFormat="1" applyFont="1" applyFill="1" applyBorder="1"/>
    <xf numFmtId="0" fontId="4" fillId="0" borderId="0" xfId="3" applyFont="1" applyAlignment="1">
      <alignment horizontal="right"/>
    </xf>
    <xf numFmtId="167" fontId="4" fillId="0" borderId="0" xfId="1" applyNumberFormat="1" applyFont="1" applyFill="1" applyAlignment="1">
      <alignment horizontal="center"/>
    </xf>
    <xf numFmtId="167" fontId="6" fillId="0" borderId="0" xfId="1" applyNumberFormat="1" applyFont="1" applyAlignment="1">
      <alignment horizontal="center"/>
    </xf>
    <xf numFmtId="167" fontId="4" fillId="0" borderId="0" xfId="3" applyNumberFormat="1" applyFont="1"/>
    <xf numFmtId="0" fontId="4" fillId="0" borderId="0" xfId="3" quotePrefix="1" applyFont="1"/>
    <xf numFmtId="0" fontId="4" fillId="0" borderId="0" xfId="3" applyFont="1" applyFill="1" applyAlignment="1">
      <alignment horizontal="center"/>
    </xf>
    <xf numFmtId="164" fontId="10" fillId="0" borderId="0" xfId="3" applyNumberFormat="1" applyFont="1" applyFill="1" applyAlignment="1">
      <alignment horizontal="right"/>
    </xf>
    <xf numFmtId="49" fontId="5" fillId="0" borderId="0" xfId="3" applyNumberFormat="1" applyFont="1" applyAlignment="1">
      <alignment horizontal="left"/>
    </xf>
    <xf numFmtId="0" fontId="13" fillId="0" borderId="0" xfId="3" applyFont="1"/>
  </cellXfs>
  <cellStyles count="7">
    <cellStyle name="Comma" xfId="1" builtinId="3"/>
    <cellStyle name="Comma 2" xfId="5" xr:uid="{00000000-0005-0000-0000-000001000000}"/>
    <cellStyle name="Currency 2" xfId="4" xr:uid="{00000000-0005-0000-0000-000002000000}"/>
    <cellStyle name="Normal" xfId="0" builtinId="0"/>
    <cellStyle name="Normal 2" xfId="3" xr:uid="{00000000-0005-0000-0000-000004000000}"/>
    <cellStyle name="Normal 6" xfId="6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ury\users\My%20files\ClutterbuckH\C%20N%20P\Journal%20Entries\SAP%20JENTRIES%20-%20June%20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pfile\Users\Common\Gen.%20Acc\2003%20Month%20Ends\September%202003\JiMcC\2003%20-%20September%20-%20Quarterly%20JiMc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pfile\users\Gen.%20Acc\2001%20Month%20Ends\January%202001\January%202001%20C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pfile\Users\Common\Gen.%20Acc\2003%20Month%20Ends\December%202003\2003%20-%20December%20-%20Monthl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pfile\Common\Clut-Pass\2002%20Budget\Budget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pfile\Users\Common\Gen.%20Acc\2003%20Month%20Ends\June%202003\JiMcC\2003%20-%20June%20-%20Quarterly%20JiMc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A\Users\ClutterbuckH\EXCEL\CNP\97YREN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ury\users\WINNT\Profiles\mccormickj\Temporary%20Internet%20Files\OLK5\2002%20-%20October%20-%20Monthl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 1 to 7"/>
      <sheetName val="JE  8"/>
      <sheetName val="JE 9"/>
      <sheetName val="JE 10"/>
      <sheetName val="JE  11"/>
      <sheetName val="JE  12"/>
      <sheetName val="JE  13"/>
      <sheetName val="JE  14"/>
      <sheetName val="JE  15"/>
      <sheetName val="JE  16"/>
      <sheetName val="JE  17"/>
      <sheetName val="JE  18"/>
      <sheetName val="JE  19"/>
      <sheetName val="JE  20"/>
      <sheetName val="JE  21"/>
      <sheetName val="JE  22"/>
      <sheetName val="JE  23"/>
      <sheetName val="JE  24"/>
      <sheetName val="JE  25"/>
      <sheetName val="JE  26"/>
      <sheetName val="JE  27"/>
      <sheetName val="JE  28"/>
      <sheetName val="JE  29"/>
      <sheetName val="JE  30"/>
      <sheetName val="JE  31"/>
      <sheetName val="JE  32"/>
      <sheetName val="JE  33"/>
      <sheetName val="JE  34"/>
      <sheetName val="JE  35"/>
      <sheetName val="JE  36"/>
      <sheetName val="JE  37"/>
      <sheetName val="JE  38"/>
      <sheetName val="JE  39"/>
      <sheetName val="JE  40"/>
      <sheetName val="JE  41"/>
      <sheetName val="JE  42"/>
      <sheetName val="JE  43"/>
      <sheetName val="JE  44"/>
      <sheetName val="JE  45"/>
      <sheetName val="JE  46"/>
      <sheetName val="JE  47"/>
      <sheetName val="JE 48 "/>
      <sheetName val="JE  49"/>
      <sheetName val="JE  50"/>
      <sheetName val="JE 51"/>
      <sheetName val="JE 52"/>
      <sheetName val="JE 53"/>
      <sheetName val="JE 54"/>
      <sheetName val="JE 55"/>
      <sheetName val="JE 56"/>
      <sheetName val="JE 57"/>
      <sheetName val="JE 58"/>
      <sheetName val="JE 59"/>
      <sheetName val="JE 60"/>
      <sheetName val="JE 61"/>
      <sheetName val="JE 62"/>
      <sheetName val="JE 63"/>
      <sheetName val="JE 64"/>
      <sheetName val="JE 65"/>
      <sheetName val="JE 66"/>
      <sheetName val="JE 67"/>
      <sheetName val="JE 68"/>
      <sheetName val="JE 69"/>
      <sheetName val="TD Activity Fee"/>
      <sheetName val="TD CIT Fee"/>
      <sheetName val="Overdraft"/>
      <sheetName val="Money Monitor Fee"/>
      <sheetName val="JE 70 - Tax Provision Co#0020"/>
      <sheetName val="JE 71 - CNP Inc. Earnings"/>
      <sheetName val="JE 72 - Tax Provision Co#30"/>
      <sheetName val="JE 73"/>
      <sheetName val="JE 74 - Tax Provision Co#0020"/>
      <sheetName val="JE 75 - CNP Inc. Earnings"/>
      <sheetName val="JE 76 - Tax Provision Co#30 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 - P&amp;L"/>
      <sheetName val="CNE - P&amp;L"/>
      <sheetName val="FO - P&amp;L(non-consolidated)"/>
      <sheetName val="Cover Page"/>
      <sheetName val="FO Highlights (cons.)"/>
      <sheetName val="FO P&amp;L (consolidated)"/>
      <sheetName val="FO SCF (consolidated)"/>
      <sheetName val="FO BS (consolidated)"/>
      <sheetName val="FO SCFP (non-consolidated)"/>
      <sheetName val="FO - BS (non-consolidated)"/>
      <sheetName val="CNP Inc. - P&amp;L"/>
      <sheetName val="CNP Inc. - SCFP"/>
      <sheetName val="CNP Inc. - BS"/>
      <sheetName val="CE - P&amp;L"/>
      <sheetName val="CE - SCFP"/>
      <sheetName val="CE - BS"/>
      <sheetName val="Appendices"/>
      <sheetName val="Energy Sold  -  MWh"/>
      <sheetName val="Energy Sold - $"/>
      <sheetName val="Quality Service Report-FE"/>
      <sheetName val="Module1"/>
      <sheetName val="Quality Service Report-PC"/>
      <sheetName val="Budget 2003 - Cornwall Electric"/>
      <sheetName val="Budget 2003 - CNP INC."/>
      <sheetName val="Budget 2003 - CNP LTD."/>
      <sheetName val="Budget 2003 - CNP CONSOLIDATED"/>
      <sheetName val="CNE Inc Cover Page"/>
      <sheetName val="CNE Inc Balance Sheet"/>
      <sheetName val="CE - SCF"/>
      <sheetName val="CNP Inc. T&amp;D - BS"/>
      <sheetName val="DATA"/>
      <sheetName val="Import Cost Centres"/>
      <sheetName val="Consolidation Eliminations (2)"/>
      <sheetName val="Consolidation Eliminations"/>
      <sheetName val="Rev.Grouping by Cust.Class"/>
      <sheetName val="Grouping Schedules"/>
      <sheetName val="Current T&amp;D Asset Summary"/>
      <sheetName val="September 2003 Worksheets"/>
      <sheetName val="FOG -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Data"/>
      <sheetName val=" P&amp;L for CNE -11"/>
      <sheetName val="Import - CNE operexp"/>
      <sheetName val="Import PL - CNE"/>
    </sheetNames>
    <sheetDataSet>
      <sheetData sheetId="0" refreshError="1"/>
      <sheetData sheetId="1" refreshError="1"/>
      <sheetData sheetId="2" refreshError="1">
        <row r="2">
          <cell r="A2">
            <v>0</v>
          </cell>
          <cell r="C2" t="str">
            <v xml:space="preserve">Act.,period 1 </v>
          </cell>
          <cell r="D2" t="str">
            <v xml:space="preserve">Plan, period 1 </v>
          </cell>
          <cell r="E2" t="str">
            <v xml:space="preserve">Abs. var. </v>
          </cell>
          <cell r="F2" t="str">
            <v xml:space="preserve">Var.(%) </v>
          </cell>
          <cell r="G2" t="str">
            <v xml:space="preserve">Actual per. 1 - 1 </v>
          </cell>
          <cell r="H2" t="str">
            <v xml:space="preserve">Plan per. 1 - 1 </v>
          </cell>
          <cell r="I2" t="str">
            <v xml:space="preserve">Abs. var. </v>
          </cell>
          <cell r="J2" t="str">
            <v xml:space="preserve">Var.(%) </v>
          </cell>
          <cell r="K2" t="str">
            <v xml:space="preserve">Actual total year </v>
          </cell>
          <cell r="L2" t="str">
            <v xml:space="preserve">Plan total year </v>
          </cell>
          <cell r="M2" t="str">
            <v xml:space="preserve">Abs. var. </v>
          </cell>
          <cell r="N2" t="str">
            <v xml:space="preserve">Var.(%) </v>
          </cell>
        </row>
        <row r="3">
          <cell r="A3">
            <v>100</v>
          </cell>
          <cell r="B3" t="str">
            <v xml:space="preserve">Labour Expenses </v>
          </cell>
          <cell r="C3">
            <v>18968.78</v>
          </cell>
          <cell r="D3">
            <v>50833.33</v>
          </cell>
          <cell r="E3">
            <v>-31864.55</v>
          </cell>
          <cell r="F3">
            <v>-62.684399999999997</v>
          </cell>
          <cell r="G3">
            <v>18968.78</v>
          </cell>
          <cell r="H3">
            <v>50833.33</v>
          </cell>
          <cell r="I3">
            <v>-31864.55</v>
          </cell>
          <cell r="J3">
            <v>-62.684399999999997</v>
          </cell>
          <cell r="K3">
            <v>18968.78</v>
          </cell>
          <cell r="L3">
            <v>617000</v>
          </cell>
          <cell r="M3">
            <v>-598031.22</v>
          </cell>
          <cell r="N3">
            <v>-96.925600000000003</v>
          </cell>
        </row>
        <row r="4">
          <cell r="A4">
            <v>101</v>
          </cell>
          <cell r="B4" t="str">
            <v xml:space="preserve">Transportation Expenses </v>
          </cell>
          <cell r="C4">
            <v>31.31</v>
          </cell>
          <cell r="D4">
            <v>5400</v>
          </cell>
          <cell r="E4">
            <v>-5368.69</v>
          </cell>
          <cell r="F4">
            <v>-99.420199999999994</v>
          </cell>
          <cell r="G4">
            <v>31.31</v>
          </cell>
          <cell r="H4">
            <v>5400</v>
          </cell>
          <cell r="I4">
            <v>-5368.69</v>
          </cell>
          <cell r="J4">
            <v>-99.420199999999994</v>
          </cell>
          <cell r="K4">
            <v>31.31</v>
          </cell>
          <cell r="L4">
            <v>64800</v>
          </cell>
          <cell r="M4">
            <v>-64768.69</v>
          </cell>
          <cell r="N4">
            <v>-99.951700000000002</v>
          </cell>
        </row>
        <row r="5">
          <cell r="A5">
            <v>102</v>
          </cell>
          <cell r="B5" t="str">
            <v xml:space="preserve">Administrative Expenses </v>
          </cell>
          <cell r="C5">
            <v>694.1</v>
          </cell>
          <cell r="D5">
            <v>4016.67</v>
          </cell>
          <cell r="E5">
            <v>-3322.57</v>
          </cell>
          <cell r="F5">
            <v>-82.719499999999996</v>
          </cell>
          <cell r="G5">
            <v>694.1</v>
          </cell>
          <cell r="H5">
            <v>4016.67</v>
          </cell>
          <cell r="I5">
            <v>-3322.57</v>
          </cell>
          <cell r="J5">
            <v>-82.719499999999996</v>
          </cell>
          <cell r="K5">
            <v>793.65</v>
          </cell>
          <cell r="L5">
            <v>48200</v>
          </cell>
          <cell r="M5">
            <v>-47406.35</v>
          </cell>
          <cell r="N5">
            <v>-98.353399999999993</v>
          </cell>
        </row>
        <row r="6">
          <cell r="A6">
            <v>103</v>
          </cell>
          <cell r="B6" t="str">
            <v xml:space="preserve">Promotional Expenses </v>
          </cell>
          <cell r="C6">
            <v>577.35</v>
          </cell>
          <cell r="D6">
            <v>22333.34</v>
          </cell>
          <cell r="E6">
            <v>-21755.99</v>
          </cell>
          <cell r="F6">
            <v>-97.414900000000003</v>
          </cell>
          <cell r="G6">
            <v>577.35</v>
          </cell>
          <cell r="H6">
            <v>22333.34</v>
          </cell>
          <cell r="I6">
            <v>-21755.99</v>
          </cell>
          <cell r="J6">
            <v>-97.414900000000003</v>
          </cell>
          <cell r="K6">
            <v>4036.14</v>
          </cell>
          <cell r="L6">
            <v>268000</v>
          </cell>
          <cell r="M6">
            <v>-263963.86</v>
          </cell>
          <cell r="N6">
            <v>-98.494</v>
          </cell>
        </row>
        <row r="7">
          <cell r="A7">
            <v>104</v>
          </cell>
          <cell r="B7" t="str">
            <v xml:space="preserve">Employee Welfare Expenses </v>
          </cell>
          <cell r="C7">
            <v>0</v>
          </cell>
          <cell r="D7">
            <v>2916.67</v>
          </cell>
          <cell r="E7">
            <v>-2916.67</v>
          </cell>
          <cell r="F7">
            <v>-100</v>
          </cell>
          <cell r="G7">
            <v>0</v>
          </cell>
          <cell r="H7">
            <v>2916.67</v>
          </cell>
          <cell r="I7">
            <v>-2916.67</v>
          </cell>
          <cell r="J7">
            <v>-100</v>
          </cell>
          <cell r="K7">
            <v>65</v>
          </cell>
          <cell r="L7">
            <v>35000</v>
          </cell>
          <cell r="M7">
            <v>-34935</v>
          </cell>
          <cell r="N7">
            <v>-99.814300000000003</v>
          </cell>
        </row>
        <row r="8">
          <cell r="A8">
            <v>105</v>
          </cell>
          <cell r="B8" t="str">
            <v xml:space="preserve">Professional Services </v>
          </cell>
          <cell r="C8">
            <v>14498.67</v>
          </cell>
          <cell r="D8">
            <v>10833.33</v>
          </cell>
          <cell r="E8">
            <v>3665.34</v>
          </cell>
          <cell r="F8">
            <v>33.8339</v>
          </cell>
          <cell r="G8">
            <v>14498.67</v>
          </cell>
          <cell r="H8">
            <v>10833.33</v>
          </cell>
          <cell r="I8">
            <v>3665.34</v>
          </cell>
          <cell r="J8">
            <v>33.8339</v>
          </cell>
          <cell r="K8">
            <v>14498.67</v>
          </cell>
          <cell r="L8">
            <v>130000</v>
          </cell>
          <cell r="M8">
            <v>-115501.33</v>
          </cell>
          <cell r="N8">
            <v>-88.847200000000001</v>
          </cell>
        </row>
        <row r="9">
          <cell r="A9">
            <v>106</v>
          </cell>
          <cell r="B9" t="str">
            <v xml:space="preserve">Travel &amp; Entertainment Expenses </v>
          </cell>
          <cell r="C9">
            <v>784.39</v>
          </cell>
          <cell r="D9">
            <v>4583.33</v>
          </cell>
          <cell r="E9">
            <v>-3798.94</v>
          </cell>
          <cell r="F9">
            <v>-82.885999999999996</v>
          </cell>
          <cell r="G9">
            <v>784.39</v>
          </cell>
          <cell r="H9">
            <v>4583.33</v>
          </cell>
          <cell r="I9">
            <v>-3798.94</v>
          </cell>
          <cell r="J9">
            <v>-82.885999999999996</v>
          </cell>
          <cell r="K9">
            <v>811.88</v>
          </cell>
          <cell r="L9">
            <v>55000</v>
          </cell>
          <cell r="M9">
            <v>-54188.12</v>
          </cell>
          <cell r="N9">
            <v>-98.523899999999998</v>
          </cell>
        </row>
        <row r="10">
          <cell r="A10">
            <v>107</v>
          </cell>
          <cell r="B10" t="str">
            <v xml:space="preserve">Other General Expenses </v>
          </cell>
          <cell r="C10">
            <v>653.85</v>
          </cell>
          <cell r="D10">
            <v>4416.66</v>
          </cell>
          <cell r="E10">
            <v>-3762.81</v>
          </cell>
          <cell r="F10">
            <v>-85.195800000000006</v>
          </cell>
          <cell r="G10">
            <v>653.85</v>
          </cell>
          <cell r="H10">
            <v>4416.66</v>
          </cell>
          <cell r="I10">
            <v>-3762.81</v>
          </cell>
          <cell r="J10">
            <v>-85.195800000000006</v>
          </cell>
          <cell r="K10">
            <v>1260.57</v>
          </cell>
          <cell r="L10">
            <v>53000</v>
          </cell>
          <cell r="M10">
            <v>-51739.43</v>
          </cell>
          <cell r="N10">
            <v>-97.621600000000001</v>
          </cell>
        </row>
        <row r="11">
          <cell r="A11">
            <v>108</v>
          </cell>
          <cell r="B11" t="str">
            <v xml:space="preserve">Maintenance Order Settlement </v>
          </cell>
          <cell r="C11">
            <v>1017.5</v>
          </cell>
          <cell r="D11">
            <v>0</v>
          </cell>
          <cell r="E11">
            <v>1017.5</v>
          </cell>
          <cell r="F11">
            <v>0</v>
          </cell>
          <cell r="G11">
            <v>1017.5</v>
          </cell>
          <cell r="H11">
            <v>0</v>
          </cell>
          <cell r="I11">
            <v>1017.5</v>
          </cell>
          <cell r="J11">
            <v>0</v>
          </cell>
          <cell r="K11">
            <v>1017.5</v>
          </cell>
          <cell r="L11">
            <v>0</v>
          </cell>
          <cell r="M11">
            <v>1017.5</v>
          </cell>
          <cell r="N11">
            <v>0</v>
          </cell>
        </row>
        <row r="12">
          <cell r="A12">
            <v>109</v>
          </cell>
          <cell r="B12" t="str">
            <v xml:space="preserve">Vehicle Order Settlement </v>
          </cell>
          <cell r="C12">
            <v>1843.76</v>
          </cell>
          <cell r="D12">
            <v>0</v>
          </cell>
          <cell r="E12">
            <v>1843.76</v>
          </cell>
          <cell r="F12">
            <v>0</v>
          </cell>
          <cell r="G12">
            <v>1843.76</v>
          </cell>
          <cell r="H12">
            <v>0</v>
          </cell>
          <cell r="I12">
            <v>1843.76</v>
          </cell>
          <cell r="J12">
            <v>0</v>
          </cell>
          <cell r="K12">
            <v>1843.76</v>
          </cell>
          <cell r="L12">
            <v>0</v>
          </cell>
          <cell r="M12">
            <v>1843.76</v>
          </cell>
          <cell r="N12">
            <v>0</v>
          </cell>
        </row>
        <row r="13">
          <cell r="A13">
            <v>110</v>
          </cell>
          <cell r="B13" t="str">
            <v xml:space="preserve">Payroll Benefits Allocation </v>
          </cell>
          <cell r="C13">
            <v>36519.57</v>
          </cell>
          <cell r="D13">
            <v>4036.26</v>
          </cell>
          <cell r="E13">
            <v>32483.31</v>
          </cell>
          <cell r="F13">
            <v>804.78740000000005</v>
          </cell>
          <cell r="G13">
            <v>36519.57</v>
          </cell>
          <cell r="H13">
            <v>4036.26</v>
          </cell>
          <cell r="I13">
            <v>32483.31</v>
          </cell>
          <cell r="J13">
            <v>804.78740000000005</v>
          </cell>
          <cell r="K13">
            <v>36519.57</v>
          </cell>
          <cell r="L13">
            <v>51829.440000000002</v>
          </cell>
          <cell r="M13">
            <v>-15309.87</v>
          </cell>
          <cell r="N13">
            <v>-29.538900000000002</v>
          </cell>
        </row>
        <row r="14">
          <cell r="A14">
            <v>111</v>
          </cell>
          <cell r="B14" t="str">
            <v xml:space="preserve">Over/underabsorption </v>
          </cell>
          <cell r="C14">
            <v>75589.279999999999</v>
          </cell>
          <cell r="D14">
            <v>109369.59</v>
          </cell>
          <cell r="E14">
            <v>-33780.31</v>
          </cell>
          <cell r="F14">
            <v>-30.886399999999998</v>
          </cell>
          <cell r="G14">
            <v>75589.279999999999</v>
          </cell>
          <cell r="H14">
            <v>109369.59</v>
          </cell>
          <cell r="I14">
            <v>-33780.31</v>
          </cell>
          <cell r="J14">
            <v>-30.886399999999998</v>
          </cell>
          <cell r="K14">
            <v>79846.83</v>
          </cell>
          <cell r="L14">
            <v>1322829.44</v>
          </cell>
          <cell r="M14">
            <v>-1242982.6100000001</v>
          </cell>
          <cell r="N14">
            <v>-93.963899999999995</v>
          </cell>
        </row>
      </sheetData>
      <sheetData sheetId="3" refreshError="1">
        <row r="1">
          <cell r="A1">
            <v>0</v>
          </cell>
          <cell r="C1" t="str">
            <v xml:space="preserve">Act.,period 1 </v>
          </cell>
          <cell r="D1" t="str">
            <v xml:space="preserve">Plan, period 1 </v>
          </cell>
          <cell r="E1" t="str">
            <v xml:space="preserve">Abs. var. </v>
          </cell>
          <cell r="F1" t="str">
            <v xml:space="preserve">Var.(%) </v>
          </cell>
          <cell r="G1" t="str">
            <v xml:space="preserve">Actual per. 1 - 1 </v>
          </cell>
          <cell r="H1" t="str">
            <v xml:space="preserve">Plan per. 1 - 1 </v>
          </cell>
          <cell r="I1" t="str">
            <v xml:space="preserve">Abs. var. </v>
          </cell>
          <cell r="J1" t="str">
            <v xml:space="preserve">Var.(%) </v>
          </cell>
          <cell r="K1" t="str">
            <v xml:space="preserve">Actual total year </v>
          </cell>
          <cell r="L1" t="str">
            <v xml:space="preserve">Plan total year </v>
          </cell>
          <cell r="M1" t="str">
            <v xml:space="preserve">Abs. var. </v>
          </cell>
          <cell r="N1" t="str">
            <v xml:space="preserve">Var.(%) </v>
          </cell>
        </row>
        <row r="2">
          <cell r="A2">
            <v>1</v>
          </cell>
          <cell r="B2" t="str">
            <v xml:space="preserve">5700 Gas Margin </v>
          </cell>
          <cell r="C2">
            <v>0</v>
          </cell>
          <cell r="D2">
            <v>-15620</v>
          </cell>
          <cell r="E2">
            <v>15620</v>
          </cell>
          <cell r="F2">
            <v>-100</v>
          </cell>
          <cell r="G2">
            <v>0</v>
          </cell>
          <cell r="H2">
            <v>-15620</v>
          </cell>
          <cell r="I2">
            <v>15620</v>
          </cell>
          <cell r="J2">
            <v>-100</v>
          </cell>
          <cell r="K2">
            <v>0</v>
          </cell>
          <cell r="L2">
            <v>-187400</v>
          </cell>
          <cell r="M2">
            <v>187400</v>
          </cell>
          <cell r="N2">
            <v>-100</v>
          </cell>
          <cell r="O2">
            <v>-11.5578</v>
          </cell>
        </row>
        <row r="3">
          <cell r="A3">
            <v>2</v>
          </cell>
          <cell r="B3" t="str">
            <v xml:space="preserve">5701 Consulting </v>
          </cell>
          <cell r="C3">
            <v>-10034</v>
          </cell>
          <cell r="D3">
            <v>-18300</v>
          </cell>
          <cell r="E3">
            <v>8266</v>
          </cell>
          <cell r="F3">
            <v>-45.169400000000003</v>
          </cell>
          <cell r="G3">
            <v>-10034</v>
          </cell>
          <cell r="H3">
            <v>-18300</v>
          </cell>
          <cell r="I3">
            <v>8266</v>
          </cell>
          <cell r="J3">
            <v>-45.169400000000003</v>
          </cell>
          <cell r="K3">
            <v>-10034</v>
          </cell>
          <cell r="L3">
            <v>-219600</v>
          </cell>
          <cell r="M3">
            <v>209566</v>
          </cell>
          <cell r="N3">
            <v>-95.430800000000005</v>
          </cell>
          <cell r="O3">
            <v>0</v>
          </cell>
        </row>
        <row r="4">
          <cell r="A4">
            <v>3</v>
          </cell>
          <cell r="B4" t="str">
            <v xml:space="preserve">5702 Turnback Space 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-35100</v>
          </cell>
          <cell r="M4">
            <v>35100</v>
          </cell>
          <cell r="N4">
            <v>-100</v>
          </cell>
        </row>
        <row r="5">
          <cell r="A5">
            <v>4</v>
          </cell>
          <cell r="B5" t="str">
            <v xml:space="preserve">5703 Title Exchange 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-47100</v>
          </cell>
          <cell r="M5">
            <v>47100</v>
          </cell>
          <cell r="N5">
            <v>-100</v>
          </cell>
          <cell r="O5">
            <v>-56.024500000000003</v>
          </cell>
        </row>
        <row r="6">
          <cell r="A6">
            <v>5</v>
          </cell>
          <cell r="B6" t="str">
            <v xml:space="preserve">5704 OPSBA </v>
          </cell>
          <cell r="C6">
            <v>0</v>
          </cell>
          <cell r="D6">
            <v>-1600</v>
          </cell>
          <cell r="E6">
            <v>1600</v>
          </cell>
          <cell r="F6">
            <v>-100</v>
          </cell>
          <cell r="G6">
            <v>0</v>
          </cell>
          <cell r="H6">
            <v>-1600</v>
          </cell>
          <cell r="I6">
            <v>1600</v>
          </cell>
          <cell r="J6">
            <v>-100</v>
          </cell>
          <cell r="K6">
            <v>0</v>
          </cell>
          <cell r="L6">
            <v>-19200</v>
          </cell>
          <cell r="M6">
            <v>19200</v>
          </cell>
          <cell r="N6">
            <v>-100</v>
          </cell>
          <cell r="O6">
            <v>-29.901199999999999</v>
          </cell>
        </row>
        <row r="7">
          <cell r="A7">
            <v>6</v>
          </cell>
          <cell r="B7" t="str">
            <v xml:space="preserve">Electric Revenue </v>
          </cell>
          <cell r="C7">
            <v>-10034</v>
          </cell>
          <cell r="D7">
            <v>-35520</v>
          </cell>
          <cell r="E7">
            <v>25486</v>
          </cell>
          <cell r="F7">
            <v>-71.751099999999994</v>
          </cell>
          <cell r="G7">
            <v>-10034</v>
          </cell>
          <cell r="H7">
            <v>-35520</v>
          </cell>
          <cell r="I7">
            <v>25486</v>
          </cell>
          <cell r="J7">
            <v>-71.751099999999994</v>
          </cell>
          <cell r="K7">
            <v>-10034</v>
          </cell>
          <cell r="L7">
            <v>-508400</v>
          </cell>
          <cell r="M7">
            <v>498366</v>
          </cell>
          <cell r="N7">
            <v>-98.026399999999995</v>
          </cell>
          <cell r="O7">
            <v>-58.934699999999999</v>
          </cell>
        </row>
        <row r="8">
          <cell r="A8">
            <v>7</v>
          </cell>
          <cell r="B8" t="str">
            <v xml:space="preserve">Total Revenue </v>
          </cell>
          <cell r="C8">
            <v>-10034</v>
          </cell>
          <cell r="D8">
            <v>-35520</v>
          </cell>
          <cell r="E8">
            <v>25486</v>
          </cell>
          <cell r="F8">
            <v>-71.751099999999994</v>
          </cell>
          <cell r="G8">
            <v>-10034</v>
          </cell>
          <cell r="H8">
            <v>-35520</v>
          </cell>
          <cell r="I8">
            <v>25486</v>
          </cell>
          <cell r="J8">
            <v>-71.751099999999994</v>
          </cell>
          <cell r="K8">
            <v>-10034</v>
          </cell>
          <cell r="L8">
            <v>-508400</v>
          </cell>
          <cell r="M8">
            <v>498366</v>
          </cell>
          <cell r="N8">
            <v>-98.026399999999995</v>
          </cell>
          <cell r="O8">
            <v>-47.718499999999999</v>
          </cell>
        </row>
        <row r="9">
          <cell r="A9">
            <v>8</v>
          </cell>
          <cell r="B9" t="str">
            <v>General</v>
          </cell>
        </row>
        <row r="10">
          <cell r="A10">
            <v>9</v>
          </cell>
          <cell r="B10" t="str">
            <v xml:space="preserve">Total Operating Expenses </v>
          </cell>
          <cell r="C10">
            <v>75589.279999999999</v>
          </cell>
          <cell r="D10">
            <v>109369.59</v>
          </cell>
          <cell r="E10">
            <v>-33780.31</v>
          </cell>
          <cell r="F10">
            <v>-30.886399999999998</v>
          </cell>
          <cell r="G10">
            <v>75589.279999999999</v>
          </cell>
          <cell r="H10">
            <v>109369.59</v>
          </cell>
          <cell r="I10">
            <v>-33780.31</v>
          </cell>
          <cell r="J10">
            <v>-30.886399999999998</v>
          </cell>
          <cell r="K10">
            <v>79846.83</v>
          </cell>
          <cell r="L10">
            <v>1322829.44</v>
          </cell>
          <cell r="M10">
            <v>-1242982.6100000001</v>
          </cell>
          <cell r="N10">
            <v>-93.963899999999995</v>
          </cell>
          <cell r="O10">
            <v>49.142800000000001</v>
          </cell>
        </row>
        <row r="11">
          <cell r="A11">
            <v>10</v>
          </cell>
          <cell r="B11" t="str">
            <v xml:space="preserve">Operating Income </v>
          </cell>
          <cell r="C11">
            <v>65555.28</v>
          </cell>
          <cell r="D11">
            <v>73849.59</v>
          </cell>
          <cell r="E11">
            <v>-8294.31</v>
          </cell>
          <cell r="F11">
            <v>-11.231400000000001</v>
          </cell>
          <cell r="G11">
            <v>65555.28</v>
          </cell>
          <cell r="H11">
            <v>73849.59</v>
          </cell>
          <cell r="I11">
            <v>-8294.31</v>
          </cell>
          <cell r="J11">
            <v>-11.231400000000001</v>
          </cell>
          <cell r="K11">
            <v>69812.83</v>
          </cell>
          <cell r="L11">
            <v>814429.44</v>
          </cell>
          <cell r="M11">
            <v>-744616.61</v>
          </cell>
          <cell r="N11">
            <v>-91.427999999999997</v>
          </cell>
          <cell r="O11">
            <v>-40.690899999999999</v>
          </cell>
        </row>
        <row r="12">
          <cell r="A12">
            <v>11</v>
          </cell>
          <cell r="B12" t="str">
            <v xml:space="preserve">Earnings before Income Taxes </v>
          </cell>
          <cell r="C12">
            <v>65555.28</v>
          </cell>
          <cell r="D12">
            <v>73849.59</v>
          </cell>
          <cell r="E12">
            <v>-8294.31</v>
          </cell>
          <cell r="F12">
            <v>-11.231400000000001</v>
          </cell>
          <cell r="G12">
            <v>65555.28</v>
          </cell>
          <cell r="H12">
            <v>73849.59</v>
          </cell>
          <cell r="I12">
            <v>-8294.31</v>
          </cell>
          <cell r="J12">
            <v>-11.231400000000001</v>
          </cell>
          <cell r="K12">
            <v>69812.83</v>
          </cell>
          <cell r="L12">
            <v>814429.44</v>
          </cell>
          <cell r="M12">
            <v>-744616.61</v>
          </cell>
          <cell r="N12">
            <v>-91.427999999999997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FO Highlights (cons.)"/>
      <sheetName val="FO P&amp;L (consolidated)"/>
      <sheetName val="FO SCF (consolidated)"/>
      <sheetName val="FO BS (consolidated)"/>
      <sheetName val="FO - P&amp;L(non-consolidated)"/>
      <sheetName val="FO SCFP (non-consolidated)"/>
      <sheetName val="FO - BS (non-consolidated)"/>
      <sheetName val="CNP Inc. - P&amp;L"/>
      <sheetName val="CNP Inc. - SCFP"/>
      <sheetName val="CNP Inc. - BS"/>
      <sheetName val="CE - P&amp;L"/>
      <sheetName val="CE - SCFP"/>
      <sheetName val="CE - BS"/>
      <sheetName val="Appendices"/>
      <sheetName val="Energy Sold  -  MWh"/>
      <sheetName val="Energy Sold - $"/>
      <sheetName val="FO-Service Quality Report"/>
      <sheetName val="Quality Service Report-FE"/>
      <sheetName val="Module1"/>
      <sheetName val="Quality Service Report-PC"/>
      <sheetName val="Budget 2003 - Cornwall Electric"/>
      <sheetName val="Budget 2003 - CNP INC."/>
      <sheetName val="Budget 2003 - CNP LTD."/>
      <sheetName val="Budget 2003 - CNP CONSOLIDATED"/>
      <sheetName val="DATA"/>
      <sheetName val="Import Cost Centres"/>
      <sheetName val="Consolidation Eliminations"/>
      <sheetName val="Consolidation Eliminations (2)"/>
      <sheetName val="Rev.Grouping by Cust.Class"/>
      <sheetName val="CNE Inc Balance Sheet"/>
      <sheetName val="CNE Inc Cover Page"/>
      <sheetName val="Adjustments to GL"/>
      <sheetName val="Grouping Schedules"/>
      <sheetName val="December 2003 Worksheets"/>
      <sheetName val="Current T&amp;D Asset Summary"/>
      <sheetName val="CNP Inc. T&amp;D - BS"/>
      <sheetName val="Notes"/>
      <sheetName val="November 2003 Workshe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Ltd. Monthly Income "/>
      <sheetName val="Import PL for Ltd"/>
      <sheetName val="FE. Monthly Income"/>
      <sheetName val="Import PL for FE"/>
      <sheetName val="PC Monthly Income "/>
      <sheetName val="Import PL for PC"/>
      <sheetName val="Maint Orders-Ltd. - 5"/>
      <sheetName val="Maint Orders-Inc. - 9"/>
      <sheetName val="Import Cost Centres"/>
      <sheetName val="Capital Orders Inc+Ltd-10"/>
      <sheetName val="Import Capital Budget"/>
      <sheetName val="Budget 2002 - Maint or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Run Date:</v>
          </cell>
          <cell r="C1" t="str">
            <v>2001.10.09</v>
          </cell>
          <cell r="M1" t="str">
            <v>Canadian Niagara Power Inc.</v>
          </cell>
        </row>
        <row r="2">
          <cell r="K2" t="str">
            <v>Summary of Capital Expenditures</v>
          </cell>
        </row>
        <row r="3">
          <cell r="L3" t="str">
            <v>Actual vs Plan - Year to Date</v>
          </cell>
        </row>
        <row r="4">
          <cell r="J4" t="str">
            <v>For period month end: December 2002</v>
          </cell>
        </row>
        <row r="6">
          <cell r="G6" t="str">
            <v>Actual Capital Expenditures</v>
          </cell>
          <cell r="Q6" t="str">
            <v>Planned Capital Expenditures</v>
          </cell>
        </row>
        <row r="7">
          <cell r="B7" t="str">
            <v>Order</v>
          </cell>
          <cell r="D7" t="str">
            <v>Order Description</v>
          </cell>
          <cell r="F7" t="str">
            <v>Labour</v>
          </cell>
          <cell r="H7" t="str">
            <v>Materials</v>
          </cell>
          <cell r="N7" t="str">
            <v>Total Cost</v>
          </cell>
          <cell r="P7" t="str">
            <v>Labour</v>
          </cell>
          <cell r="R7" t="str">
            <v>Materials</v>
          </cell>
          <cell r="T7" t="str">
            <v>Total Cost</v>
          </cell>
          <cell r="V7" t="str">
            <v>YTD Variance</v>
          </cell>
          <cell r="X7" t="str">
            <v>Year</v>
          </cell>
          <cell r="Y7">
            <v>2002</v>
          </cell>
        </row>
        <row r="10">
          <cell r="A10" t="str">
            <v>Transmission</v>
          </cell>
        </row>
        <row r="11">
          <cell r="A11">
            <v>350000</v>
          </cell>
          <cell r="B11">
            <v>350000</v>
          </cell>
          <cell r="D11" t="str">
            <v>Operation Super. &amp; Engineering-System</v>
          </cell>
          <cell r="E11">
            <v>0</v>
          </cell>
          <cell r="G11">
            <v>0</v>
          </cell>
          <cell r="I11">
            <v>0</v>
          </cell>
          <cell r="O11">
            <v>1699.96</v>
          </cell>
          <cell r="Q11">
            <v>0</v>
          </cell>
          <cell r="S11">
            <v>1699.96</v>
          </cell>
          <cell r="U11">
            <v>-1699.96</v>
          </cell>
          <cell r="W11">
            <v>1699.96</v>
          </cell>
        </row>
        <row r="12">
          <cell r="A12">
            <v>350003</v>
          </cell>
          <cell r="B12">
            <v>350003</v>
          </cell>
          <cell r="D12" t="str">
            <v>Load Dispatching-Transmission 60 Cycle</v>
          </cell>
          <cell r="E12">
            <v>0</v>
          </cell>
          <cell r="G12">
            <v>0</v>
          </cell>
          <cell r="I12">
            <v>0</v>
          </cell>
          <cell r="O12">
            <v>0</v>
          </cell>
          <cell r="Q12">
            <v>5600</v>
          </cell>
          <cell r="S12">
            <v>5600</v>
          </cell>
          <cell r="U12">
            <v>-5600</v>
          </cell>
          <cell r="W12">
            <v>5600</v>
          </cell>
        </row>
        <row r="13">
          <cell r="A13">
            <v>350005</v>
          </cell>
          <cell r="B13">
            <v>350005</v>
          </cell>
          <cell r="D13" t="str">
            <v>St Building &amp; Fixture Exp-St 11-60 Cycle</v>
          </cell>
          <cell r="E13">
            <v>0</v>
          </cell>
          <cell r="G13">
            <v>0</v>
          </cell>
          <cell r="I13">
            <v>0</v>
          </cell>
          <cell r="O13">
            <v>5100</v>
          </cell>
          <cell r="Q13">
            <v>1500</v>
          </cell>
          <cell r="S13">
            <v>6600</v>
          </cell>
          <cell r="U13">
            <v>-6600</v>
          </cell>
          <cell r="W13">
            <v>6600</v>
          </cell>
        </row>
        <row r="14">
          <cell r="A14">
            <v>350006</v>
          </cell>
          <cell r="B14">
            <v>350006</v>
          </cell>
          <cell r="D14" t="str">
            <v>St Building &amp; Fixture Exp-St 11-25 Cycle</v>
          </cell>
          <cell r="E14">
            <v>0</v>
          </cell>
          <cell r="G14">
            <v>0</v>
          </cell>
          <cell r="I14">
            <v>0</v>
          </cell>
          <cell r="O14">
            <v>2550</v>
          </cell>
          <cell r="Q14">
            <v>500</v>
          </cell>
          <cell r="S14">
            <v>3050</v>
          </cell>
          <cell r="U14">
            <v>-3050</v>
          </cell>
          <cell r="W14">
            <v>3050</v>
          </cell>
        </row>
        <row r="15">
          <cell r="A15">
            <v>350009</v>
          </cell>
          <cell r="B15">
            <v>350009</v>
          </cell>
          <cell r="D15" t="str">
            <v>Transf St Equipment-Oper Lbr St.11-60 HZ</v>
          </cell>
          <cell r="E15">
            <v>0</v>
          </cell>
          <cell r="G15">
            <v>0</v>
          </cell>
          <cell r="I15">
            <v>0</v>
          </cell>
          <cell r="O15">
            <v>8160</v>
          </cell>
          <cell r="Q15">
            <v>1500</v>
          </cell>
          <cell r="S15">
            <v>9660</v>
          </cell>
          <cell r="U15">
            <v>-9660</v>
          </cell>
          <cell r="W15">
            <v>9660</v>
          </cell>
        </row>
        <row r="16">
          <cell r="A16">
            <v>350010</v>
          </cell>
          <cell r="B16">
            <v>350010</v>
          </cell>
          <cell r="D16" t="str">
            <v>Transf St Equipment-Oper Lbr St.11-25 HZ</v>
          </cell>
          <cell r="E16">
            <v>0</v>
          </cell>
          <cell r="G16">
            <v>0</v>
          </cell>
          <cell r="I16">
            <v>0</v>
          </cell>
          <cell r="O16">
            <v>4080</v>
          </cell>
          <cell r="Q16">
            <v>1000</v>
          </cell>
          <cell r="S16">
            <v>5080</v>
          </cell>
          <cell r="U16">
            <v>-5080</v>
          </cell>
          <cell r="W16">
            <v>5080</v>
          </cell>
        </row>
        <row r="17">
          <cell r="A17">
            <v>350017</v>
          </cell>
          <cell r="B17">
            <v>350017</v>
          </cell>
          <cell r="D17" t="str">
            <v>Overhead Line Expense - 60 Cycle</v>
          </cell>
          <cell r="E17">
            <v>0</v>
          </cell>
          <cell r="G17">
            <v>0</v>
          </cell>
          <cell r="I17">
            <v>0</v>
          </cell>
          <cell r="O17">
            <v>3400.04</v>
          </cell>
          <cell r="Q17">
            <v>750</v>
          </cell>
          <cell r="S17">
            <v>4150.04</v>
          </cell>
          <cell r="U17">
            <v>-4150.04</v>
          </cell>
          <cell r="W17">
            <v>4150.04</v>
          </cell>
        </row>
        <row r="18">
          <cell r="A18">
            <v>350018</v>
          </cell>
          <cell r="B18">
            <v>350018</v>
          </cell>
          <cell r="D18" t="str">
            <v>Overhead Line Expense - 25 Cycle</v>
          </cell>
          <cell r="E18">
            <v>0</v>
          </cell>
          <cell r="G18">
            <v>0</v>
          </cell>
          <cell r="I18">
            <v>0</v>
          </cell>
          <cell r="O18">
            <v>3400.04</v>
          </cell>
          <cell r="Q18">
            <v>750</v>
          </cell>
          <cell r="S18">
            <v>4150.04</v>
          </cell>
          <cell r="U18">
            <v>-4150.04</v>
          </cell>
          <cell r="W18">
            <v>4150.04</v>
          </cell>
        </row>
        <row r="19">
          <cell r="A19">
            <v>350021</v>
          </cell>
          <cell r="B19">
            <v>350021</v>
          </cell>
          <cell r="D19" t="str">
            <v>Misc Transmission Expenses-60 cycle</v>
          </cell>
          <cell r="E19">
            <v>0</v>
          </cell>
          <cell r="G19">
            <v>0</v>
          </cell>
          <cell r="I19">
            <v>0</v>
          </cell>
          <cell r="O19">
            <v>27499.96</v>
          </cell>
          <cell r="Q19">
            <v>14000</v>
          </cell>
          <cell r="S19">
            <v>41499.96</v>
          </cell>
          <cell r="U19">
            <v>-41499.96</v>
          </cell>
          <cell r="W19">
            <v>41499.96</v>
          </cell>
        </row>
        <row r="20">
          <cell r="A20">
            <v>350023</v>
          </cell>
          <cell r="B20">
            <v>350023</v>
          </cell>
          <cell r="D20" t="str">
            <v>Transmission - Rental Expenses</v>
          </cell>
          <cell r="E20">
            <v>0</v>
          </cell>
          <cell r="G20">
            <v>0</v>
          </cell>
          <cell r="I20">
            <v>0</v>
          </cell>
          <cell r="O20">
            <v>0</v>
          </cell>
          <cell r="Q20">
            <v>130000</v>
          </cell>
          <cell r="S20">
            <v>130000</v>
          </cell>
          <cell r="U20">
            <v>-130000</v>
          </cell>
          <cell r="W20">
            <v>130000</v>
          </cell>
        </row>
        <row r="21">
          <cell r="A21">
            <v>350024</v>
          </cell>
          <cell r="B21">
            <v>350024</v>
          </cell>
          <cell r="D21" t="str">
            <v>Maint Supervision &amp; Engineering-System</v>
          </cell>
          <cell r="E21">
            <v>0</v>
          </cell>
          <cell r="G21">
            <v>0</v>
          </cell>
          <cell r="I21">
            <v>0</v>
          </cell>
          <cell r="O21">
            <v>1699.96</v>
          </cell>
          <cell r="Q21">
            <v>0</v>
          </cell>
          <cell r="S21">
            <v>1699.96</v>
          </cell>
          <cell r="U21">
            <v>-1699.96</v>
          </cell>
          <cell r="W21">
            <v>1699.96</v>
          </cell>
        </row>
        <row r="22">
          <cell r="A22">
            <v>350025</v>
          </cell>
          <cell r="B22">
            <v>350025</v>
          </cell>
          <cell r="D22" t="str">
            <v>Maint of Tranf Build &amp; Fixt St 11-60 Hz</v>
          </cell>
          <cell r="E22">
            <v>0</v>
          </cell>
          <cell r="G22">
            <v>0</v>
          </cell>
          <cell r="I22">
            <v>0</v>
          </cell>
          <cell r="O22">
            <v>6799.96</v>
          </cell>
          <cell r="Q22">
            <v>1500</v>
          </cell>
          <cell r="S22">
            <v>8299.9599999999991</v>
          </cell>
          <cell r="U22">
            <v>-8299.9599999999991</v>
          </cell>
          <cell r="W22">
            <v>8299.9599999999991</v>
          </cell>
        </row>
        <row r="23">
          <cell r="A23">
            <v>350026</v>
          </cell>
          <cell r="B23">
            <v>350026</v>
          </cell>
          <cell r="D23" t="str">
            <v>Maint of Tranf Build &amp; Fixt St 11-25 Hz</v>
          </cell>
          <cell r="E23">
            <v>0</v>
          </cell>
          <cell r="G23">
            <v>0</v>
          </cell>
          <cell r="I23">
            <v>0</v>
          </cell>
          <cell r="O23">
            <v>3400.04</v>
          </cell>
          <cell r="Q23">
            <v>1000</v>
          </cell>
          <cell r="S23">
            <v>4400.04</v>
          </cell>
          <cell r="U23">
            <v>-4400.04</v>
          </cell>
          <cell r="W23">
            <v>4400.04</v>
          </cell>
        </row>
        <row r="24">
          <cell r="A24">
            <v>350029</v>
          </cell>
          <cell r="B24">
            <v>350029</v>
          </cell>
          <cell r="D24" t="str">
            <v>Maint of Trans St Equip-St.11-60 Cycle</v>
          </cell>
          <cell r="E24">
            <v>0</v>
          </cell>
          <cell r="G24">
            <v>0</v>
          </cell>
          <cell r="I24">
            <v>0</v>
          </cell>
          <cell r="O24">
            <v>6799.96</v>
          </cell>
          <cell r="Q24">
            <v>2000</v>
          </cell>
          <cell r="S24">
            <v>8799.9599999999991</v>
          </cell>
          <cell r="U24">
            <v>-8799.9599999999991</v>
          </cell>
          <cell r="W24">
            <v>8799.9599999999991</v>
          </cell>
        </row>
        <row r="25">
          <cell r="A25">
            <v>350030</v>
          </cell>
          <cell r="B25">
            <v>350030</v>
          </cell>
          <cell r="D25" t="str">
            <v>Maint of Trans St Equip-St.11-25 Cycle</v>
          </cell>
          <cell r="E25">
            <v>0</v>
          </cell>
          <cell r="G25">
            <v>0</v>
          </cell>
          <cell r="I25">
            <v>0</v>
          </cell>
          <cell r="O25">
            <v>3400.04</v>
          </cell>
          <cell r="Q25">
            <v>1000</v>
          </cell>
          <cell r="S25">
            <v>4400.04</v>
          </cell>
          <cell r="U25">
            <v>-4400.04</v>
          </cell>
          <cell r="W25">
            <v>4400.04</v>
          </cell>
        </row>
        <row r="26">
          <cell r="A26">
            <v>350033</v>
          </cell>
          <cell r="B26">
            <v>350033</v>
          </cell>
          <cell r="D26" t="str">
            <v>Maint of Towers, Poles &amp; Fixtures-60 hz</v>
          </cell>
          <cell r="E26">
            <v>0</v>
          </cell>
          <cell r="G26">
            <v>0</v>
          </cell>
          <cell r="I26">
            <v>0</v>
          </cell>
          <cell r="O26">
            <v>6799.96</v>
          </cell>
          <cell r="Q26">
            <v>2500</v>
          </cell>
          <cell r="S26">
            <v>9299.9599999999991</v>
          </cell>
          <cell r="U26">
            <v>-9299.9599999999991</v>
          </cell>
          <cell r="W26">
            <v>9299.9599999999991</v>
          </cell>
        </row>
        <row r="27">
          <cell r="A27">
            <v>350034</v>
          </cell>
          <cell r="B27">
            <v>350034</v>
          </cell>
          <cell r="D27" t="str">
            <v>Maint of Towers, Poles &amp; Fixtures-25 hz</v>
          </cell>
          <cell r="E27">
            <v>0</v>
          </cell>
          <cell r="G27">
            <v>0</v>
          </cell>
          <cell r="I27">
            <v>0</v>
          </cell>
          <cell r="O27">
            <v>3400.04</v>
          </cell>
          <cell r="Q27">
            <v>1200</v>
          </cell>
          <cell r="S27">
            <v>4600.04</v>
          </cell>
          <cell r="U27">
            <v>-4600.04</v>
          </cell>
          <cell r="W27">
            <v>4600.04</v>
          </cell>
        </row>
        <row r="28">
          <cell r="A28">
            <v>350037</v>
          </cell>
          <cell r="B28">
            <v>350037</v>
          </cell>
          <cell r="D28" t="str">
            <v>Maint. of OH Lines-Right of Way-60 Cycle</v>
          </cell>
          <cell r="E28">
            <v>0</v>
          </cell>
          <cell r="G28">
            <v>0</v>
          </cell>
          <cell r="I28">
            <v>0</v>
          </cell>
          <cell r="O28">
            <v>3400.04</v>
          </cell>
          <cell r="Q28">
            <v>50000</v>
          </cell>
          <cell r="S28">
            <v>53400.04</v>
          </cell>
          <cell r="U28">
            <v>-53400.04</v>
          </cell>
          <cell r="W28">
            <v>53400.04</v>
          </cell>
        </row>
        <row r="29">
          <cell r="A29">
            <v>350038</v>
          </cell>
          <cell r="B29">
            <v>350038</v>
          </cell>
          <cell r="D29" t="str">
            <v>Maint. of OH Lines-Right of Way-25 Cycle</v>
          </cell>
          <cell r="E29">
            <v>0</v>
          </cell>
          <cell r="G29">
            <v>0</v>
          </cell>
          <cell r="I29">
            <v>0</v>
          </cell>
          <cell r="O29">
            <v>3400.04</v>
          </cell>
          <cell r="Q29">
            <v>1500</v>
          </cell>
          <cell r="S29">
            <v>4900.04</v>
          </cell>
          <cell r="U29">
            <v>-4900.04</v>
          </cell>
          <cell r="W29">
            <v>4900.04</v>
          </cell>
        </row>
        <row r="30">
          <cell r="A30">
            <v>350039</v>
          </cell>
          <cell r="B30">
            <v>350039</v>
          </cell>
          <cell r="D30" t="str">
            <v>Maint. of Misc Transm Plant-60 Cycle</v>
          </cell>
          <cell r="E30">
            <v>0</v>
          </cell>
          <cell r="G30">
            <v>0</v>
          </cell>
          <cell r="I30">
            <v>0</v>
          </cell>
          <cell r="O30">
            <v>849.96</v>
          </cell>
          <cell r="Q30">
            <v>500</v>
          </cell>
          <cell r="S30">
            <v>1349.96</v>
          </cell>
          <cell r="U30">
            <v>-1349.96</v>
          </cell>
          <cell r="W30">
            <v>1349.96</v>
          </cell>
        </row>
        <row r="31">
          <cell r="A31">
            <v>350040</v>
          </cell>
          <cell r="B31">
            <v>350040</v>
          </cell>
          <cell r="D31" t="str">
            <v>Maint. of Misc Transm Plant-25 Cycle</v>
          </cell>
          <cell r="E31">
            <v>0</v>
          </cell>
          <cell r="G31">
            <v>0</v>
          </cell>
          <cell r="I31">
            <v>0</v>
          </cell>
          <cell r="O31">
            <v>849.96</v>
          </cell>
          <cell r="Q31">
            <v>500</v>
          </cell>
          <cell r="S31">
            <v>1349.96</v>
          </cell>
          <cell r="U31">
            <v>-1349.96</v>
          </cell>
          <cell r="W31">
            <v>1349.96</v>
          </cell>
        </row>
        <row r="33">
          <cell r="A33" t="str">
            <v>Distribution</v>
          </cell>
        </row>
        <row r="34">
          <cell r="A34">
            <v>360000</v>
          </cell>
          <cell r="B34">
            <v>360000</v>
          </cell>
          <cell r="D34" t="str">
            <v>Operation Supervision&amp; Engineer-System</v>
          </cell>
          <cell r="E34">
            <v>0</v>
          </cell>
          <cell r="G34">
            <v>0</v>
          </cell>
          <cell r="I34">
            <v>0</v>
          </cell>
          <cell r="O34">
            <v>3400.04</v>
          </cell>
          <cell r="Q34">
            <v>0</v>
          </cell>
          <cell r="S34">
            <v>3400.04</v>
          </cell>
          <cell r="U34">
            <v>-3400.04</v>
          </cell>
          <cell r="W34">
            <v>3400.04</v>
          </cell>
        </row>
        <row r="35">
          <cell r="A35">
            <v>360001</v>
          </cell>
          <cell r="B35">
            <v>360001</v>
          </cell>
          <cell r="D35" t="str">
            <v>OEB Preparation-Distribution</v>
          </cell>
          <cell r="E35">
            <v>0</v>
          </cell>
          <cell r="G35">
            <v>0</v>
          </cell>
          <cell r="I35">
            <v>0</v>
          </cell>
          <cell r="O35">
            <v>3400.04</v>
          </cell>
          <cell r="Q35">
            <v>0</v>
          </cell>
          <cell r="S35">
            <v>3400.04</v>
          </cell>
          <cell r="U35">
            <v>-3400.04</v>
          </cell>
          <cell r="W35">
            <v>3400.04</v>
          </cell>
        </row>
        <row r="36">
          <cell r="A36">
            <v>360002</v>
          </cell>
          <cell r="B36">
            <v>360002</v>
          </cell>
          <cell r="D36" t="str">
            <v>IMO Preparation-Distribution</v>
          </cell>
          <cell r="E36">
            <v>0</v>
          </cell>
          <cell r="G36">
            <v>0</v>
          </cell>
          <cell r="I36">
            <v>0</v>
          </cell>
          <cell r="O36">
            <v>3400.04</v>
          </cell>
          <cell r="Q36">
            <v>0</v>
          </cell>
          <cell r="S36">
            <v>3400.04</v>
          </cell>
          <cell r="U36">
            <v>-3400.04</v>
          </cell>
          <cell r="W36">
            <v>3400.04</v>
          </cell>
        </row>
        <row r="37">
          <cell r="A37">
            <v>360003</v>
          </cell>
          <cell r="B37">
            <v>360003</v>
          </cell>
          <cell r="D37" t="str">
            <v>Load Dispatching-Distribution</v>
          </cell>
          <cell r="E37">
            <v>0</v>
          </cell>
          <cell r="G37">
            <v>0</v>
          </cell>
          <cell r="I37">
            <v>0</v>
          </cell>
          <cell r="O37">
            <v>0</v>
          </cell>
          <cell r="Q37">
            <v>21500</v>
          </cell>
          <cell r="S37">
            <v>21500</v>
          </cell>
          <cell r="U37">
            <v>-21500</v>
          </cell>
          <cell r="W37">
            <v>21500</v>
          </cell>
        </row>
        <row r="38">
          <cell r="A38">
            <v>360004</v>
          </cell>
          <cell r="B38">
            <v>360004</v>
          </cell>
          <cell r="D38" t="str">
            <v>Station Buildings &amp; Fixtures Exp-St. 12</v>
          </cell>
          <cell r="E38">
            <v>0</v>
          </cell>
          <cell r="G38">
            <v>0</v>
          </cell>
          <cell r="I38">
            <v>0</v>
          </cell>
          <cell r="O38">
            <v>8160</v>
          </cell>
          <cell r="Q38">
            <v>50000</v>
          </cell>
          <cell r="S38">
            <v>58160</v>
          </cell>
          <cell r="U38">
            <v>-58160</v>
          </cell>
          <cell r="W38">
            <v>58160</v>
          </cell>
        </row>
        <row r="39">
          <cell r="A39">
            <v>360009</v>
          </cell>
          <cell r="B39">
            <v>360009</v>
          </cell>
          <cell r="D39" t="str">
            <v>Dist Station Equip-Operating Lbr-Stat 12</v>
          </cell>
          <cell r="E39">
            <v>0</v>
          </cell>
          <cell r="G39">
            <v>0</v>
          </cell>
          <cell r="I39">
            <v>0</v>
          </cell>
          <cell r="O39">
            <v>10200</v>
          </cell>
          <cell r="Q39">
            <v>2500</v>
          </cell>
          <cell r="S39">
            <v>12700</v>
          </cell>
          <cell r="U39">
            <v>-12700</v>
          </cell>
          <cell r="W39">
            <v>12700</v>
          </cell>
        </row>
        <row r="40">
          <cell r="A40">
            <v>360019</v>
          </cell>
          <cell r="B40">
            <v>360019</v>
          </cell>
          <cell r="D40" t="str">
            <v>Overhead Dist Line &amp; Feeders-Oper Labour</v>
          </cell>
          <cell r="E40">
            <v>0</v>
          </cell>
          <cell r="G40">
            <v>0</v>
          </cell>
          <cell r="I40">
            <v>0</v>
          </cell>
          <cell r="O40">
            <v>8500.0400000000009</v>
          </cell>
          <cell r="Q40">
            <v>25000</v>
          </cell>
          <cell r="S40">
            <v>33500.04</v>
          </cell>
          <cell r="U40">
            <v>-33500.04</v>
          </cell>
          <cell r="W40">
            <v>33500.04</v>
          </cell>
        </row>
        <row r="41">
          <cell r="A41">
            <v>360021</v>
          </cell>
          <cell r="B41">
            <v>360021</v>
          </cell>
          <cell r="D41" t="str">
            <v>Overhead Distribution Transf-Operations</v>
          </cell>
          <cell r="E41">
            <v>0</v>
          </cell>
          <cell r="G41">
            <v>0</v>
          </cell>
          <cell r="I41">
            <v>0</v>
          </cell>
          <cell r="O41">
            <v>8160</v>
          </cell>
          <cell r="Q41">
            <v>2000</v>
          </cell>
          <cell r="S41">
            <v>10160</v>
          </cell>
          <cell r="U41">
            <v>-10160</v>
          </cell>
          <cell r="W41">
            <v>10160</v>
          </cell>
        </row>
        <row r="42">
          <cell r="A42">
            <v>360022</v>
          </cell>
          <cell r="B42">
            <v>360022</v>
          </cell>
          <cell r="D42" t="str">
            <v>Underground Dist Lines &amp; Feeders-Op Lbr</v>
          </cell>
          <cell r="E42">
            <v>0</v>
          </cell>
          <cell r="G42">
            <v>0</v>
          </cell>
          <cell r="I42">
            <v>0</v>
          </cell>
          <cell r="O42">
            <v>85000.04</v>
          </cell>
          <cell r="Q42">
            <v>5000</v>
          </cell>
          <cell r="S42">
            <v>90000.04</v>
          </cell>
          <cell r="U42">
            <v>-90000.04</v>
          </cell>
          <cell r="W42">
            <v>90000.04</v>
          </cell>
        </row>
        <row r="43">
          <cell r="A43">
            <v>360024</v>
          </cell>
          <cell r="B43">
            <v>360024</v>
          </cell>
          <cell r="D43" t="str">
            <v>Underground Dist Transformers-Operations</v>
          </cell>
          <cell r="E43">
            <v>0</v>
          </cell>
          <cell r="G43">
            <v>0</v>
          </cell>
          <cell r="I43">
            <v>0</v>
          </cell>
          <cell r="O43">
            <v>8160</v>
          </cell>
          <cell r="Q43">
            <v>2000</v>
          </cell>
          <cell r="S43">
            <v>10160</v>
          </cell>
          <cell r="U43">
            <v>-10160</v>
          </cell>
          <cell r="W43">
            <v>10160</v>
          </cell>
        </row>
        <row r="44">
          <cell r="A44">
            <v>360025</v>
          </cell>
          <cell r="B44">
            <v>360025</v>
          </cell>
          <cell r="D44" t="str">
            <v>Meter Expenses</v>
          </cell>
          <cell r="E44">
            <v>0</v>
          </cell>
          <cell r="G44">
            <v>0</v>
          </cell>
          <cell r="I44">
            <v>0</v>
          </cell>
          <cell r="O44">
            <v>20400</v>
          </cell>
          <cell r="Q44">
            <v>4000</v>
          </cell>
          <cell r="S44">
            <v>24400</v>
          </cell>
          <cell r="U44">
            <v>-24400</v>
          </cell>
          <cell r="W44">
            <v>24400</v>
          </cell>
        </row>
        <row r="45">
          <cell r="A45">
            <v>360026</v>
          </cell>
          <cell r="B45">
            <v>360026</v>
          </cell>
          <cell r="D45" t="str">
            <v>Customer Premise-Operating Labour</v>
          </cell>
          <cell r="E45">
            <v>0</v>
          </cell>
          <cell r="G45">
            <v>0</v>
          </cell>
          <cell r="I45">
            <v>0</v>
          </cell>
          <cell r="O45">
            <v>8160</v>
          </cell>
          <cell r="Q45">
            <v>1500</v>
          </cell>
          <cell r="S45">
            <v>9660</v>
          </cell>
          <cell r="U45">
            <v>-9660</v>
          </cell>
          <cell r="W45">
            <v>9660</v>
          </cell>
        </row>
        <row r="46">
          <cell r="A46">
            <v>360028</v>
          </cell>
          <cell r="B46">
            <v>360028</v>
          </cell>
          <cell r="D46" t="str">
            <v>Miscellaneous Distribution Expenses</v>
          </cell>
          <cell r="E46">
            <v>0</v>
          </cell>
          <cell r="G46">
            <v>0</v>
          </cell>
          <cell r="I46">
            <v>0</v>
          </cell>
          <cell r="O46">
            <v>253600.04</v>
          </cell>
          <cell r="Q46">
            <v>43000</v>
          </cell>
          <cell r="S46">
            <v>296600.03999999998</v>
          </cell>
          <cell r="U46">
            <v>-296600.03999999998</v>
          </cell>
          <cell r="W46">
            <v>296600.03999999998</v>
          </cell>
        </row>
        <row r="47">
          <cell r="A47">
            <v>360031</v>
          </cell>
          <cell r="B47">
            <v>360031</v>
          </cell>
          <cell r="D47" t="str">
            <v>Other Rent</v>
          </cell>
          <cell r="E47">
            <v>0</v>
          </cell>
          <cell r="G47">
            <v>0</v>
          </cell>
          <cell r="I47">
            <v>0</v>
          </cell>
          <cell r="O47">
            <v>0</v>
          </cell>
          <cell r="Q47">
            <v>10000</v>
          </cell>
          <cell r="S47">
            <v>10000</v>
          </cell>
          <cell r="U47">
            <v>-10000</v>
          </cell>
          <cell r="W47">
            <v>10000</v>
          </cell>
        </row>
        <row r="48">
          <cell r="A48">
            <v>360032</v>
          </cell>
          <cell r="B48">
            <v>360032</v>
          </cell>
          <cell r="D48" t="str">
            <v>Maint Superv &amp; Engineering-Whole System</v>
          </cell>
          <cell r="E48">
            <v>0</v>
          </cell>
          <cell r="G48">
            <v>0</v>
          </cell>
          <cell r="I48">
            <v>0</v>
          </cell>
          <cell r="O48">
            <v>3400.04</v>
          </cell>
          <cell r="Q48">
            <v>1500</v>
          </cell>
          <cell r="S48">
            <v>4900.04</v>
          </cell>
          <cell r="U48">
            <v>-4900.04</v>
          </cell>
          <cell r="W48">
            <v>4900.04</v>
          </cell>
        </row>
        <row r="49">
          <cell r="A49">
            <v>360033</v>
          </cell>
          <cell r="B49">
            <v>360033</v>
          </cell>
          <cell r="D49" t="str">
            <v>Maint of Build &amp; Fix-Dist Station -St 12</v>
          </cell>
          <cell r="E49">
            <v>0</v>
          </cell>
          <cell r="G49">
            <v>0</v>
          </cell>
          <cell r="I49">
            <v>0</v>
          </cell>
          <cell r="O49">
            <v>17000.04</v>
          </cell>
          <cell r="Q49">
            <v>5000</v>
          </cell>
          <cell r="S49">
            <v>22000.04</v>
          </cell>
          <cell r="U49">
            <v>-22000.04</v>
          </cell>
          <cell r="W49">
            <v>22000.04</v>
          </cell>
        </row>
        <row r="50">
          <cell r="A50">
            <v>360038</v>
          </cell>
          <cell r="B50">
            <v>360038</v>
          </cell>
          <cell r="D50" t="str">
            <v>Maintenance of Distr Station Equip-St 12</v>
          </cell>
          <cell r="E50">
            <v>0</v>
          </cell>
          <cell r="G50">
            <v>0</v>
          </cell>
          <cell r="I50">
            <v>0</v>
          </cell>
          <cell r="O50">
            <v>33999.96</v>
          </cell>
          <cell r="Q50">
            <v>12000</v>
          </cell>
          <cell r="S50">
            <v>45999.96</v>
          </cell>
          <cell r="U50">
            <v>-45999.96</v>
          </cell>
          <cell r="W50">
            <v>45999.96</v>
          </cell>
        </row>
        <row r="51">
          <cell r="A51">
            <v>360044</v>
          </cell>
          <cell r="B51">
            <v>360044</v>
          </cell>
          <cell r="D51" t="str">
            <v>Maintenance of Conductors &amp; Devices</v>
          </cell>
          <cell r="E51">
            <v>0</v>
          </cell>
          <cell r="G51">
            <v>0</v>
          </cell>
          <cell r="I51">
            <v>0</v>
          </cell>
          <cell r="O51">
            <v>289000.03999999998</v>
          </cell>
          <cell r="Q51">
            <v>120000</v>
          </cell>
          <cell r="S51">
            <v>409000.04</v>
          </cell>
          <cell r="U51">
            <v>-409000.04</v>
          </cell>
          <cell r="W51">
            <v>409000.04</v>
          </cell>
        </row>
        <row r="52">
          <cell r="A52">
            <v>360045</v>
          </cell>
          <cell r="B52">
            <v>360045</v>
          </cell>
          <cell r="D52" t="str">
            <v>Maintenance of Overhead Services</v>
          </cell>
          <cell r="E52">
            <v>0</v>
          </cell>
          <cell r="G52">
            <v>0</v>
          </cell>
          <cell r="I52">
            <v>0</v>
          </cell>
          <cell r="O52">
            <v>170000.04</v>
          </cell>
          <cell r="Q52">
            <v>70000</v>
          </cell>
          <cell r="S52">
            <v>240000.04</v>
          </cell>
          <cell r="U52">
            <v>-240000.04</v>
          </cell>
          <cell r="W52">
            <v>240000.04</v>
          </cell>
        </row>
        <row r="53">
          <cell r="A53">
            <v>360046</v>
          </cell>
          <cell r="B53">
            <v>360046</v>
          </cell>
          <cell r="D53" t="str">
            <v>OH Dist Lines &amp; Feeders-Right-of-Way</v>
          </cell>
          <cell r="E53">
            <v>0</v>
          </cell>
          <cell r="G53">
            <v>0</v>
          </cell>
          <cell r="I53">
            <v>0</v>
          </cell>
          <cell r="O53">
            <v>17000.04</v>
          </cell>
          <cell r="Q53">
            <v>120000</v>
          </cell>
          <cell r="S53">
            <v>137000.04</v>
          </cell>
          <cell r="U53">
            <v>-137000.04</v>
          </cell>
          <cell r="W53">
            <v>137000.04</v>
          </cell>
        </row>
        <row r="54">
          <cell r="A54">
            <v>360048</v>
          </cell>
          <cell r="B54">
            <v>360048</v>
          </cell>
          <cell r="D54" t="str">
            <v>Maintenance of UG Conductors &amp; Devices</v>
          </cell>
          <cell r="E54">
            <v>0</v>
          </cell>
          <cell r="G54">
            <v>0</v>
          </cell>
          <cell r="I54">
            <v>0</v>
          </cell>
          <cell r="O54">
            <v>25500</v>
          </cell>
          <cell r="Q54">
            <v>12000</v>
          </cell>
          <cell r="S54">
            <v>37500</v>
          </cell>
          <cell r="U54">
            <v>-37500</v>
          </cell>
          <cell r="W54">
            <v>37500</v>
          </cell>
        </row>
        <row r="55">
          <cell r="A55">
            <v>360049</v>
          </cell>
          <cell r="B55">
            <v>360049</v>
          </cell>
          <cell r="D55" t="str">
            <v>Maintenance of Underground Services</v>
          </cell>
          <cell r="E55">
            <v>0</v>
          </cell>
          <cell r="G55">
            <v>0</v>
          </cell>
          <cell r="I55">
            <v>0</v>
          </cell>
          <cell r="O55">
            <v>25500</v>
          </cell>
          <cell r="Q55">
            <v>17000</v>
          </cell>
          <cell r="S55">
            <v>42500</v>
          </cell>
          <cell r="U55">
            <v>-42500</v>
          </cell>
          <cell r="W55">
            <v>42500</v>
          </cell>
        </row>
        <row r="56">
          <cell r="A56">
            <v>360050</v>
          </cell>
          <cell r="B56">
            <v>360050</v>
          </cell>
          <cell r="D56" t="str">
            <v>Maintenance of Line Transformers</v>
          </cell>
          <cell r="E56">
            <v>0</v>
          </cell>
          <cell r="G56">
            <v>0</v>
          </cell>
          <cell r="I56">
            <v>0</v>
          </cell>
          <cell r="O56">
            <v>40800</v>
          </cell>
          <cell r="Q56">
            <v>10000</v>
          </cell>
          <cell r="S56">
            <v>50800</v>
          </cell>
          <cell r="U56">
            <v>-50800</v>
          </cell>
          <cell r="W56">
            <v>50800</v>
          </cell>
        </row>
        <row r="57">
          <cell r="A57">
            <v>360053</v>
          </cell>
          <cell r="B57">
            <v>360053</v>
          </cell>
          <cell r="D57" t="str">
            <v>Maintenance of Meters</v>
          </cell>
          <cell r="E57">
            <v>0</v>
          </cell>
          <cell r="G57">
            <v>0</v>
          </cell>
          <cell r="I57">
            <v>0</v>
          </cell>
          <cell r="O57">
            <v>136000.04</v>
          </cell>
          <cell r="Q57">
            <v>15000</v>
          </cell>
          <cell r="S57">
            <v>151000.04</v>
          </cell>
          <cell r="U57">
            <v>-151000.04</v>
          </cell>
          <cell r="W57">
            <v>151000.04</v>
          </cell>
        </row>
        <row r="58">
          <cell r="A58">
            <v>360055</v>
          </cell>
          <cell r="B58">
            <v>360055</v>
          </cell>
          <cell r="D58" t="str">
            <v>Maint of other Install on Cust. Premises</v>
          </cell>
          <cell r="E58">
            <v>0</v>
          </cell>
          <cell r="G58">
            <v>0</v>
          </cell>
          <cell r="I58">
            <v>0</v>
          </cell>
          <cell r="O58">
            <v>3400.04</v>
          </cell>
          <cell r="Q58">
            <v>500</v>
          </cell>
          <cell r="S58">
            <v>3900.04</v>
          </cell>
          <cell r="U58">
            <v>-3900.04</v>
          </cell>
          <cell r="W58">
            <v>3900.04</v>
          </cell>
        </row>
        <row r="59">
          <cell r="A59">
            <v>360056</v>
          </cell>
          <cell r="B59">
            <v>360056</v>
          </cell>
          <cell r="D59" t="str">
            <v>OEB Reporting-Distribution</v>
          </cell>
          <cell r="E59">
            <v>0</v>
          </cell>
          <cell r="G59">
            <v>0</v>
          </cell>
          <cell r="I59">
            <v>0</v>
          </cell>
          <cell r="O59">
            <v>12240</v>
          </cell>
          <cell r="Q59">
            <v>0</v>
          </cell>
          <cell r="S59">
            <v>12240</v>
          </cell>
          <cell r="U59">
            <v>-12240</v>
          </cell>
          <cell r="W59">
            <v>12240</v>
          </cell>
        </row>
        <row r="61">
          <cell r="A61" t="str">
            <v>Information Technology</v>
          </cell>
        </row>
        <row r="62">
          <cell r="A62">
            <v>300591</v>
          </cell>
          <cell r="B62">
            <v>300591</v>
          </cell>
          <cell r="D62" t="str">
            <v>SAP R/3 Maintenance Order</v>
          </cell>
          <cell r="E62">
            <v>0</v>
          </cell>
          <cell r="G62">
            <v>0</v>
          </cell>
          <cell r="I62">
            <v>0</v>
          </cell>
          <cell r="O62">
            <v>0</v>
          </cell>
          <cell r="Q62">
            <v>100000</v>
          </cell>
          <cell r="S62">
            <v>100000</v>
          </cell>
          <cell r="U62">
            <v>-100000</v>
          </cell>
          <cell r="W62">
            <v>100000</v>
          </cell>
        </row>
        <row r="63">
          <cell r="A63">
            <v>300592</v>
          </cell>
          <cell r="B63">
            <v>300592</v>
          </cell>
          <cell r="D63" t="str">
            <v>SAP - CCS Maintenance</v>
          </cell>
          <cell r="E63">
            <v>0</v>
          </cell>
          <cell r="G63">
            <v>0</v>
          </cell>
          <cell r="I63">
            <v>0</v>
          </cell>
          <cell r="O63">
            <v>0</v>
          </cell>
          <cell r="Q63">
            <v>300000</v>
          </cell>
          <cell r="S63">
            <v>300000</v>
          </cell>
          <cell r="U63">
            <v>-300000</v>
          </cell>
          <cell r="W63">
            <v>300000</v>
          </cell>
        </row>
        <row r="65">
          <cell r="A65" t="str">
            <v>Materials Management</v>
          </cell>
        </row>
        <row r="66">
          <cell r="A66">
            <v>300584</v>
          </cell>
          <cell r="B66">
            <v>300584</v>
          </cell>
          <cell r="D66" t="str">
            <v>Storekeeping Relief</v>
          </cell>
          <cell r="E66">
            <v>0</v>
          </cell>
          <cell r="G66">
            <v>0</v>
          </cell>
          <cell r="I66">
            <v>0</v>
          </cell>
          <cell r="O66">
            <v>17214.96</v>
          </cell>
          <cell r="Q66">
            <v>0</v>
          </cell>
          <cell r="S66">
            <v>17214.96</v>
          </cell>
          <cell r="U66">
            <v>-17214.96</v>
          </cell>
          <cell r="W66">
            <v>17214.96</v>
          </cell>
        </row>
        <row r="67">
          <cell r="A67">
            <v>300681</v>
          </cell>
          <cell r="B67">
            <v>300681</v>
          </cell>
          <cell r="D67" t="str">
            <v>Purchasing Management Function</v>
          </cell>
          <cell r="E67">
            <v>0</v>
          </cell>
          <cell r="G67">
            <v>0</v>
          </cell>
          <cell r="I67">
            <v>0</v>
          </cell>
          <cell r="O67">
            <v>16500</v>
          </cell>
          <cell r="Q67">
            <v>0</v>
          </cell>
          <cell r="S67">
            <v>16500</v>
          </cell>
          <cell r="U67">
            <v>-16500</v>
          </cell>
          <cell r="W67">
            <v>16500</v>
          </cell>
        </row>
        <row r="69">
          <cell r="A69" t="str">
            <v>Health, Safety &amp; Environment</v>
          </cell>
        </row>
        <row r="70">
          <cell r="A70">
            <v>300201</v>
          </cell>
          <cell r="B70">
            <v>300201</v>
          </cell>
          <cell r="D70" t="str">
            <v>Environment, Health &amp; Safety Services</v>
          </cell>
          <cell r="E70">
            <v>0</v>
          </cell>
          <cell r="G70">
            <v>0</v>
          </cell>
          <cell r="I70">
            <v>0</v>
          </cell>
          <cell r="O70">
            <v>23619.919999999998</v>
          </cell>
          <cell r="Q70">
            <v>0</v>
          </cell>
          <cell r="S70">
            <v>23619.919999999998</v>
          </cell>
          <cell r="U70">
            <v>-23619.919999999998</v>
          </cell>
          <cell r="W70">
            <v>23619.919999999998</v>
          </cell>
        </row>
        <row r="72">
          <cell r="A72" t="str">
            <v>Property Maintenance</v>
          </cell>
        </row>
        <row r="73">
          <cell r="A73">
            <v>300220</v>
          </cell>
          <cell r="B73">
            <v>300220</v>
          </cell>
          <cell r="D73" t="str">
            <v>Maintenance on Int/ext Service Center</v>
          </cell>
          <cell r="E73">
            <v>0</v>
          </cell>
          <cell r="G73">
            <v>0</v>
          </cell>
          <cell r="I73">
            <v>0</v>
          </cell>
          <cell r="O73">
            <v>155485.04</v>
          </cell>
          <cell r="Q73">
            <v>225000</v>
          </cell>
          <cell r="S73">
            <v>380485.04</v>
          </cell>
          <cell r="U73">
            <v>-380485.04</v>
          </cell>
          <cell r="W73">
            <v>380485.04</v>
          </cell>
        </row>
        <row r="74">
          <cell r="A74">
            <v>300585</v>
          </cell>
          <cell r="B74">
            <v>300585</v>
          </cell>
          <cell r="D74" t="str">
            <v>Fleet Maintenanace for INC.</v>
          </cell>
          <cell r="E74">
            <v>0</v>
          </cell>
          <cell r="G74">
            <v>0</v>
          </cell>
          <cell r="I74">
            <v>0</v>
          </cell>
          <cell r="O74">
            <v>21999.96</v>
          </cell>
          <cell r="Q74">
            <v>1000</v>
          </cell>
          <cell r="S74">
            <v>22999.96</v>
          </cell>
          <cell r="U74">
            <v>-22999.96</v>
          </cell>
          <cell r="W74">
            <v>22999.96</v>
          </cell>
        </row>
        <row r="75">
          <cell r="A75">
            <v>300586</v>
          </cell>
          <cell r="B75">
            <v>300586</v>
          </cell>
          <cell r="D75" t="str">
            <v>Fleet Maintenanace for LTD</v>
          </cell>
          <cell r="E75">
            <v>0</v>
          </cell>
          <cell r="G75">
            <v>0</v>
          </cell>
          <cell r="I75">
            <v>0</v>
          </cell>
          <cell r="O75">
            <v>7699.96</v>
          </cell>
          <cell r="Q75">
            <v>500</v>
          </cell>
          <cell r="S75">
            <v>8199.9599999999991</v>
          </cell>
          <cell r="U75">
            <v>-8199.9599999999991</v>
          </cell>
          <cell r="W75">
            <v>8199.9599999999991</v>
          </cell>
        </row>
        <row r="76">
          <cell r="A76">
            <v>300680</v>
          </cell>
          <cell r="B76">
            <v>300680</v>
          </cell>
          <cell r="D76" t="str">
            <v>Property Management Function</v>
          </cell>
          <cell r="E76">
            <v>0</v>
          </cell>
          <cell r="G76">
            <v>0</v>
          </cell>
          <cell r="I76">
            <v>0</v>
          </cell>
          <cell r="O76">
            <v>16500</v>
          </cell>
          <cell r="Q76">
            <v>0</v>
          </cell>
          <cell r="S76">
            <v>16500</v>
          </cell>
          <cell r="U76">
            <v>-16500</v>
          </cell>
          <cell r="W76">
            <v>16500</v>
          </cell>
        </row>
        <row r="78">
          <cell r="A78" t="str">
            <v>Customer Service</v>
          </cell>
        </row>
        <row r="79">
          <cell r="A79">
            <v>300400</v>
          </cell>
          <cell r="B79">
            <v>300400</v>
          </cell>
          <cell r="D79" t="str">
            <v>Customer Collections - Cust Service</v>
          </cell>
          <cell r="E79">
            <v>0</v>
          </cell>
          <cell r="G79">
            <v>0</v>
          </cell>
          <cell r="I79">
            <v>0</v>
          </cell>
          <cell r="O79">
            <v>68640</v>
          </cell>
          <cell r="Q79">
            <v>0</v>
          </cell>
          <cell r="S79">
            <v>68640</v>
          </cell>
          <cell r="U79">
            <v>-68640</v>
          </cell>
          <cell r="W79">
            <v>68640</v>
          </cell>
        </row>
        <row r="80">
          <cell r="A80">
            <v>300401</v>
          </cell>
          <cell r="B80">
            <v>300401</v>
          </cell>
          <cell r="D80" t="str">
            <v>Customer Reads - Customer Service</v>
          </cell>
          <cell r="E80">
            <v>0</v>
          </cell>
          <cell r="G80">
            <v>0</v>
          </cell>
          <cell r="I80">
            <v>0</v>
          </cell>
          <cell r="O80">
            <v>68640</v>
          </cell>
          <cell r="Q80">
            <v>0</v>
          </cell>
          <cell r="S80">
            <v>68640</v>
          </cell>
          <cell r="U80">
            <v>-68640</v>
          </cell>
          <cell r="W80">
            <v>68640</v>
          </cell>
        </row>
        <row r="81">
          <cell r="A81">
            <v>300402</v>
          </cell>
          <cell r="B81">
            <v>300402</v>
          </cell>
          <cell r="D81" t="str">
            <v>Customer Disconnections- Cust Service</v>
          </cell>
          <cell r="E81">
            <v>0</v>
          </cell>
          <cell r="G81">
            <v>0</v>
          </cell>
          <cell r="I81">
            <v>0</v>
          </cell>
          <cell r="O81">
            <v>91520</v>
          </cell>
          <cell r="Q81">
            <v>0</v>
          </cell>
          <cell r="S81">
            <v>91520</v>
          </cell>
          <cell r="U81">
            <v>-91520</v>
          </cell>
          <cell r="W81">
            <v>91520</v>
          </cell>
        </row>
        <row r="82">
          <cell r="A82">
            <v>300495</v>
          </cell>
          <cell r="B82">
            <v>300495</v>
          </cell>
          <cell r="D82" t="str">
            <v>LABOUR CHARGES TO 2501 IN CO. 0020</v>
          </cell>
          <cell r="E82">
            <v>0</v>
          </cell>
          <cell r="G82">
            <v>0</v>
          </cell>
          <cell r="I82">
            <v>0</v>
          </cell>
          <cell r="O82">
            <v>2200.04</v>
          </cell>
          <cell r="Q82">
            <v>0</v>
          </cell>
          <cell r="S82">
            <v>2200.04</v>
          </cell>
          <cell r="U82">
            <v>-2200.04</v>
          </cell>
          <cell r="W82">
            <v>2200.04</v>
          </cell>
        </row>
        <row r="84">
          <cell r="A84" t="str">
            <v>Port Colbonre Hydro</v>
          </cell>
        </row>
        <row r="85">
          <cell r="A85">
            <v>600000</v>
          </cell>
          <cell r="B85">
            <v>600000</v>
          </cell>
          <cell r="D85" t="str">
            <v>PC Operating Supervision &amp; Engineering</v>
          </cell>
          <cell r="E85">
            <v>0</v>
          </cell>
          <cell r="G85">
            <v>0</v>
          </cell>
          <cell r="I85">
            <v>0</v>
          </cell>
          <cell r="O85">
            <v>0</v>
          </cell>
          <cell r="Q85">
            <v>0</v>
          </cell>
          <cell r="S85">
            <v>0</v>
          </cell>
          <cell r="U85">
            <v>0</v>
          </cell>
          <cell r="W85">
            <v>0</v>
          </cell>
        </row>
        <row r="86">
          <cell r="A86">
            <v>600003</v>
          </cell>
          <cell r="B86">
            <v>600003</v>
          </cell>
          <cell r="D86" t="str">
            <v>PC Load Dispatching-Oper Serv Distr</v>
          </cell>
          <cell r="E86">
            <v>0</v>
          </cell>
          <cell r="G86">
            <v>0</v>
          </cell>
          <cell r="I86">
            <v>0</v>
          </cell>
          <cell r="O86">
            <v>0</v>
          </cell>
          <cell r="Q86">
            <v>0</v>
          </cell>
          <cell r="S86">
            <v>0</v>
          </cell>
          <cell r="U86">
            <v>0</v>
          </cell>
          <cell r="W86">
            <v>0</v>
          </cell>
        </row>
        <row r="87">
          <cell r="A87">
            <v>600004</v>
          </cell>
          <cell r="B87">
            <v>600004</v>
          </cell>
          <cell r="D87" t="str">
            <v>PC Stations-buildings &amp; Fixtures Expense</v>
          </cell>
          <cell r="E87">
            <v>0</v>
          </cell>
          <cell r="G87">
            <v>0</v>
          </cell>
          <cell r="I87">
            <v>0</v>
          </cell>
          <cell r="O87">
            <v>8500.0400000000009</v>
          </cell>
          <cell r="Q87">
            <v>10000</v>
          </cell>
          <cell r="S87">
            <v>18500.04</v>
          </cell>
          <cell r="U87">
            <v>-18500.04</v>
          </cell>
          <cell r="W87">
            <v>18500.04</v>
          </cell>
        </row>
        <row r="88">
          <cell r="A88">
            <v>600005</v>
          </cell>
          <cell r="B88">
            <v>600005</v>
          </cell>
          <cell r="D88" t="str">
            <v>PC Station Equipment-Oper Lbr &amp; Expense</v>
          </cell>
          <cell r="E88">
            <v>0</v>
          </cell>
          <cell r="G88">
            <v>0</v>
          </cell>
          <cell r="I88">
            <v>0</v>
          </cell>
          <cell r="O88">
            <v>10200</v>
          </cell>
          <cell r="Q88">
            <v>2500</v>
          </cell>
          <cell r="S88">
            <v>12700</v>
          </cell>
          <cell r="U88">
            <v>-12700</v>
          </cell>
          <cell r="W88">
            <v>12700</v>
          </cell>
        </row>
        <row r="89">
          <cell r="A89">
            <v>600006</v>
          </cell>
          <cell r="B89">
            <v>600006</v>
          </cell>
          <cell r="D89" t="str">
            <v>PC O/H Dist Lines-Operating Lbr&amp;Expenses</v>
          </cell>
          <cell r="E89">
            <v>0</v>
          </cell>
          <cell r="G89">
            <v>0</v>
          </cell>
          <cell r="I89">
            <v>0</v>
          </cell>
          <cell r="O89">
            <v>10200</v>
          </cell>
          <cell r="Q89">
            <v>1500</v>
          </cell>
          <cell r="S89">
            <v>11700</v>
          </cell>
          <cell r="U89">
            <v>-11700</v>
          </cell>
          <cell r="W89">
            <v>11700</v>
          </cell>
        </row>
        <row r="90">
          <cell r="A90">
            <v>600007</v>
          </cell>
          <cell r="B90">
            <v>600007</v>
          </cell>
          <cell r="D90" t="str">
            <v>PC O/H Distr Transformers-Operations</v>
          </cell>
          <cell r="E90">
            <v>0</v>
          </cell>
          <cell r="G90">
            <v>0</v>
          </cell>
          <cell r="I90">
            <v>0</v>
          </cell>
          <cell r="O90">
            <v>10200</v>
          </cell>
          <cell r="Q90">
            <v>2000</v>
          </cell>
          <cell r="S90">
            <v>12200</v>
          </cell>
          <cell r="U90">
            <v>-12200</v>
          </cell>
          <cell r="W90">
            <v>12200</v>
          </cell>
        </row>
        <row r="91">
          <cell r="A91">
            <v>600008</v>
          </cell>
          <cell r="B91">
            <v>600008</v>
          </cell>
          <cell r="D91" t="str">
            <v>PC U/G Dist Lines-Operating Lbr&amp;Expenses</v>
          </cell>
          <cell r="E91">
            <v>0</v>
          </cell>
          <cell r="G91">
            <v>0</v>
          </cell>
          <cell r="I91">
            <v>0</v>
          </cell>
          <cell r="O91">
            <v>10200</v>
          </cell>
          <cell r="Q91">
            <v>1500</v>
          </cell>
          <cell r="S91">
            <v>11700</v>
          </cell>
          <cell r="U91">
            <v>-11700</v>
          </cell>
          <cell r="W91">
            <v>11700</v>
          </cell>
        </row>
        <row r="92">
          <cell r="A92">
            <v>600009</v>
          </cell>
          <cell r="B92">
            <v>600009</v>
          </cell>
          <cell r="D92" t="str">
            <v>PC U/G Distr Transformers-Operations</v>
          </cell>
          <cell r="E92">
            <v>0</v>
          </cell>
          <cell r="G92">
            <v>0</v>
          </cell>
          <cell r="I92">
            <v>0</v>
          </cell>
          <cell r="O92">
            <v>8075</v>
          </cell>
          <cell r="Q92">
            <v>750</v>
          </cell>
          <cell r="S92">
            <v>8825</v>
          </cell>
          <cell r="U92">
            <v>-8825</v>
          </cell>
          <cell r="W92">
            <v>8825</v>
          </cell>
        </row>
        <row r="93">
          <cell r="A93">
            <v>600010</v>
          </cell>
          <cell r="B93">
            <v>600010</v>
          </cell>
          <cell r="D93" t="str">
            <v>PC Meter Expenses</v>
          </cell>
          <cell r="E93">
            <v>0</v>
          </cell>
          <cell r="G93">
            <v>0</v>
          </cell>
          <cell r="I93">
            <v>0</v>
          </cell>
          <cell r="O93">
            <v>3400.04</v>
          </cell>
          <cell r="Q93">
            <v>2000</v>
          </cell>
          <cell r="S93">
            <v>5400.04</v>
          </cell>
          <cell r="U93">
            <v>-5400.04</v>
          </cell>
          <cell r="W93">
            <v>5400.04</v>
          </cell>
        </row>
        <row r="94">
          <cell r="A94">
            <v>600011</v>
          </cell>
          <cell r="B94">
            <v>600011</v>
          </cell>
          <cell r="D94" t="str">
            <v>PC Customer Premise-Operating Lbr</v>
          </cell>
          <cell r="E94">
            <v>0</v>
          </cell>
          <cell r="G94">
            <v>0</v>
          </cell>
          <cell r="I94">
            <v>0</v>
          </cell>
          <cell r="O94">
            <v>4080</v>
          </cell>
          <cell r="Q94">
            <v>1500</v>
          </cell>
          <cell r="S94">
            <v>5580</v>
          </cell>
          <cell r="U94">
            <v>-5580</v>
          </cell>
          <cell r="W94">
            <v>5580</v>
          </cell>
        </row>
        <row r="95">
          <cell r="A95">
            <v>600012</v>
          </cell>
          <cell r="B95">
            <v>600012</v>
          </cell>
          <cell r="D95" t="str">
            <v>PC Misc Distribution Expense</v>
          </cell>
          <cell r="E95">
            <v>0</v>
          </cell>
          <cell r="G95">
            <v>0</v>
          </cell>
          <cell r="I95">
            <v>0</v>
          </cell>
          <cell r="O95">
            <v>85000.04</v>
          </cell>
          <cell r="Q95">
            <v>8000</v>
          </cell>
          <cell r="S95">
            <v>93000.04</v>
          </cell>
          <cell r="U95">
            <v>-93000.04</v>
          </cell>
          <cell r="W95">
            <v>93000.04</v>
          </cell>
        </row>
        <row r="96">
          <cell r="A96">
            <v>600013</v>
          </cell>
          <cell r="B96">
            <v>600013</v>
          </cell>
          <cell r="D96" t="str">
            <v>PC Distribution Rental</v>
          </cell>
          <cell r="E96">
            <v>0</v>
          </cell>
          <cell r="G96">
            <v>0</v>
          </cell>
          <cell r="I96">
            <v>0</v>
          </cell>
          <cell r="O96">
            <v>0</v>
          </cell>
          <cell r="Q96">
            <v>4000</v>
          </cell>
          <cell r="S96">
            <v>4000</v>
          </cell>
          <cell r="U96">
            <v>-4000</v>
          </cell>
          <cell r="W96">
            <v>4000</v>
          </cell>
        </row>
        <row r="97">
          <cell r="A97">
            <v>600014</v>
          </cell>
          <cell r="B97">
            <v>600014</v>
          </cell>
          <cell r="D97" t="str">
            <v>PC Maint Supervision &amp; Engineering</v>
          </cell>
          <cell r="E97">
            <v>0</v>
          </cell>
          <cell r="G97">
            <v>0</v>
          </cell>
          <cell r="I97">
            <v>0</v>
          </cell>
          <cell r="O97">
            <v>0</v>
          </cell>
          <cell r="Q97">
            <v>0</v>
          </cell>
          <cell r="S97">
            <v>0</v>
          </cell>
          <cell r="U97">
            <v>0</v>
          </cell>
          <cell r="W97">
            <v>0</v>
          </cell>
        </row>
        <row r="98">
          <cell r="A98">
            <v>600015</v>
          </cell>
          <cell r="B98">
            <v>600015</v>
          </cell>
          <cell r="D98" t="str">
            <v>PC Stations-Maint-Building &amp; Fixtures</v>
          </cell>
          <cell r="E98">
            <v>0</v>
          </cell>
          <cell r="G98">
            <v>0</v>
          </cell>
          <cell r="I98">
            <v>0</v>
          </cell>
          <cell r="O98">
            <v>13600.04</v>
          </cell>
          <cell r="Q98">
            <v>5000</v>
          </cell>
          <cell r="S98">
            <v>18600.04</v>
          </cell>
          <cell r="U98">
            <v>-18600.04</v>
          </cell>
          <cell r="W98">
            <v>18600.04</v>
          </cell>
        </row>
        <row r="99">
          <cell r="A99">
            <v>600016</v>
          </cell>
          <cell r="B99">
            <v>600016</v>
          </cell>
          <cell r="D99" t="str">
            <v>PC Stations-Maintenance on Equipment</v>
          </cell>
          <cell r="E99">
            <v>0</v>
          </cell>
          <cell r="G99">
            <v>0</v>
          </cell>
          <cell r="I99">
            <v>0</v>
          </cell>
          <cell r="O99">
            <v>30600</v>
          </cell>
          <cell r="Q99">
            <v>8000</v>
          </cell>
          <cell r="S99">
            <v>38600</v>
          </cell>
          <cell r="U99">
            <v>-38600</v>
          </cell>
          <cell r="W99">
            <v>38600</v>
          </cell>
        </row>
        <row r="100">
          <cell r="A100">
            <v>600017</v>
          </cell>
          <cell r="B100">
            <v>600017</v>
          </cell>
          <cell r="D100" t="str">
            <v>PC Maint-O/H Poles Cond &amp; Devices</v>
          </cell>
          <cell r="E100">
            <v>0</v>
          </cell>
          <cell r="G100">
            <v>0</v>
          </cell>
          <cell r="I100">
            <v>0</v>
          </cell>
          <cell r="O100">
            <v>187000.04</v>
          </cell>
          <cell r="Q100">
            <v>55000</v>
          </cell>
          <cell r="S100">
            <v>242000.04</v>
          </cell>
          <cell r="U100">
            <v>-242000.04</v>
          </cell>
          <cell r="W100">
            <v>242000.04</v>
          </cell>
        </row>
        <row r="101">
          <cell r="A101">
            <v>600018</v>
          </cell>
          <cell r="B101">
            <v>600018</v>
          </cell>
          <cell r="D101" t="str">
            <v>PC Maintenance-Overhead Services</v>
          </cell>
          <cell r="E101">
            <v>0</v>
          </cell>
          <cell r="G101">
            <v>0</v>
          </cell>
          <cell r="I101">
            <v>0</v>
          </cell>
          <cell r="O101">
            <v>118999.96</v>
          </cell>
          <cell r="Q101">
            <v>30000</v>
          </cell>
          <cell r="S101">
            <v>148999.96</v>
          </cell>
          <cell r="U101">
            <v>-148999.96</v>
          </cell>
          <cell r="W101">
            <v>148999.96</v>
          </cell>
        </row>
        <row r="102">
          <cell r="A102">
            <v>600019</v>
          </cell>
          <cell r="B102">
            <v>600019</v>
          </cell>
          <cell r="D102" t="str">
            <v>PC Maintenance-Rights of Way</v>
          </cell>
          <cell r="E102">
            <v>0</v>
          </cell>
          <cell r="G102">
            <v>0</v>
          </cell>
          <cell r="I102">
            <v>0</v>
          </cell>
          <cell r="O102">
            <v>10200</v>
          </cell>
          <cell r="Q102">
            <v>60000</v>
          </cell>
          <cell r="S102">
            <v>70200</v>
          </cell>
          <cell r="U102">
            <v>-70200</v>
          </cell>
          <cell r="W102">
            <v>70200</v>
          </cell>
        </row>
        <row r="103">
          <cell r="A103">
            <v>600020</v>
          </cell>
          <cell r="B103">
            <v>600020</v>
          </cell>
          <cell r="D103" t="str">
            <v>PC Maintenance-U/G Conductors &amp; Devices</v>
          </cell>
          <cell r="E103">
            <v>0</v>
          </cell>
          <cell r="G103">
            <v>0</v>
          </cell>
          <cell r="I103">
            <v>0</v>
          </cell>
          <cell r="O103">
            <v>20400</v>
          </cell>
          <cell r="Q103">
            <v>12000</v>
          </cell>
          <cell r="S103">
            <v>32400</v>
          </cell>
          <cell r="U103">
            <v>-32400</v>
          </cell>
          <cell r="W103">
            <v>32400</v>
          </cell>
        </row>
        <row r="104">
          <cell r="A104">
            <v>600021</v>
          </cell>
          <cell r="B104">
            <v>600021</v>
          </cell>
          <cell r="D104" t="str">
            <v>PC Maintenance-U/G Services</v>
          </cell>
          <cell r="E104">
            <v>0</v>
          </cell>
          <cell r="G104">
            <v>0</v>
          </cell>
          <cell r="I104">
            <v>0</v>
          </cell>
          <cell r="O104">
            <v>15300</v>
          </cell>
          <cell r="Q104">
            <v>8000</v>
          </cell>
          <cell r="S104">
            <v>23300</v>
          </cell>
          <cell r="U104">
            <v>-23300</v>
          </cell>
          <cell r="W104">
            <v>23300</v>
          </cell>
        </row>
        <row r="105">
          <cell r="A105">
            <v>600022</v>
          </cell>
          <cell r="B105">
            <v>600022</v>
          </cell>
          <cell r="D105" t="str">
            <v>PC Maintenance-Line Transformers</v>
          </cell>
          <cell r="E105">
            <v>0</v>
          </cell>
          <cell r="G105">
            <v>0</v>
          </cell>
          <cell r="I105">
            <v>0</v>
          </cell>
          <cell r="O105">
            <v>15300</v>
          </cell>
          <cell r="Q105">
            <v>6000</v>
          </cell>
          <cell r="S105">
            <v>21300</v>
          </cell>
          <cell r="U105">
            <v>-21300</v>
          </cell>
          <cell r="W105">
            <v>21300</v>
          </cell>
        </row>
        <row r="106">
          <cell r="A106">
            <v>600023</v>
          </cell>
          <cell r="B106">
            <v>600023</v>
          </cell>
          <cell r="D106" t="str">
            <v>PC Meter Maintenance</v>
          </cell>
          <cell r="E106">
            <v>0</v>
          </cell>
          <cell r="G106">
            <v>0</v>
          </cell>
          <cell r="I106">
            <v>0</v>
          </cell>
          <cell r="O106">
            <v>10200</v>
          </cell>
          <cell r="Q106">
            <v>7500</v>
          </cell>
          <cell r="S106">
            <v>17700</v>
          </cell>
          <cell r="U106">
            <v>-17700</v>
          </cell>
          <cell r="W106">
            <v>17700</v>
          </cell>
        </row>
        <row r="107">
          <cell r="A107">
            <v>600024</v>
          </cell>
          <cell r="B107">
            <v>600024</v>
          </cell>
          <cell r="D107" t="str">
            <v>PC Customer Premise Maintenance</v>
          </cell>
          <cell r="E107">
            <v>0</v>
          </cell>
          <cell r="G107">
            <v>0</v>
          </cell>
          <cell r="I107">
            <v>0</v>
          </cell>
          <cell r="O107">
            <v>3400.04</v>
          </cell>
          <cell r="Q107">
            <v>500</v>
          </cell>
          <cell r="S107">
            <v>3900.04</v>
          </cell>
          <cell r="U107">
            <v>-3900.04</v>
          </cell>
          <cell r="W107">
            <v>3900.04</v>
          </cell>
        </row>
        <row r="108">
          <cell r="A108">
            <v>600025</v>
          </cell>
          <cell r="B108">
            <v>600025</v>
          </cell>
          <cell r="D108" t="str">
            <v>PC OEB Reporting</v>
          </cell>
          <cell r="E108">
            <v>0</v>
          </cell>
          <cell r="G108">
            <v>0</v>
          </cell>
          <cell r="I108">
            <v>0</v>
          </cell>
          <cell r="O108">
            <v>0</v>
          </cell>
          <cell r="Q108">
            <v>0</v>
          </cell>
          <cell r="S108">
            <v>0</v>
          </cell>
          <cell r="U108">
            <v>0</v>
          </cell>
          <cell r="W108">
            <v>0</v>
          </cell>
        </row>
        <row r="109">
          <cell r="A109">
            <v>600026</v>
          </cell>
          <cell r="B109">
            <v>600026</v>
          </cell>
          <cell r="D109" t="str">
            <v>PC Maintenance-Sentinal Lights Lbr &amp; Exp</v>
          </cell>
          <cell r="E109">
            <v>0</v>
          </cell>
          <cell r="G109">
            <v>0</v>
          </cell>
          <cell r="I109">
            <v>0</v>
          </cell>
          <cell r="O109">
            <v>14450</v>
          </cell>
          <cell r="Q109">
            <v>8000</v>
          </cell>
          <cell r="S109">
            <v>22450</v>
          </cell>
          <cell r="U109">
            <v>-22450</v>
          </cell>
          <cell r="W109">
            <v>22450</v>
          </cell>
        </row>
        <row r="110">
          <cell r="A110">
            <v>600027</v>
          </cell>
          <cell r="B110">
            <v>600027</v>
          </cell>
          <cell r="D110" t="str">
            <v>PC Maintenance-PC Lights Lbr &amp; Exp</v>
          </cell>
          <cell r="E110">
            <v>0</v>
          </cell>
          <cell r="G110">
            <v>0</v>
          </cell>
          <cell r="I110">
            <v>0</v>
          </cell>
          <cell r="O110">
            <v>37400.04</v>
          </cell>
          <cell r="Q110">
            <v>10000</v>
          </cell>
          <cell r="S110">
            <v>47400.04</v>
          </cell>
          <cell r="U110">
            <v>-47400.04</v>
          </cell>
          <cell r="W110">
            <v>47400.04</v>
          </cell>
        </row>
        <row r="112">
          <cell r="A112" t="str">
            <v>Administration for Port Colborne Hydro</v>
          </cell>
        </row>
        <row r="113">
          <cell r="A113">
            <v>600028</v>
          </cell>
          <cell r="B113">
            <v>600028</v>
          </cell>
          <cell r="D113" t="str">
            <v>PC-Environ, H&amp;S Compliance Project</v>
          </cell>
          <cell r="E113">
            <v>0</v>
          </cell>
          <cell r="G113">
            <v>0</v>
          </cell>
          <cell r="I113">
            <v>0</v>
          </cell>
          <cell r="O113">
            <v>3025.04</v>
          </cell>
          <cell r="Q113">
            <v>0</v>
          </cell>
          <cell r="S113">
            <v>3025.04</v>
          </cell>
          <cell r="U113">
            <v>-3025.04</v>
          </cell>
          <cell r="W113">
            <v>3025.04</v>
          </cell>
        </row>
        <row r="115">
          <cell r="A115" t="str">
            <v>Customer Service for Port Colborne</v>
          </cell>
        </row>
        <row r="116">
          <cell r="A116">
            <v>300620</v>
          </cell>
          <cell r="B116">
            <v>300620</v>
          </cell>
          <cell r="D116" t="str">
            <v>PC-Port Colborne Billing by Fort Erie</v>
          </cell>
          <cell r="E116">
            <v>0</v>
          </cell>
          <cell r="G116">
            <v>0</v>
          </cell>
          <cell r="I116">
            <v>0</v>
          </cell>
          <cell r="O116">
            <v>228800</v>
          </cell>
          <cell r="Q116">
            <v>0</v>
          </cell>
          <cell r="S116">
            <v>228800</v>
          </cell>
          <cell r="U116">
            <v>-228800</v>
          </cell>
          <cell r="W116">
            <v>228800</v>
          </cell>
        </row>
        <row r="118">
          <cell r="D118" t="str">
            <v>Total Capital Expenditures in CNP Inc.</v>
          </cell>
          <cell r="E118">
            <v>0</v>
          </cell>
          <cell r="G118">
            <v>0</v>
          </cell>
          <cell r="I118">
            <v>0</v>
          </cell>
          <cell r="O118">
            <v>2639620.6</v>
          </cell>
          <cell r="Q118">
            <v>1637050</v>
          </cell>
          <cell r="S118">
            <v>4276670.5999999996</v>
          </cell>
          <cell r="U118">
            <v>-4276670.5999999996</v>
          </cell>
          <cell r="W118">
            <v>4276670.5999999996</v>
          </cell>
        </row>
        <row r="119">
          <cell r="A119" t="str">
            <v>Run Date:</v>
          </cell>
          <cell r="C119" t="str">
            <v>2001.10.19</v>
          </cell>
          <cell r="L119" t="str">
            <v>Canadian Niagara Power Limited</v>
          </cell>
        </row>
        <row r="120">
          <cell r="K120" t="str">
            <v>Summary of Capital Expenditures</v>
          </cell>
        </row>
        <row r="121">
          <cell r="L121" t="str">
            <v>Actual vs Plan - Year to Date</v>
          </cell>
        </row>
        <row r="122">
          <cell r="J122" t="str">
            <v>For period month end: December 2002</v>
          </cell>
        </row>
        <row r="124">
          <cell r="G124" t="str">
            <v>Actual Capital Expenditures</v>
          </cell>
          <cell r="Q124" t="str">
            <v>Planned Capital Expenditures</v>
          </cell>
        </row>
        <row r="125">
          <cell r="B125" t="str">
            <v>Order</v>
          </cell>
          <cell r="D125" t="str">
            <v>Order Description</v>
          </cell>
          <cell r="F125" t="str">
            <v>Labour</v>
          </cell>
          <cell r="H125" t="str">
            <v>Materials</v>
          </cell>
          <cell r="N125" t="str">
            <v>Total Cost</v>
          </cell>
          <cell r="P125" t="str">
            <v>Labour</v>
          </cell>
          <cell r="R125" t="str">
            <v>Materials</v>
          </cell>
          <cell r="T125" t="str">
            <v>Total Cost</v>
          </cell>
          <cell r="V125" t="str">
            <v>YTD Variance</v>
          </cell>
          <cell r="X125" t="str">
            <v>Year</v>
          </cell>
          <cell r="Y125">
            <v>2002</v>
          </cell>
        </row>
        <row r="128">
          <cell r="A128" t="str">
            <v>Energy Marketing</v>
          </cell>
        </row>
        <row r="129">
          <cell r="A129">
            <v>300587</v>
          </cell>
          <cell r="B129">
            <v>300587</v>
          </cell>
          <cell r="D129" t="str">
            <v>Scheduling</v>
          </cell>
          <cell r="E129">
            <v>0</v>
          </cell>
          <cell r="G129">
            <v>0</v>
          </cell>
          <cell r="I129">
            <v>0</v>
          </cell>
          <cell r="O129">
            <v>0</v>
          </cell>
          <cell r="Q129">
            <v>60000</v>
          </cell>
          <cell r="S129">
            <v>60000</v>
          </cell>
          <cell r="U129">
            <v>-60000</v>
          </cell>
          <cell r="W129">
            <v>60000</v>
          </cell>
        </row>
        <row r="131">
          <cell r="A131" t="str">
            <v>Rankine Maintenance</v>
          </cell>
        </row>
        <row r="132">
          <cell r="A132">
            <v>300061</v>
          </cell>
          <cell r="B132">
            <v>300061</v>
          </cell>
          <cell r="D132" t="str">
            <v>Building &amp; Property Maintenance Rankine</v>
          </cell>
          <cell r="E132">
            <v>0</v>
          </cell>
          <cell r="G132">
            <v>0</v>
          </cell>
          <cell r="I132">
            <v>0</v>
          </cell>
          <cell r="O132">
            <v>154720</v>
          </cell>
          <cell r="Q132">
            <v>60100</v>
          </cell>
          <cell r="S132">
            <v>214820</v>
          </cell>
          <cell r="U132">
            <v>-214820</v>
          </cell>
          <cell r="W132">
            <v>214820</v>
          </cell>
        </row>
        <row r="134">
          <cell r="A134" t="str">
            <v>Third Party Orders</v>
          </cell>
        </row>
        <row r="135">
          <cell r="A135">
            <v>300060</v>
          </cell>
          <cell r="B135">
            <v>300060</v>
          </cell>
          <cell r="D135" t="str">
            <v>Generator Unit Maintenance</v>
          </cell>
          <cell r="E135">
            <v>0</v>
          </cell>
          <cell r="G135">
            <v>0</v>
          </cell>
          <cell r="I135">
            <v>0</v>
          </cell>
          <cell r="O135">
            <v>786799.96</v>
          </cell>
          <cell r="Q135">
            <v>130000</v>
          </cell>
          <cell r="S135">
            <v>916799.96</v>
          </cell>
          <cell r="U135">
            <v>-916799.96</v>
          </cell>
          <cell r="W135">
            <v>916799.96</v>
          </cell>
        </row>
        <row r="137">
          <cell r="A137" t="str">
            <v>CORPORATE DEVELOPMENT</v>
          </cell>
        </row>
        <row r="138">
          <cell r="A138">
            <v>300583</v>
          </cell>
          <cell r="B138">
            <v>300583</v>
          </cell>
          <cell r="D138" t="str">
            <v>Rankine Tours</v>
          </cell>
          <cell r="E138">
            <v>0</v>
          </cell>
          <cell r="G138">
            <v>0</v>
          </cell>
          <cell r="I138">
            <v>0</v>
          </cell>
          <cell r="O138">
            <v>2200.04</v>
          </cell>
          <cell r="Q138">
            <v>0</v>
          </cell>
          <cell r="S138">
            <v>2200.04</v>
          </cell>
          <cell r="U138">
            <v>-2200.04</v>
          </cell>
          <cell r="W138">
            <v>2200.04</v>
          </cell>
        </row>
        <row r="140">
          <cell r="A140" t="str">
            <v>External Service Orders</v>
          </cell>
        </row>
        <row r="141">
          <cell r="A141">
            <v>300682</v>
          </cell>
          <cell r="B141">
            <v>300682</v>
          </cell>
          <cell r="D141" t="str">
            <v>Maintenance of Sentinal Lights</v>
          </cell>
          <cell r="E141">
            <v>0</v>
          </cell>
          <cell r="G141">
            <v>0</v>
          </cell>
          <cell r="I141">
            <v>0</v>
          </cell>
          <cell r="O141">
            <v>27200.04</v>
          </cell>
          <cell r="Q141">
            <v>12000</v>
          </cell>
          <cell r="S141">
            <v>39200.04</v>
          </cell>
          <cell r="U141">
            <v>-39200.04</v>
          </cell>
          <cell r="W141">
            <v>39200.04</v>
          </cell>
        </row>
        <row r="142">
          <cell r="A142">
            <v>300683</v>
          </cell>
          <cell r="B142">
            <v>300683</v>
          </cell>
          <cell r="D142" t="str">
            <v>Maintenance of Fort Erie Streetlights</v>
          </cell>
          <cell r="E142">
            <v>0</v>
          </cell>
          <cell r="G142">
            <v>0</v>
          </cell>
          <cell r="I142">
            <v>0</v>
          </cell>
          <cell r="O142">
            <v>55249.96</v>
          </cell>
          <cell r="Q142">
            <v>20000</v>
          </cell>
          <cell r="S142">
            <v>75249.960000000006</v>
          </cell>
          <cell r="U142">
            <v>-75249.960000000006</v>
          </cell>
          <cell r="W142">
            <v>75249.960000000006</v>
          </cell>
        </row>
        <row r="144">
          <cell r="D144" t="str">
            <v>Total Capital Expenditures in CNP LTD</v>
          </cell>
          <cell r="E144">
            <v>0</v>
          </cell>
          <cell r="G144">
            <v>0</v>
          </cell>
          <cell r="I144">
            <v>0</v>
          </cell>
          <cell r="O144">
            <v>1026170</v>
          </cell>
          <cell r="Q144">
            <v>282100</v>
          </cell>
          <cell r="S144">
            <v>1308270</v>
          </cell>
          <cell r="U144">
            <v>-1308270</v>
          </cell>
          <cell r="W144">
            <v>1308270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FO Highlights (cons.)"/>
      <sheetName val="FO P&amp;L (consolidated)"/>
      <sheetName val="FO SCF (consolidated)"/>
      <sheetName val="FO BS (consolidated)"/>
      <sheetName val="FO - P&amp;L(non-consolidated)"/>
      <sheetName val="FO SCFP (non-consolidated)"/>
      <sheetName val="CNP Inc. - P&amp;L"/>
      <sheetName val="CNP Inc. - SCFP"/>
      <sheetName val="CNP Inc. - BS"/>
      <sheetName val="CE - P&amp;L"/>
      <sheetName val="CE - SCFP"/>
      <sheetName val="CE - BS"/>
      <sheetName val="Appendices"/>
      <sheetName val="Energy Sold  -  MWh"/>
      <sheetName val="Energy Sold - $"/>
      <sheetName val="Rev.Grouping by Cust.Class"/>
      <sheetName val="Quality Service Report-FE"/>
      <sheetName val="Module1"/>
      <sheetName val="Quality Service Report-PC"/>
      <sheetName val="Budget 2003 - Cornwall Electric"/>
      <sheetName val="Budget 2003 - CNP INC."/>
      <sheetName val="Budget 2003 - CNP LTD."/>
      <sheetName val="Budget 2003 - CNP CONSOLIDATED"/>
      <sheetName val="CNE Inc Cover Page"/>
      <sheetName val="CE - SCF"/>
      <sheetName val="DATA"/>
      <sheetName val="CNP Inc. T&amp;D - BS"/>
      <sheetName val="Current T&amp;D Asset Summary"/>
      <sheetName val="FOG - P&amp;L"/>
      <sheetName val="CNE - P&amp;L"/>
      <sheetName val="Grouping Schedules"/>
      <sheetName val="Consolidation Eliminations"/>
      <sheetName val="June 2003 Worksheets"/>
      <sheetName val="FOG - BS"/>
      <sheetName val="FO - BS (non-consolidated)"/>
      <sheetName val="CNE Inc 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ghlights"/>
      <sheetName val="BS (non-cons.)"/>
      <sheetName val="P&amp;L (non-cons.)"/>
      <sheetName val="Ret.Earnings "/>
      <sheetName val="SCFP (non-cons.)"/>
      <sheetName val="BS - Cowley Ridge"/>
      <sheetName val="P&amp;L - Cowley Ridge"/>
      <sheetName val="BS (cons.)"/>
      <sheetName val="Energy Sold - MWh"/>
      <sheetName val="Energy Sold - $"/>
      <sheetName val="Comparative P&amp;L (non-cons.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8">
          <cell r="E8" t="str">
            <v xml:space="preserve"> </v>
          </cell>
          <cell r="J8" t="str">
            <v xml:space="preserve"> </v>
          </cell>
        </row>
        <row r="9">
          <cell r="D9" t="str">
            <v>CURRENT QUARTER</v>
          </cell>
          <cell r="I9" t="str">
            <v>ANNUAL</v>
          </cell>
        </row>
        <row r="11">
          <cell r="D11" t="str">
            <v>Actual</v>
          </cell>
          <cell r="E11" t="str">
            <v>Plan</v>
          </cell>
          <cell r="F11" t="str">
            <v>Actual</v>
          </cell>
          <cell r="I11" t="str">
            <v>Actual</v>
          </cell>
          <cell r="J11" t="str">
            <v>Plan</v>
          </cell>
          <cell r="K11" t="str">
            <v>Actual</v>
          </cell>
        </row>
        <row r="12">
          <cell r="D12">
            <v>1997</v>
          </cell>
          <cell r="E12">
            <v>1997</v>
          </cell>
          <cell r="F12">
            <v>1996</v>
          </cell>
          <cell r="I12">
            <v>1997</v>
          </cell>
          <cell r="J12">
            <v>1997</v>
          </cell>
          <cell r="K12">
            <v>1996</v>
          </cell>
        </row>
        <row r="14">
          <cell r="B14" t="str">
            <v>Revenue</v>
          </cell>
          <cell r="D14">
            <v>9007</v>
          </cell>
          <cell r="E14">
            <v>7894</v>
          </cell>
          <cell r="F14">
            <v>7973</v>
          </cell>
          <cell r="I14">
            <v>32966</v>
          </cell>
          <cell r="J14">
            <v>30946</v>
          </cell>
          <cell r="K14">
            <v>31160</v>
          </cell>
        </row>
        <row r="16">
          <cell r="B16" t="str">
            <v>Operating Expenses</v>
          </cell>
        </row>
        <row r="17">
          <cell r="B17" t="str">
            <v xml:space="preserve">   Production</v>
          </cell>
          <cell r="D17">
            <v>1294</v>
          </cell>
          <cell r="E17">
            <v>983</v>
          </cell>
          <cell r="F17">
            <v>967</v>
          </cell>
          <cell r="I17">
            <v>4490</v>
          </cell>
          <cell r="J17">
            <v>4203</v>
          </cell>
          <cell r="K17">
            <v>3782</v>
          </cell>
        </row>
        <row r="18">
          <cell r="B18" t="str">
            <v xml:space="preserve">   Wheeling</v>
          </cell>
          <cell r="D18">
            <v>411</v>
          </cell>
          <cell r="E18">
            <v>397</v>
          </cell>
          <cell r="F18">
            <v>385</v>
          </cell>
          <cell r="I18">
            <v>1591</v>
          </cell>
          <cell r="J18">
            <v>1570</v>
          </cell>
          <cell r="K18">
            <v>1557</v>
          </cell>
        </row>
        <row r="19">
          <cell r="B19" t="str">
            <v xml:space="preserve">   Transmission and distribution</v>
          </cell>
          <cell r="D19">
            <v>621</v>
          </cell>
          <cell r="E19">
            <v>578</v>
          </cell>
          <cell r="F19">
            <v>530.63000000000011</v>
          </cell>
          <cell r="I19">
            <v>2342</v>
          </cell>
          <cell r="J19">
            <v>2532</v>
          </cell>
          <cell r="K19">
            <v>2191.63</v>
          </cell>
        </row>
        <row r="20">
          <cell r="B20" t="str">
            <v xml:space="preserve">   General</v>
          </cell>
          <cell r="D20">
            <v>1232</v>
          </cell>
          <cell r="E20">
            <v>729</v>
          </cell>
          <cell r="F20">
            <v>838</v>
          </cell>
          <cell r="I20">
            <v>3015</v>
          </cell>
          <cell r="J20">
            <v>2833</v>
          </cell>
          <cell r="K20">
            <v>3234</v>
          </cell>
        </row>
        <row r="21">
          <cell r="B21" t="str">
            <v xml:space="preserve">   Taxes other than income tax</v>
          </cell>
          <cell r="D21">
            <v>733</v>
          </cell>
          <cell r="E21">
            <v>652</v>
          </cell>
          <cell r="F21">
            <v>757</v>
          </cell>
          <cell r="I21">
            <v>2696</v>
          </cell>
          <cell r="J21">
            <v>2610</v>
          </cell>
          <cell r="K21">
            <v>2872</v>
          </cell>
        </row>
        <row r="22">
          <cell r="D22">
            <v>4291</v>
          </cell>
          <cell r="E22">
            <v>3339</v>
          </cell>
          <cell r="F22">
            <v>3477.63</v>
          </cell>
          <cell r="I22">
            <v>14134</v>
          </cell>
          <cell r="J22">
            <v>13748</v>
          </cell>
          <cell r="K22">
            <v>13636.630000000001</v>
          </cell>
        </row>
        <row r="24">
          <cell r="B24" t="str">
            <v xml:space="preserve">   Depreciation</v>
          </cell>
          <cell r="D24">
            <v>232</v>
          </cell>
          <cell r="E24">
            <v>239</v>
          </cell>
          <cell r="F24">
            <v>235</v>
          </cell>
          <cell r="I24">
            <v>928</v>
          </cell>
          <cell r="J24">
            <v>954</v>
          </cell>
          <cell r="K24">
            <v>913</v>
          </cell>
        </row>
        <row r="26">
          <cell r="B26" t="str">
            <v>Operating Income</v>
          </cell>
          <cell r="D26">
            <v>4484</v>
          </cell>
          <cell r="E26">
            <v>4316</v>
          </cell>
          <cell r="F26">
            <v>4260.37</v>
          </cell>
          <cell r="I26">
            <v>17904</v>
          </cell>
          <cell r="J26">
            <v>16244</v>
          </cell>
          <cell r="K26">
            <v>16610.37</v>
          </cell>
        </row>
        <row r="28">
          <cell r="B28" t="str">
            <v xml:space="preserve">   Other income and deductions</v>
          </cell>
          <cell r="D28">
            <v>-515</v>
          </cell>
          <cell r="E28">
            <v>-13</v>
          </cell>
          <cell r="F28">
            <v>229</v>
          </cell>
          <cell r="I28">
            <v>-786</v>
          </cell>
          <cell r="J28">
            <v>-53</v>
          </cell>
          <cell r="K28">
            <v>-994</v>
          </cell>
        </row>
        <row r="29">
          <cell r="B29" t="str">
            <v xml:space="preserve">   Interest expense</v>
          </cell>
          <cell r="D29">
            <v>594</v>
          </cell>
          <cell r="E29">
            <v>577</v>
          </cell>
          <cell r="F29">
            <v>493</v>
          </cell>
          <cell r="I29">
            <v>2349</v>
          </cell>
          <cell r="J29">
            <v>2307</v>
          </cell>
          <cell r="K29">
            <v>493</v>
          </cell>
        </row>
        <row r="31">
          <cell r="B31" t="str">
            <v>Earnings before Income Taxes</v>
          </cell>
          <cell r="D31">
            <v>4405</v>
          </cell>
          <cell r="E31">
            <v>3752</v>
          </cell>
          <cell r="F31">
            <v>3538.37</v>
          </cell>
          <cell r="I31">
            <v>16341</v>
          </cell>
          <cell r="J31">
            <v>13990</v>
          </cell>
          <cell r="K31">
            <v>17111.37</v>
          </cell>
        </row>
        <row r="33">
          <cell r="B33" t="str">
            <v>Provision for Income Taxes</v>
          </cell>
        </row>
        <row r="34">
          <cell r="B34" t="str">
            <v xml:space="preserve">   Current</v>
          </cell>
          <cell r="D34">
            <v>1680.58</v>
          </cell>
          <cell r="E34">
            <v>1673</v>
          </cell>
          <cell r="F34">
            <v>593</v>
          </cell>
          <cell r="I34">
            <v>6832.58</v>
          </cell>
          <cell r="J34">
            <v>6240</v>
          </cell>
          <cell r="K34">
            <v>6542</v>
          </cell>
        </row>
        <row r="35">
          <cell r="B35" t="str">
            <v xml:space="preserve">   Deferred</v>
          </cell>
          <cell r="D35">
            <v>98</v>
          </cell>
          <cell r="E35">
            <v>0</v>
          </cell>
          <cell r="F35">
            <v>1176</v>
          </cell>
          <cell r="I35">
            <v>300</v>
          </cell>
          <cell r="J35">
            <v>0</v>
          </cell>
          <cell r="K35">
            <v>1176</v>
          </cell>
        </row>
        <row r="36">
          <cell r="B36" t="str">
            <v xml:space="preserve"> </v>
          </cell>
          <cell r="D36">
            <v>1778.58</v>
          </cell>
          <cell r="E36">
            <v>1673</v>
          </cell>
          <cell r="F36">
            <v>1769</v>
          </cell>
          <cell r="I36">
            <v>7132.58</v>
          </cell>
          <cell r="J36">
            <v>6240</v>
          </cell>
          <cell r="K36">
            <v>7718</v>
          </cell>
        </row>
        <row r="38">
          <cell r="B38" t="str">
            <v>Net Income</v>
          </cell>
          <cell r="D38">
            <v>2626.42</v>
          </cell>
          <cell r="E38">
            <v>2079</v>
          </cell>
          <cell r="F38">
            <v>1769.37</v>
          </cell>
          <cell r="I38">
            <v>9208.42</v>
          </cell>
          <cell r="J38">
            <v>7750</v>
          </cell>
          <cell r="K38">
            <v>9393.369999999999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nwall Electric"/>
      <sheetName val="Cover Page"/>
      <sheetName val="Highlights (cons.)"/>
      <sheetName val="CNP Ltd. P&amp;L (consolidated)"/>
      <sheetName val="CNP Ltd. SCF (consolidated)"/>
      <sheetName val="CNP Ltd. BS (consolidated)"/>
      <sheetName val="CNP Ltd - P&amp;L(non-consolidated)"/>
      <sheetName val="CNP Ltd SCFP (non-consolidated)"/>
      <sheetName val="CNP Ltd - BS (non-consolidated)"/>
      <sheetName val="CNP Inc. - P&amp;L"/>
      <sheetName val="CNP Inc. - SCFP"/>
      <sheetName val="Appendices"/>
      <sheetName val="Energy Sold  -  MWh"/>
      <sheetName val="Energy Sold - $"/>
      <sheetName val="Quality Service Report"/>
      <sheetName val="Energy Sold-MWh (old by class)"/>
      <sheetName val="Module1"/>
      <sheetName val="Energy Sold  -  MWh - by class"/>
      <sheetName val="Energy Sold - $ (old by class)"/>
      <sheetName val="Energy Sold - $ - by class"/>
      <sheetName val="CNP P&amp;L(consolidated)-Variance"/>
      <sheetName val="Energy Sold - Grouping"/>
      <sheetName val="Budget 2002 - CNP LTD."/>
      <sheetName val="Budget 2002 - CNP INC."/>
      <sheetName val="Current T&amp;D Asset Summary"/>
      <sheetName val="Energy Sold - $Variance"/>
      <sheetName val="CNP Ltd. P&amp;L (cons) PWC Groups"/>
      <sheetName val="Budget 2002 - CNP CONSOLIDATED"/>
      <sheetName val="Rev.Grouping by Rev.Type"/>
      <sheetName val="DATA"/>
      <sheetName val="CNE Inc Cover Page"/>
      <sheetName val="CNE Inc Balance Sheet"/>
      <sheetName val="Rev.Grouping by Cust.Class"/>
      <sheetName val="Consolidation Eliminations"/>
      <sheetName val="Accounts Receivable &amp; Payable"/>
      <sheetName val="October 2002 Worksheets"/>
      <sheetName val="CNP Inc. T&amp;D - BS"/>
      <sheetName val="CNP Inc. - BS"/>
    </sheetNames>
    <sheetDataSet>
      <sheetData sheetId="0" refreshError="1"/>
      <sheetData sheetId="1" refreshError="1"/>
      <sheetData sheetId="2" refreshError="1"/>
      <sheetData sheetId="3" refreshError="1">
        <row r="9">
          <cell r="E9" t="str">
            <v xml:space="preserve"> </v>
          </cell>
          <cell r="K9" t="str">
            <v xml:space="preserve"> </v>
          </cell>
        </row>
        <row r="10">
          <cell r="D10" t="str">
            <v>CURRENT MONTH</v>
          </cell>
          <cell r="I10" t="str">
            <v>YEAR TO DATE</v>
          </cell>
        </row>
        <row r="12">
          <cell r="D12" t="str">
            <v>Actual</v>
          </cell>
          <cell r="E12" t="str">
            <v>Plan</v>
          </cell>
          <cell r="F12" t="str">
            <v>Actual</v>
          </cell>
          <cell r="I12" t="str">
            <v>Actual</v>
          </cell>
          <cell r="J12" t="str">
            <v>Fortis %</v>
          </cell>
          <cell r="K12" t="str">
            <v>Plan</v>
          </cell>
          <cell r="L12" t="str">
            <v>Actual</v>
          </cell>
        </row>
        <row r="13">
          <cell r="D13">
            <v>2002</v>
          </cell>
          <cell r="E13">
            <v>2002</v>
          </cell>
          <cell r="F13">
            <v>2001</v>
          </cell>
          <cell r="I13">
            <v>2002</v>
          </cell>
          <cell r="J13">
            <v>2002</v>
          </cell>
          <cell r="K13">
            <v>2002</v>
          </cell>
          <cell r="L13">
            <v>2001</v>
          </cell>
        </row>
        <row r="15">
          <cell r="B15" t="str">
            <v>Revenue</v>
          </cell>
          <cell r="D15">
            <v>6451.0916979999975</v>
          </cell>
          <cell r="E15">
            <v>5171</v>
          </cell>
          <cell r="F15">
            <v>3052.4592100000045</v>
          </cell>
          <cell r="I15">
            <v>58532.651817745507</v>
          </cell>
          <cell r="J15">
            <v>47330.473445704658</v>
          </cell>
          <cell r="K15">
            <v>53588</v>
          </cell>
          <cell r="L15">
            <v>33546.141160000006</v>
          </cell>
        </row>
        <row r="17">
          <cell r="B17" t="str">
            <v>Operating expenses</v>
          </cell>
        </row>
        <row r="18">
          <cell r="B18" t="str">
            <v xml:space="preserve">   Purchased power</v>
          </cell>
          <cell r="D18">
            <v>2112.4324800000031</v>
          </cell>
          <cell r="E18">
            <v>1970</v>
          </cell>
          <cell r="F18">
            <v>0</v>
          </cell>
          <cell r="I18">
            <v>20583.719510000003</v>
          </cell>
          <cell r="J18">
            <v>18516.631110000002</v>
          </cell>
          <cell r="K18">
            <v>19217</v>
          </cell>
          <cell r="L18">
            <v>0</v>
          </cell>
        </row>
        <row r="19">
          <cell r="B19" t="str">
            <v xml:space="preserve">   Production</v>
          </cell>
          <cell r="D19">
            <v>127.77606000000014</v>
          </cell>
          <cell r="E19">
            <v>149</v>
          </cell>
          <cell r="F19">
            <v>143.85367999999971</v>
          </cell>
          <cell r="I19">
            <v>1231.0879100000002</v>
          </cell>
          <cell r="J19">
            <v>849.03355500000021</v>
          </cell>
          <cell r="K19">
            <v>1490</v>
          </cell>
          <cell r="L19">
            <v>1574.3718999999999</v>
          </cell>
        </row>
        <row r="20">
          <cell r="B20" t="str">
            <v xml:space="preserve">   Water rights</v>
          </cell>
          <cell r="D20">
            <v>389.48782999999958</v>
          </cell>
          <cell r="E20">
            <v>280</v>
          </cell>
          <cell r="F20">
            <v>315.48693000000003</v>
          </cell>
          <cell r="I20">
            <v>3281.5432799999999</v>
          </cell>
          <cell r="J20">
            <v>2616.2535149999999</v>
          </cell>
          <cell r="K20">
            <v>3228</v>
          </cell>
          <cell r="L20">
            <v>3649.1342</v>
          </cell>
        </row>
        <row r="21">
          <cell r="B21" t="str">
            <v xml:space="preserve">   Wheeling</v>
          </cell>
          <cell r="D21">
            <v>0</v>
          </cell>
          <cell r="E21">
            <v>0</v>
          </cell>
          <cell r="F21">
            <v>128.71652000000017</v>
          </cell>
          <cell r="I21">
            <v>532.43453</v>
          </cell>
          <cell r="J21">
            <v>266.217265</v>
          </cell>
          <cell r="K21">
            <v>517</v>
          </cell>
          <cell r="L21">
            <v>1337.8700200000001</v>
          </cell>
        </row>
        <row r="22">
          <cell r="B22" t="str">
            <v xml:space="preserve">   Transmission </v>
          </cell>
          <cell r="D22">
            <v>28.839680000000016</v>
          </cell>
          <cell r="E22">
            <v>26</v>
          </cell>
          <cell r="F22">
            <v>11.649529999999999</v>
          </cell>
          <cell r="I22">
            <v>214.21321000000003</v>
          </cell>
          <cell r="J22">
            <v>152.67755500000004</v>
          </cell>
          <cell r="K22">
            <v>260</v>
          </cell>
          <cell r="L22">
            <v>86.087860000000006</v>
          </cell>
        </row>
        <row r="23">
          <cell r="B23" t="str">
            <v xml:space="preserve">   Distribution</v>
          </cell>
          <cell r="D23">
            <v>227.78003999999987</v>
          </cell>
          <cell r="E23">
            <v>192</v>
          </cell>
          <cell r="F23">
            <v>189.29049999999995</v>
          </cell>
          <cell r="I23">
            <v>1969.9766199999997</v>
          </cell>
          <cell r="J23">
            <v>1420.3843899999997</v>
          </cell>
          <cell r="K23">
            <v>1910</v>
          </cell>
          <cell r="L23">
            <v>1190.2525900000001</v>
          </cell>
        </row>
        <row r="24">
          <cell r="B24" t="str">
            <v xml:space="preserve">   General</v>
          </cell>
          <cell r="D24">
            <v>913.50157999999919</v>
          </cell>
          <cell r="E24">
            <v>523</v>
          </cell>
          <cell r="F24">
            <v>367.46782000000076</v>
          </cell>
          <cell r="I24">
            <v>6915.329279999999</v>
          </cell>
          <cell r="J24">
            <v>5200.3196449999996</v>
          </cell>
          <cell r="K24">
            <v>5415</v>
          </cell>
          <cell r="L24">
            <v>4500.8558800000001</v>
          </cell>
        </row>
        <row r="25">
          <cell r="B25" t="str">
            <v xml:space="preserve">   Municipal and other taxes</v>
          </cell>
          <cell r="D25">
            <v>49.23475000000002</v>
          </cell>
          <cell r="E25">
            <v>48</v>
          </cell>
          <cell r="F25">
            <v>90.626970000000142</v>
          </cell>
          <cell r="I25">
            <v>194.57755</v>
          </cell>
          <cell r="J25">
            <v>207.09877499999999</v>
          </cell>
          <cell r="K25">
            <v>494</v>
          </cell>
          <cell r="L25">
            <v>898.3042200000001</v>
          </cell>
        </row>
        <row r="26">
          <cell r="D26">
            <v>3849.0524200000023</v>
          </cell>
          <cell r="E26">
            <v>3188</v>
          </cell>
          <cell r="F26">
            <v>1247.0919500000009</v>
          </cell>
          <cell r="I26">
            <v>34922.881890000004</v>
          </cell>
          <cell r="J26">
            <v>29228.615809999999</v>
          </cell>
          <cell r="K26">
            <v>32531</v>
          </cell>
          <cell r="L26">
            <v>13236.87667</v>
          </cell>
        </row>
        <row r="28">
          <cell r="B28" t="str">
            <v xml:space="preserve">   Amortization</v>
          </cell>
          <cell r="D28">
            <v>262.28882999999996</v>
          </cell>
          <cell r="E28">
            <v>254</v>
          </cell>
          <cell r="F28">
            <v>249.61130000000003</v>
          </cell>
          <cell r="I28">
            <v>2883.9631199999999</v>
          </cell>
          <cell r="J28">
            <v>2109.5684550000001</v>
          </cell>
          <cell r="K28">
            <v>2524</v>
          </cell>
          <cell r="L28">
            <v>2394.7974599999998</v>
          </cell>
        </row>
        <row r="30">
          <cell r="B30" t="str">
            <v>Operating income</v>
          </cell>
          <cell r="D30">
            <v>2339.7504479999952</v>
          </cell>
          <cell r="E30">
            <v>1729</v>
          </cell>
          <cell r="F30">
            <v>1555.7559600000036</v>
          </cell>
          <cell r="I30">
            <v>20725.806807745503</v>
          </cell>
          <cell r="J30">
            <v>15992.289180704658</v>
          </cell>
          <cell r="K30">
            <v>18533</v>
          </cell>
          <cell r="L30">
            <v>17914.467030000007</v>
          </cell>
        </row>
        <row r="32">
          <cell r="B32" t="str">
            <v>Other income</v>
          </cell>
          <cell r="D32" t="str">
            <v xml:space="preserve"> </v>
          </cell>
          <cell r="E32" t="str">
            <v xml:space="preserve"> </v>
          </cell>
          <cell r="F32" t="str">
            <v xml:space="preserve"> </v>
          </cell>
          <cell r="I32" t="str">
            <v xml:space="preserve"> </v>
          </cell>
          <cell r="J32" t="str">
            <v xml:space="preserve"> </v>
          </cell>
          <cell r="L32" t="str">
            <v xml:space="preserve">  </v>
          </cell>
        </row>
        <row r="33">
          <cell r="B33" t="str">
            <v xml:space="preserve">   Interest on investments</v>
          </cell>
          <cell r="D33">
            <v>1.3830699999999965</v>
          </cell>
          <cell r="E33">
            <v>0</v>
          </cell>
          <cell r="F33">
            <v>8.8774600000000419</v>
          </cell>
          <cell r="I33">
            <v>51.799699999999937</v>
          </cell>
          <cell r="J33">
            <v>53.247669999999907</v>
          </cell>
          <cell r="K33">
            <v>0</v>
          </cell>
          <cell r="L33">
            <v>613.90551000000005</v>
          </cell>
        </row>
        <row r="34">
          <cell r="B34" t="str">
            <v xml:space="preserve">   Subsidiaries</v>
          </cell>
          <cell r="D34">
            <v>0</v>
          </cell>
          <cell r="E34">
            <v>0</v>
          </cell>
          <cell r="F34">
            <v>0</v>
          </cell>
          <cell r="I34">
            <v>0</v>
          </cell>
          <cell r="J34">
            <v>0</v>
          </cell>
          <cell r="K34">
            <v>0</v>
          </cell>
          <cell r="L34">
            <v>-0.216</v>
          </cell>
        </row>
        <row r="35">
          <cell r="B35" t="str">
            <v xml:space="preserve">   Gain (loss) on disposals</v>
          </cell>
          <cell r="D35">
            <v>0</v>
          </cell>
          <cell r="E35">
            <v>0</v>
          </cell>
          <cell r="F35">
            <v>-82.866919999999993</v>
          </cell>
          <cell r="I35">
            <v>0.16815000000000008</v>
          </cell>
          <cell r="J35">
            <v>-0.36889999999999978</v>
          </cell>
          <cell r="K35">
            <v>0</v>
          </cell>
          <cell r="L35">
            <v>-120.14689999999999</v>
          </cell>
        </row>
        <row r="36">
          <cell r="B36" t="str">
            <v xml:space="preserve">   Gain on sale of land</v>
          </cell>
          <cell r="D36">
            <v>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  <cell r="K36">
            <v>0</v>
          </cell>
          <cell r="L36">
            <v>-2.78199</v>
          </cell>
        </row>
        <row r="37">
          <cell r="B37" t="str">
            <v xml:space="preserve">   Gain (loss) on foreign exchange</v>
          </cell>
          <cell r="D37">
            <v>5.8119099999999975</v>
          </cell>
          <cell r="E37">
            <v>0</v>
          </cell>
          <cell r="F37">
            <v>3.8934500000000014</v>
          </cell>
          <cell r="I37">
            <v>-52.66854</v>
          </cell>
          <cell r="J37">
            <v>-28.828370000000007</v>
          </cell>
          <cell r="K37">
            <v>0</v>
          </cell>
          <cell r="L37">
            <v>76.383420000000001</v>
          </cell>
        </row>
        <row r="38">
          <cell r="D38">
            <v>7.1949799999999939</v>
          </cell>
          <cell r="E38">
            <v>0</v>
          </cell>
          <cell r="F38">
            <v>-70.09600999999995</v>
          </cell>
          <cell r="I38">
            <v>-0.70069000000006554</v>
          </cell>
          <cell r="J38">
            <v>24.050399999999904</v>
          </cell>
          <cell r="K38">
            <v>0</v>
          </cell>
          <cell r="L38">
            <v>567.14404000000013</v>
          </cell>
        </row>
        <row r="39">
          <cell r="B39" t="str">
            <v>Other income deductions</v>
          </cell>
        </row>
        <row r="40">
          <cell r="B40" t="str">
            <v xml:space="preserve">   Loan interest expense and leases</v>
          </cell>
          <cell r="D40">
            <v>300.3786199999995</v>
          </cell>
          <cell r="E40">
            <v>305.29166666666663</v>
          </cell>
          <cell r="F40">
            <v>281.8125500000001</v>
          </cell>
          <cell r="I40">
            <v>2514.79133</v>
          </cell>
          <cell r="J40">
            <v>1862.4164250000001</v>
          </cell>
          <cell r="K40">
            <v>3105</v>
          </cell>
          <cell r="L40">
            <v>2109.3178800000001</v>
          </cell>
        </row>
        <row r="41">
          <cell r="B41" t="str">
            <v xml:space="preserve">       used during construction</v>
          </cell>
          <cell r="D41">
            <v>0.11702999999999975</v>
          </cell>
          <cell r="E41">
            <v>2</v>
          </cell>
          <cell r="F41">
            <v>18.30147999999997</v>
          </cell>
          <cell r="I41">
            <v>24.859589999999997</v>
          </cell>
          <cell r="J41">
            <v>12.661824999999997</v>
          </cell>
          <cell r="K41">
            <v>20</v>
          </cell>
          <cell r="L41">
            <v>208.14435999999998</v>
          </cell>
        </row>
        <row r="42"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B43" t="str">
            <v xml:space="preserve">   Customers' and other interest</v>
          </cell>
          <cell r="D43" t="str">
            <v>n/a</v>
          </cell>
          <cell r="E43" t="str">
            <v>n/a</v>
          </cell>
          <cell r="F43" t="str">
            <v>n/a</v>
          </cell>
          <cell r="I43" t="str">
            <v>n/a</v>
          </cell>
          <cell r="J43" t="str">
            <v>n/a</v>
          </cell>
          <cell r="K43" t="str">
            <v>n/a</v>
          </cell>
          <cell r="L43" t="str">
            <v>n/a</v>
          </cell>
        </row>
        <row r="44">
          <cell r="D44">
            <v>300.2615899999995</v>
          </cell>
          <cell r="E44">
            <v>303.29166666666663</v>
          </cell>
          <cell r="F44">
            <v>263.51107000000013</v>
          </cell>
          <cell r="I44">
            <v>2489.93174</v>
          </cell>
          <cell r="J44">
            <v>1849.7546000000002</v>
          </cell>
          <cell r="K44">
            <v>3085</v>
          </cell>
          <cell r="L44">
            <v>1901.1735200000001</v>
          </cell>
        </row>
        <row r="47">
          <cell r="B47" t="str">
            <v>Earnings before income taxes</v>
          </cell>
          <cell r="D47">
            <v>2046.6838379999958</v>
          </cell>
          <cell r="E47">
            <v>1425.7083333333335</v>
          </cell>
          <cell r="F47">
            <v>1222.1488800000034</v>
          </cell>
          <cell r="I47">
            <v>18235.174377745501</v>
          </cell>
          <cell r="J47">
            <v>14166.584980704658</v>
          </cell>
          <cell r="K47">
            <v>15448</v>
          </cell>
          <cell r="L47">
            <v>16580.437550000006</v>
          </cell>
        </row>
        <row r="49">
          <cell r="B49" t="str">
            <v>Provision for income taxes</v>
          </cell>
        </row>
        <row r="50">
          <cell r="B50" t="str">
            <v xml:space="preserve">   Current</v>
          </cell>
          <cell r="D50">
            <v>698.00300000000061</v>
          </cell>
          <cell r="E50">
            <v>570.20000000000005</v>
          </cell>
          <cell r="F50">
            <v>552.28700000000026</v>
          </cell>
          <cell r="I50">
            <v>7597.4520000000002</v>
          </cell>
          <cell r="J50">
            <v>5899.4514999999992</v>
          </cell>
          <cell r="K50">
            <v>6168.2628532297877</v>
          </cell>
          <cell r="L50">
            <v>7068.2807700000003</v>
          </cell>
        </row>
        <row r="51">
          <cell r="B51" t="str">
            <v xml:space="preserve">   Deferred</v>
          </cell>
          <cell r="D51">
            <v>95.052000000000021</v>
          </cell>
          <cell r="E51">
            <v>0</v>
          </cell>
          <cell r="F51">
            <v>-6.1370000000000005</v>
          </cell>
          <cell r="I51">
            <v>-435.90499999999997</v>
          </cell>
          <cell r="J51">
            <v>-318.08550000000002</v>
          </cell>
          <cell r="K51">
            <v>0</v>
          </cell>
          <cell r="L51">
            <v>-74.554000000000002</v>
          </cell>
        </row>
        <row r="52">
          <cell r="B52" t="str">
            <v xml:space="preserve"> </v>
          </cell>
          <cell r="D52">
            <v>793.05500000000063</v>
          </cell>
          <cell r="E52">
            <v>570.20000000000005</v>
          </cell>
          <cell r="F52">
            <v>546.15000000000032</v>
          </cell>
          <cell r="I52">
            <v>7161.5470000000005</v>
          </cell>
          <cell r="J52">
            <v>5581.3659999999991</v>
          </cell>
          <cell r="K52">
            <v>6168.2628532297877</v>
          </cell>
          <cell r="L52">
            <v>6993.7267700000002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3"/>
  <sheetViews>
    <sheetView tabSelected="1" zoomScaleNormal="100" workbookViewId="0">
      <pane ySplit="10" topLeftCell="A11" activePane="bottomLeft" state="frozen"/>
      <selection pane="bottomLeft" activeCell="A6" sqref="A6"/>
    </sheetView>
  </sheetViews>
  <sheetFormatPr defaultColWidth="9.140625" defaultRowHeight="12.75" x14ac:dyDescent="0.2"/>
  <cols>
    <col min="1" max="1" width="25.5703125" style="23" customWidth="1"/>
    <col min="2" max="2" width="23.7109375" style="23" customWidth="1"/>
    <col min="3" max="3" width="21.42578125" style="23" customWidth="1"/>
    <col min="4" max="4" width="6.7109375" style="23" hidden="1" customWidth="1"/>
    <col min="5" max="5" width="13.140625" style="23" hidden="1" customWidth="1"/>
    <col min="6" max="6" width="13.28515625" style="23" bestFit="1" customWidth="1"/>
    <col min="7" max="7" width="13.42578125" style="23" customWidth="1"/>
    <col min="8" max="8" width="15" style="23" bestFit="1" customWidth="1"/>
    <col min="9" max="9" width="16.140625" style="23" customWidth="1"/>
    <col min="10" max="10" width="17.7109375" style="23" customWidth="1"/>
    <col min="11" max="11" width="9.42578125" style="23" bestFit="1" customWidth="1"/>
    <col min="12" max="12" width="13.140625" style="23" bestFit="1" customWidth="1"/>
    <col min="13" max="13" width="9.42578125" style="23" bestFit="1" customWidth="1"/>
    <col min="14" max="14" width="14" style="23" bestFit="1" customWidth="1"/>
    <col min="15" max="15" width="15" style="23" bestFit="1" customWidth="1"/>
    <col min="16" max="16" width="5.85546875" style="23" customWidth="1"/>
    <col min="17" max="17" width="16.28515625" style="22" customWidth="1"/>
    <col min="18" max="16384" width="9.140625" style="23"/>
  </cols>
  <sheetData>
    <row r="1" spans="1:18" x14ac:dyDescent="0.2">
      <c r="A1" s="2" t="s">
        <v>0</v>
      </c>
      <c r="J1" s="3"/>
      <c r="L1" s="4"/>
    </row>
    <row r="2" spans="1:18" x14ac:dyDescent="0.2">
      <c r="A2" s="2" t="s">
        <v>100</v>
      </c>
      <c r="G2" s="5"/>
    </row>
    <row r="3" spans="1:18" x14ac:dyDescent="0.2">
      <c r="A3" s="78" t="s">
        <v>101</v>
      </c>
      <c r="G3" s="5"/>
    </row>
    <row r="4" spans="1:18" x14ac:dyDescent="0.2">
      <c r="A4" s="79" t="s">
        <v>1</v>
      </c>
      <c r="C4" s="21" t="s">
        <v>31</v>
      </c>
      <c r="D4" s="19"/>
      <c r="E4" s="19"/>
      <c r="F4" s="19"/>
      <c r="G4" s="50"/>
      <c r="H4" s="67"/>
      <c r="N4" s="24"/>
    </row>
    <row r="5" spans="1:18" x14ac:dyDescent="0.2">
      <c r="A5" s="6"/>
      <c r="C5" s="7"/>
      <c r="D5" s="7"/>
      <c r="E5" s="8"/>
    </row>
    <row r="6" spans="1:18" x14ac:dyDescent="0.2">
      <c r="C6" s="7"/>
      <c r="D6" s="7"/>
      <c r="E6" s="8"/>
      <c r="G6" s="9"/>
      <c r="N6" s="9"/>
    </row>
    <row r="7" spans="1:18" x14ac:dyDescent="0.2">
      <c r="A7" s="25"/>
      <c r="B7" s="25">
        <v>2</v>
      </c>
      <c r="C7" s="25">
        <v>3</v>
      </c>
      <c r="D7" s="25"/>
      <c r="E7" s="25"/>
      <c r="F7" s="25">
        <v>4</v>
      </c>
      <c r="G7" s="25">
        <v>5</v>
      </c>
      <c r="H7" s="25">
        <v>6</v>
      </c>
      <c r="I7" s="25">
        <v>7</v>
      </c>
      <c r="J7" s="25">
        <v>8</v>
      </c>
      <c r="K7" s="25">
        <v>9</v>
      </c>
      <c r="L7" s="25">
        <v>10</v>
      </c>
      <c r="M7" s="25">
        <v>11</v>
      </c>
      <c r="N7" s="25">
        <v>12</v>
      </c>
      <c r="O7" s="25">
        <v>13</v>
      </c>
    </row>
    <row r="8" spans="1:18" x14ac:dyDescent="0.2">
      <c r="A8" s="25"/>
      <c r="B8" s="25" t="s">
        <v>2</v>
      </c>
      <c r="C8" s="10"/>
      <c r="D8" s="10"/>
      <c r="E8" s="25"/>
      <c r="F8" s="25"/>
      <c r="G8" s="10"/>
      <c r="H8" s="25"/>
      <c r="I8" s="25" t="s">
        <v>3</v>
      </c>
      <c r="J8" s="25" t="s">
        <v>4</v>
      </c>
      <c r="K8" s="25"/>
      <c r="L8" s="25"/>
      <c r="M8" s="25" t="s">
        <v>5</v>
      </c>
      <c r="N8" s="25"/>
      <c r="O8" s="25" t="s">
        <v>2</v>
      </c>
    </row>
    <row r="9" spans="1:18" x14ac:dyDescent="0.2">
      <c r="A9" s="25" t="s">
        <v>6</v>
      </c>
      <c r="B9" s="25" t="s">
        <v>7</v>
      </c>
      <c r="C9" s="25" t="s">
        <v>8</v>
      </c>
      <c r="D9" s="25"/>
      <c r="E9" s="25" t="s">
        <v>9</v>
      </c>
      <c r="F9" s="25" t="s">
        <v>10</v>
      </c>
      <c r="G9" s="25" t="s">
        <v>11</v>
      </c>
      <c r="H9" s="25" t="s">
        <v>2</v>
      </c>
      <c r="I9" s="25" t="s">
        <v>12</v>
      </c>
      <c r="J9" s="25" t="s">
        <v>2</v>
      </c>
      <c r="K9" s="25" t="s">
        <v>13</v>
      </c>
      <c r="L9" s="25" t="s">
        <v>14</v>
      </c>
      <c r="M9" s="25" t="s">
        <v>15</v>
      </c>
      <c r="N9" s="25" t="s">
        <v>16</v>
      </c>
      <c r="O9" s="25" t="s">
        <v>17</v>
      </c>
    </row>
    <row r="10" spans="1:18" x14ac:dyDescent="0.2">
      <c r="A10" s="26" t="s">
        <v>18</v>
      </c>
      <c r="B10" s="26" t="s">
        <v>19</v>
      </c>
      <c r="C10" s="26" t="s">
        <v>20</v>
      </c>
      <c r="D10" s="26"/>
      <c r="E10" s="26" t="s">
        <v>21</v>
      </c>
      <c r="F10" s="26" t="s">
        <v>22</v>
      </c>
      <c r="G10" s="26" t="s">
        <v>23</v>
      </c>
      <c r="H10" s="26"/>
      <c r="I10" s="26" t="s">
        <v>24</v>
      </c>
      <c r="J10" s="26"/>
      <c r="K10" s="26" t="s">
        <v>25</v>
      </c>
      <c r="L10" s="26" t="s">
        <v>26</v>
      </c>
      <c r="M10" s="26" t="s">
        <v>27</v>
      </c>
      <c r="N10" s="26" t="s">
        <v>28</v>
      </c>
      <c r="O10" s="26" t="s">
        <v>29</v>
      </c>
    </row>
    <row r="12" spans="1:18" x14ac:dyDescent="0.2">
      <c r="A12" s="6" t="s">
        <v>42</v>
      </c>
    </row>
    <row r="13" spans="1:18" x14ac:dyDescent="0.2">
      <c r="Q13" s="52" t="s">
        <v>16</v>
      </c>
    </row>
    <row r="14" spans="1:18" x14ac:dyDescent="0.2">
      <c r="A14" s="25">
        <v>1</v>
      </c>
      <c r="B14" s="29">
        <v>15343937</v>
      </c>
      <c r="C14" s="29"/>
      <c r="E14" s="29"/>
      <c r="F14" s="29"/>
      <c r="G14" s="29"/>
      <c r="H14" s="29">
        <f t="shared" ref="H14:H26" si="0">B14+SUM(C14:G14)</f>
        <v>15343937</v>
      </c>
      <c r="I14" s="29">
        <f>ROUND(SUM(C14:G14)/2,0)</f>
        <v>0</v>
      </c>
      <c r="J14" s="29">
        <f t="shared" ref="J14:J26" si="1">+H14-I14</f>
        <v>15343937</v>
      </c>
      <c r="K14" s="11">
        <v>4</v>
      </c>
      <c r="L14" s="29">
        <v>0</v>
      </c>
      <c r="M14" s="29">
        <v>0</v>
      </c>
      <c r="N14" s="12">
        <f>(B14+(C14+G14)/2)*K14/100</f>
        <v>613757.48</v>
      </c>
      <c r="O14" s="29">
        <f t="shared" ref="O14:O26" si="2">+H14-N14</f>
        <v>14730179.52</v>
      </c>
      <c r="P14" s="29"/>
      <c r="Q14" s="52" t="s">
        <v>51</v>
      </c>
    </row>
    <row r="15" spans="1:18" x14ac:dyDescent="0.2">
      <c r="A15" s="25" t="s">
        <v>30</v>
      </c>
      <c r="B15" s="29">
        <v>2224841</v>
      </c>
      <c r="C15" s="20">
        <f>29364+71251</f>
        <v>100615</v>
      </c>
      <c r="D15" s="29"/>
      <c r="E15" s="29"/>
      <c r="F15" s="29"/>
      <c r="G15" s="29"/>
      <c r="H15" s="29">
        <f t="shared" si="0"/>
        <v>2325456</v>
      </c>
      <c r="I15" s="29">
        <f>ROUND(SUM(C15:G15)/2,0)</f>
        <v>50308</v>
      </c>
      <c r="J15" s="29">
        <f t="shared" si="1"/>
        <v>2275148</v>
      </c>
      <c r="K15" s="11">
        <v>6</v>
      </c>
      <c r="L15" s="29">
        <v>0</v>
      </c>
      <c r="M15" s="29">
        <v>0</v>
      </c>
      <c r="N15" s="12">
        <f t="shared" ref="N15:N26" si="3">(B15+(C15+G15)/2)*K15/100</f>
        <v>136508.91</v>
      </c>
      <c r="O15" s="29">
        <f t="shared" si="2"/>
        <v>2188947.09</v>
      </c>
      <c r="P15" s="29"/>
    </row>
    <row r="16" spans="1:18" x14ac:dyDescent="0.2">
      <c r="A16" s="25">
        <v>2</v>
      </c>
      <c r="B16" s="29">
        <v>8726062</v>
      </c>
      <c r="C16" s="30"/>
      <c r="D16" s="30"/>
      <c r="E16" s="31"/>
      <c r="F16" s="29"/>
      <c r="G16" s="29"/>
      <c r="H16" s="29">
        <f t="shared" si="0"/>
        <v>8726062</v>
      </c>
      <c r="I16" s="29">
        <f t="shared" ref="I16:I25" si="4">ROUND(SUM(C16:G16)/2,0)</f>
        <v>0</v>
      </c>
      <c r="J16" s="29">
        <f t="shared" si="1"/>
        <v>8726062</v>
      </c>
      <c r="K16" s="32">
        <v>6</v>
      </c>
      <c r="L16" s="29">
        <v>0</v>
      </c>
      <c r="M16" s="29">
        <v>0</v>
      </c>
      <c r="N16" s="12">
        <f t="shared" si="3"/>
        <v>523563.72</v>
      </c>
      <c r="O16" s="29">
        <f t="shared" si="2"/>
        <v>8202498.2800000003</v>
      </c>
      <c r="P16" s="29"/>
      <c r="Q16" s="22">
        <v>4634428</v>
      </c>
      <c r="R16" s="23" t="s">
        <v>43</v>
      </c>
    </row>
    <row r="17" spans="1:18" x14ac:dyDescent="0.2">
      <c r="A17" s="25">
        <v>8</v>
      </c>
      <c r="B17" s="35">
        <f>3427591-1889532</f>
        <v>1538059</v>
      </c>
      <c r="C17" s="33">
        <v>210193</v>
      </c>
      <c r="D17" s="34"/>
      <c r="E17" s="34"/>
      <c r="G17" s="29">
        <v>-427</v>
      </c>
      <c r="H17" s="29">
        <f t="shared" si="0"/>
        <v>1747825</v>
      </c>
      <c r="I17" s="29">
        <f>ROUND(SUM(C17:G17)/2,0)</f>
        <v>104883</v>
      </c>
      <c r="J17" s="29">
        <f>+H17-I17</f>
        <v>1642942</v>
      </c>
      <c r="K17" s="32">
        <v>20</v>
      </c>
      <c r="L17" s="29">
        <v>0</v>
      </c>
      <c r="M17" s="29">
        <v>0</v>
      </c>
      <c r="N17" s="12">
        <f t="shared" si="3"/>
        <v>328588.40000000002</v>
      </c>
      <c r="O17" s="29">
        <f t="shared" si="2"/>
        <v>1419236.6</v>
      </c>
      <c r="P17" s="29"/>
      <c r="Q17" s="22">
        <v>-226743</v>
      </c>
      <c r="R17" s="23" t="s">
        <v>45</v>
      </c>
    </row>
    <row r="18" spans="1:18" x14ac:dyDescent="0.2">
      <c r="A18" s="25">
        <v>10</v>
      </c>
      <c r="B18" s="29">
        <v>1285714</v>
      </c>
      <c r="C18" s="29">
        <v>63300</v>
      </c>
      <c r="D18" s="29"/>
      <c r="E18" s="29"/>
      <c r="F18" s="13"/>
      <c r="G18" s="29">
        <v>-8171</v>
      </c>
      <c r="H18" s="29">
        <f t="shared" si="0"/>
        <v>1340843</v>
      </c>
      <c r="I18" s="29">
        <f>MAX(ROUND(SUM(C18:G18)/2,0),0)</f>
        <v>27565</v>
      </c>
      <c r="J18" s="29">
        <f t="shared" si="1"/>
        <v>1313278</v>
      </c>
      <c r="K18" s="32">
        <v>30</v>
      </c>
      <c r="L18" s="29">
        <v>0</v>
      </c>
      <c r="M18" s="29">
        <v>0</v>
      </c>
      <c r="N18" s="12">
        <f t="shared" si="3"/>
        <v>393983.55</v>
      </c>
      <c r="O18" s="29">
        <f t="shared" si="2"/>
        <v>946859.45</v>
      </c>
      <c r="P18" s="29"/>
      <c r="Q18" s="51">
        <v>16140</v>
      </c>
      <c r="R18" s="23" t="s">
        <v>89</v>
      </c>
    </row>
    <row r="19" spans="1:18" x14ac:dyDescent="0.2">
      <c r="A19" s="25">
        <v>12</v>
      </c>
      <c r="B19" s="29">
        <v>453951</v>
      </c>
      <c r="C19" s="29">
        <v>542450</v>
      </c>
      <c r="D19" s="29"/>
      <c r="E19" s="29"/>
      <c r="F19" s="13"/>
      <c r="G19" s="29"/>
      <c r="H19" s="29">
        <f t="shared" si="0"/>
        <v>996401</v>
      </c>
      <c r="I19" s="29">
        <f>ROUND(SUM(C19:G19)/2,0)</f>
        <v>271225</v>
      </c>
      <c r="J19" s="29">
        <f t="shared" si="1"/>
        <v>725176</v>
      </c>
      <c r="K19" s="32">
        <v>100</v>
      </c>
      <c r="L19" s="29">
        <v>0</v>
      </c>
      <c r="M19" s="29">
        <v>0</v>
      </c>
      <c r="N19" s="12">
        <f t="shared" si="3"/>
        <v>725176</v>
      </c>
      <c r="O19" s="29">
        <f t="shared" si="2"/>
        <v>271225</v>
      </c>
      <c r="P19" s="29"/>
      <c r="Q19" s="22">
        <f>SUM(Q16:Q18)</f>
        <v>4423825</v>
      </c>
    </row>
    <row r="20" spans="1:18" x14ac:dyDescent="0.2">
      <c r="A20" s="25">
        <v>17</v>
      </c>
      <c r="B20" s="29">
        <v>30171</v>
      </c>
      <c r="C20" s="29"/>
      <c r="D20" s="29"/>
      <c r="E20" s="29"/>
      <c r="F20" s="13"/>
      <c r="G20" s="29"/>
      <c r="H20" s="29">
        <f t="shared" si="0"/>
        <v>30171</v>
      </c>
      <c r="I20" s="29">
        <f>ROUND(SUM(C20:G20)/2,0)</f>
        <v>0</v>
      </c>
      <c r="J20" s="34">
        <f t="shared" si="1"/>
        <v>30171</v>
      </c>
      <c r="K20" s="32">
        <v>8</v>
      </c>
      <c r="L20" s="29">
        <v>0</v>
      </c>
      <c r="M20" s="29">
        <v>0</v>
      </c>
      <c r="N20" s="12">
        <f t="shared" si="3"/>
        <v>2413.6799999999998</v>
      </c>
      <c r="O20" s="29">
        <f t="shared" si="2"/>
        <v>27757.32</v>
      </c>
      <c r="P20" s="29"/>
    </row>
    <row r="21" spans="1:18" x14ac:dyDescent="0.2">
      <c r="A21" s="25">
        <v>45</v>
      </c>
      <c r="B21" s="29">
        <v>4320</v>
      </c>
      <c r="C21" s="29"/>
      <c r="D21" s="29"/>
      <c r="E21" s="29"/>
      <c r="F21" s="13"/>
      <c r="G21" s="29"/>
      <c r="H21" s="29">
        <f t="shared" si="0"/>
        <v>4320</v>
      </c>
      <c r="I21" s="29">
        <f>ROUND(SUM(C21:G21)/2,0)</f>
        <v>0</v>
      </c>
      <c r="J21" s="34">
        <f t="shared" si="1"/>
        <v>4320</v>
      </c>
      <c r="K21" s="32">
        <v>45</v>
      </c>
      <c r="L21" s="29">
        <v>0</v>
      </c>
      <c r="M21" s="29">
        <v>0</v>
      </c>
      <c r="N21" s="12">
        <f t="shared" si="3"/>
        <v>1944</v>
      </c>
      <c r="O21" s="29">
        <f t="shared" si="2"/>
        <v>2376</v>
      </c>
      <c r="P21" s="29"/>
      <c r="Q21" s="22">
        <v>97459</v>
      </c>
      <c r="R21" s="23" t="s">
        <v>44</v>
      </c>
    </row>
    <row r="22" spans="1:18" x14ac:dyDescent="0.2">
      <c r="A22" s="25">
        <v>46</v>
      </c>
      <c r="B22" s="29">
        <v>138842</v>
      </c>
      <c r="C22" s="29"/>
      <c r="D22" s="29"/>
      <c r="E22" s="29"/>
      <c r="F22" s="13"/>
      <c r="G22" s="29"/>
      <c r="H22" s="29">
        <f t="shared" si="0"/>
        <v>138842</v>
      </c>
      <c r="I22" s="29">
        <f>ROUND(SUM(C22:G22)/2,0)</f>
        <v>0</v>
      </c>
      <c r="J22" s="34">
        <f t="shared" si="1"/>
        <v>138842</v>
      </c>
      <c r="K22" s="32">
        <v>30</v>
      </c>
      <c r="L22" s="29">
        <v>0</v>
      </c>
      <c r="M22" s="29">
        <v>0</v>
      </c>
      <c r="N22" s="12">
        <f t="shared" si="3"/>
        <v>41652.6</v>
      </c>
      <c r="O22" s="29">
        <f t="shared" si="2"/>
        <v>97189.4</v>
      </c>
      <c r="P22" s="29"/>
      <c r="Q22" s="51">
        <v>-4087</v>
      </c>
      <c r="R22" s="23" t="s">
        <v>46</v>
      </c>
    </row>
    <row r="23" spans="1:18" x14ac:dyDescent="0.2">
      <c r="A23" s="25" t="s">
        <v>59</v>
      </c>
      <c r="B23" s="29">
        <v>1213887</v>
      </c>
      <c r="C23" s="35">
        <f>178388-77850*0.75</f>
        <v>120000.5</v>
      </c>
      <c r="D23" s="29"/>
      <c r="E23" s="29"/>
      <c r="F23" s="29"/>
      <c r="G23" s="29"/>
      <c r="H23" s="29">
        <f t="shared" si="0"/>
        <v>1333887.5</v>
      </c>
      <c r="I23" s="29">
        <f t="shared" si="4"/>
        <v>60000</v>
      </c>
      <c r="J23" s="29">
        <f t="shared" si="1"/>
        <v>1273887.5</v>
      </c>
      <c r="K23" s="32">
        <v>7</v>
      </c>
      <c r="L23" s="29">
        <v>0</v>
      </c>
      <c r="M23" s="29">
        <v>0</v>
      </c>
      <c r="N23" s="12">
        <f>(B23+(C23+G23))*K23/100</f>
        <v>93372.125</v>
      </c>
      <c r="O23" s="29">
        <f t="shared" si="2"/>
        <v>1240515.375</v>
      </c>
      <c r="P23" s="29"/>
      <c r="Q23" s="22">
        <f>+Q21+Q22</f>
        <v>93372</v>
      </c>
    </row>
    <row r="24" spans="1:18" x14ac:dyDescent="0.2">
      <c r="A24" s="25">
        <v>47</v>
      </c>
      <c r="B24" s="35">
        <f>10664235+1889532</f>
        <v>12553767</v>
      </c>
      <c r="C24" s="36">
        <f>2042383+(306903+43145)</f>
        <v>2392431</v>
      </c>
      <c r="D24" s="34"/>
      <c r="E24" s="34"/>
      <c r="F24" s="13"/>
      <c r="G24" s="34">
        <v>-801043</v>
      </c>
      <c r="H24" s="29">
        <f t="shared" si="0"/>
        <v>14145155</v>
      </c>
      <c r="I24" s="34">
        <f>ROUND(SUM(C24:G24)/2,0)</f>
        <v>795694</v>
      </c>
      <c r="J24" s="34">
        <f t="shared" si="1"/>
        <v>13349461</v>
      </c>
      <c r="K24" s="37">
        <v>8</v>
      </c>
      <c r="L24" s="29">
        <v>0</v>
      </c>
      <c r="M24" s="29">
        <v>0</v>
      </c>
      <c r="N24" s="12">
        <f t="shared" si="3"/>
        <v>1067956.8799999999</v>
      </c>
      <c r="O24" s="34">
        <f t="shared" si="2"/>
        <v>13077198.120000001</v>
      </c>
      <c r="P24" s="29"/>
    </row>
    <row r="25" spans="1:18" ht="13.5" thickBot="1" x14ac:dyDescent="0.25">
      <c r="A25" s="25">
        <v>50</v>
      </c>
      <c r="B25" s="29">
        <v>693714</v>
      </c>
      <c r="C25" s="34">
        <v>751769</v>
      </c>
      <c r="D25" s="34"/>
      <c r="E25" s="34"/>
      <c r="F25" s="34"/>
      <c r="G25" s="34"/>
      <c r="H25" s="29">
        <f t="shared" si="0"/>
        <v>1445483</v>
      </c>
      <c r="I25" s="34">
        <f t="shared" si="4"/>
        <v>375885</v>
      </c>
      <c r="J25" s="34">
        <f>+H25-I25</f>
        <v>1069598</v>
      </c>
      <c r="K25" s="37">
        <v>55</v>
      </c>
      <c r="L25" s="29">
        <v>0</v>
      </c>
      <c r="M25" s="29">
        <v>0</v>
      </c>
      <c r="N25" s="12">
        <f t="shared" si="3"/>
        <v>588279.17500000005</v>
      </c>
      <c r="O25" s="34">
        <f t="shared" si="2"/>
        <v>857203.82499999995</v>
      </c>
      <c r="P25" s="29"/>
      <c r="Q25" s="54">
        <f>+Q19+Q23</f>
        <v>4517197</v>
      </c>
      <c r="R25" s="23" t="s">
        <v>47</v>
      </c>
    </row>
    <row r="26" spans="1:18" ht="13.5" thickTop="1" x14ac:dyDescent="0.2">
      <c r="A26" s="25">
        <v>95</v>
      </c>
      <c r="B26" s="29">
        <v>1247052</v>
      </c>
      <c r="C26" s="38">
        <v>1286018</v>
      </c>
      <c r="D26" s="38"/>
      <c r="E26" s="38"/>
      <c r="F26" s="38"/>
      <c r="G26" s="38">
        <v>-1247052</v>
      </c>
      <c r="H26" s="29">
        <f t="shared" si="0"/>
        <v>1286018</v>
      </c>
      <c r="I26" s="29">
        <f>ROUND(SUM(C26:G26)/2,0)</f>
        <v>19483</v>
      </c>
      <c r="J26" s="34">
        <f t="shared" si="1"/>
        <v>1266535</v>
      </c>
      <c r="K26" s="39">
        <v>0</v>
      </c>
      <c r="L26" s="29">
        <v>0</v>
      </c>
      <c r="M26" s="29">
        <v>0</v>
      </c>
      <c r="N26" s="12">
        <f t="shared" si="3"/>
        <v>0</v>
      </c>
      <c r="O26" s="34">
        <f t="shared" si="2"/>
        <v>1286018</v>
      </c>
      <c r="P26" s="29"/>
    </row>
    <row r="27" spans="1:18" ht="13.5" thickBot="1" x14ac:dyDescent="0.25">
      <c r="B27" s="40">
        <f t="shared" ref="B27:J27" si="5">SUM(B14:B26)</f>
        <v>45454317</v>
      </c>
      <c r="C27" s="40">
        <f t="shared" si="5"/>
        <v>5466776.5</v>
      </c>
      <c r="D27" s="40">
        <f t="shared" si="5"/>
        <v>0</v>
      </c>
      <c r="E27" s="40">
        <f t="shared" si="5"/>
        <v>0</v>
      </c>
      <c r="F27" s="40">
        <f t="shared" si="5"/>
        <v>0</v>
      </c>
      <c r="G27" s="40">
        <f t="shared" si="5"/>
        <v>-2056693</v>
      </c>
      <c r="H27" s="40">
        <f t="shared" si="5"/>
        <v>48864400.5</v>
      </c>
      <c r="I27" s="40">
        <f t="shared" si="5"/>
        <v>1705043</v>
      </c>
      <c r="J27" s="40">
        <f t="shared" si="5"/>
        <v>47159357.5</v>
      </c>
      <c r="K27" s="40">
        <v>0</v>
      </c>
      <c r="L27" s="40">
        <f>SUM(L14:L26)</f>
        <v>0</v>
      </c>
      <c r="M27" s="40">
        <f>SUM(M14:M26)</f>
        <v>0</v>
      </c>
      <c r="N27" s="53">
        <f>SUM(N14:N26)</f>
        <v>4517196.5199999996</v>
      </c>
      <c r="O27" s="40">
        <f>SUM(O14:O26)</f>
        <v>44347203.980000004</v>
      </c>
    </row>
    <row r="28" spans="1:18" ht="13.5" thickTop="1" x14ac:dyDescent="0.2">
      <c r="A28" s="71" t="s">
        <v>90</v>
      </c>
      <c r="B28" s="14">
        <f>B27-B23</f>
        <v>44240430</v>
      </c>
      <c r="C28" s="14"/>
      <c r="D28" s="9"/>
      <c r="E28" s="9"/>
      <c r="G28" s="14"/>
      <c r="N28" s="14"/>
      <c r="O28" s="14"/>
    </row>
    <row r="29" spans="1:18" x14ac:dyDescent="0.2">
      <c r="B29" s="72"/>
      <c r="C29" s="72"/>
      <c r="D29" s="73"/>
      <c r="E29" s="73"/>
      <c r="F29" s="22"/>
      <c r="G29" s="72"/>
      <c r="H29" s="22"/>
      <c r="I29" s="22"/>
      <c r="J29" s="22"/>
      <c r="K29" s="22"/>
      <c r="L29" s="22"/>
      <c r="M29" s="22"/>
      <c r="N29" s="55"/>
      <c r="O29" s="55"/>
    </row>
    <row r="30" spans="1:18" x14ac:dyDescent="0.2">
      <c r="A30" s="6" t="s">
        <v>32</v>
      </c>
      <c r="B30" s="41"/>
      <c r="E30" s="42"/>
      <c r="H30" s="41"/>
      <c r="O30" s="27"/>
      <c r="P30" s="4"/>
    </row>
    <row r="31" spans="1:18" x14ac:dyDescent="0.2">
      <c r="A31" s="15"/>
      <c r="B31" s="41"/>
      <c r="E31" s="42"/>
      <c r="H31" s="41"/>
      <c r="O31" s="27"/>
      <c r="P31" s="4"/>
      <c r="Q31" s="52" t="s">
        <v>16</v>
      </c>
    </row>
    <row r="32" spans="1:18" x14ac:dyDescent="0.2">
      <c r="A32" s="25">
        <v>1</v>
      </c>
      <c r="B32" s="24">
        <f t="shared" ref="B32:B44" si="6">O14</f>
        <v>14730179.52</v>
      </c>
      <c r="C32" s="29">
        <v>53171</v>
      </c>
      <c r="E32" s="29"/>
      <c r="F32" s="29"/>
      <c r="G32" s="29"/>
      <c r="H32" s="29">
        <f t="shared" ref="H32:H44" si="7">B32+SUM(C32:G32)</f>
        <v>14783350.52</v>
      </c>
      <c r="I32" s="29">
        <f>ROUND(SUM(C32:G32)/2,0)</f>
        <v>26586</v>
      </c>
      <c r="J32" s="29">
        <f t="shared" ref="J32:J34" si="8">+H32-I32</f>
        <v>14756764.52</v>
      </c>
      <c r="K32" s="11">
        <v>4</v>
      </c>
      <c r="L32" s="29">
        <v>0</v>
      </c>
      <c r="M32" s="29">
        <v>0</v>
      </c>
      <c r="N32" s="12">
        <f>(B32+(C32+G32)/2)*K32/100</f>
        <v>590270.60080000001</v>
      </c>
      <c r="O32" s="29">
        <f t="shared" ref="O32:O44" si="9">+H32-N32</f>
        <v>14193079.919199999</v>
      </c>
      <c r="P32" s="29"/>
      <c r="Q32" s="52" t="s">
        <v>52</v>
      </c>
    </row>
    <row r="33" spans="1:18" x14ac:dyDescent="0.2">
      <c r="A33" s="25" t="s">
        <v>30</v>
      </c>
      <c r="B33" s="24">
        <f t="shared" si="6"/>
        <v>2188947.09</v>
      </c>
      <c r="C33" s="12">
        <v>322217</v>
      </c>
      <c r="D33" s="29"/>
      <c r="E33" s="29"/>
      <c r="F33" s="29"/>
      <c r="G33" s="29"/>
      <c r="H33" s="29">
        <f t="shared" si="7"/>
        <v>2511164.09</v>
      </c>
      <c r="I33" s="29">
        <f>ROUND(SUM(C33:G33)/2,0)</f>
        <v>161109</v>
      </c>
      <c r="J33" s="29">
        <f t="shared" si="8"/>
        <v>2350055.09</v>
      </c>
      <c r="K33" s="11">
        <v>6</v>
      </c>
      <c r="L33" s="29">
        <v>0</v>
      </c>
      <c r="M33" s="29">
        <v>0</v>
      </c>
      <c r="N33" s="12">
        <f t="shared" ref="N33:N40" si="10">(B33+(C33+G33)/2)*K33/100</f>
        <v>141003.33539999998</v>
      </c>
      <c r="O33" s="29">
        <f t="shared" si="9"/>
        <v>2370160.7545999996</v>
      </c>
      <c r="P33" s="29"/>
    </row>
    <row r="34" spans="1:18" x14ac:dyDescent="0.2">
      <c r="A34" s="25">
        <v>2</v>
      </c>
      <c r="B34" s="24">
        <f t="shared" si="6"/>
        <v>8202498.2800000003</v>
      </c>
      <c r="C34" s="30"/>
      <c r="D34" s="30"/>
      <c r="E34" s="31"/>
      <c r="F34" s="29"/>
      <c r="G34" s="29"/>
      <c r="H34" s="29">
        <f t="shared" si="7"/>
        <v>8202498.2800000003</v>
      </c>
      <c r="I34" s="29">
        <f t="shared" ref="I34" si="11">ROUND(SUM(C34:G34)/2,0)</f>
        <v>0</v>
      </c>
      <c r="J34" s="29">
        <f t="shared" si="8"/>
        <v>8202498.2800000003</v>
      </c>
      <c r="K34" s="32">
        <v>6</v>
      </c>
      <c r="L34" s="29">
        <v>0</v>
      </c>
      <c r="M34" s="29">
        <v>0</v>
      </c>
      <c r="N34" s="12">
        <f t="shared" si="10"/>
        <v>492149.89679999999</v>
      </c>
      <c r="O34" s="29">
        <f t="shared" si="9"/>
        <v>7710348.3832</v>
      </c>
      <c r="P34" s="29"/>
      <c r="Q34" s="22">
        <v>4234066</v>
      </c>
      <c r="R34" s="23" t="s">
        <v>43</v>
      </c>
    </row>
    <row r="35" spans="1:18" x14ac:dyDescent="0.2">
      <c r="A35" s="25">
        <v>8</v>
      </c>
      <c r="B35" s="24">
        <f t="shared" si="6"/>
        <v>1419236.6</v>
      </c>
      <c r="C35" s="33">
        <v>84155</v>
      </c>
      <c r="D35" s="34"/>
      <c r="E35" s="34"/>
      <c r="G35" s="29"/>
      <c r="H35" s="29">
        <f t="shared" si="7"/>
        <v>1503391.6</v>
      </c>
      <c r="I35" s="29">
        <f>ROUND(SUM(C35:G35)/2,0)</f>
        <v>42078</v>
      </c>
      <c r="J35" s="29">
        <f>+H35-I35</f>
        <v>1461313.6</v>
      </c>
      <c r="K35" s="32">
        <v>20</v>
      </c>
      <c r="L35" s="29">
        <v>0</v>
      </c>
      <c r="M35" s="29">
        <v>0</v>
      </c>
      <c r="N35" s="12">
        <f t="shared" si="10"/>
        <v>292262.82</v>
      </c>
      <c r="O35" s="29">
        <f t="shared" si="9"/>
        <v>1211128.78</v>
      </c>
      <c r="P35" s="29"/>
      <c r="Q35" s="22">
        <v>-163255</v>
      </c>
      <c r="R35" s="23" t="s">
        <v>45</v>
      </c>
    </row>
    <row r="36" spans="1:18" x14ac:dyDescent="0.2">
      <c r="A36" s="25">
        <v>10</v>
      </c>
      <c r="B36" s="24">
        <f t="shared" si="6"/>
        <v>946859.45</v>
      </c>
      <c r="C36" s="29">
        <v>136157</v>
      </c>
      <c r="D36" s="29"/>
      <c r="E36" s="29"/>
      <c r="F36" s="13"/>
      <c r="G36" s="29"/>
      <c r="H36" s="29">
        <f t="shared" si="7"/>
        <v>1083016.45</v>
      </c>
      <c r="I36" s="29">
        <f t="shared" ref="I36:I40" si="12">MAX(ROUND(SUM(C36:G36)/2,0),0)</f>
        <v>68079</v>
      </c>
      <c r="J36" s="29">
        <f t="shared" ref="J36:J44" si="13">+H36-I36</f>
        <v>1014937.45</v>
      </c>
      <c r="K36" s="32">
        <v>30</v>
      </c>
      <c r="L36" s="29">
        <v>0</v>
      </c>
      <c r="M36" s="29">
        <v>0</v>
      </c>
      <c r="N36" s="12">
        <f t="shared" si="10"/>
        <v>304481.38500000001</v>
      </c>
      <c r="O36" s="29">
        <f t="shared" si="9"/>
        <v>778535.06499999994</v>
      </c>
      <c r="P36" s="29"/>
      <c r="Q36" s="51">
        <v>86747</v>
      </c>
      <c r="R36" s="23" t="s">
        <v>89</v>
      </c>
    </row>
    <row r="37" spans="1:18" x14ac:dyDescent="0.2">
      <c r="A37" s="25">
        <v>12</v>
      </c>
      <c r="B37" s="24">
        <f t="shared" si="6"/>
        <v>271225</v>
      </c>
      <c r="C37" s="29">
        <v>461472</v>
      </c>
      <c r="D37" s="29"/>
      <c r="E37" s="29"/>
      <c r="F37" s="13"/>
      <c r="G37" s="29"/>
      <c r="H37" s="29">
        <f t="shared" si="7"/>
        <v>732697</v>
      </c>
      <c r="I37" s="29">
        <f t="shared" si="12"/>
        <v>230736</v>
      </c>
      <c r="J37" s="29">
        <f t="shared" si="13"/>
        <v>501961</v>
      </c>
      <c r="K37" s="32">
        <v>100</v>
      </c>
      <c r="L37" s="29">
        <v>0</v>
      </c>
      <c r="M37" s="29">
        <v>0</v>
      </c>
      <c r="N37" s="12">
        <f t="shared" si="10"/>
        <v>501961</v>
      </c>
      <c r="O37" s="29">
        <f t="shared" si="9"/>
        <v>230736</v>
      </c>
      <c r="P37" s="29"/>
      <c r="Q37" s="22">
        <f>SUM(Q34:Q36)</f>
        <v>4157558</v>
      </c>
    </row>
    <row r="38" spans="1:18" x14ac:dyDescent="0.2">
      <c r="A38" s="25">
        <v>17</v>
      </c>
      <c r="B38" s="24">
        <f t="shared" si="6"/>
        <v>27757.32</v>
      </c>
      <c r="C38" s="29"/>
      <c r="D38" s="29"/>
      <c r="E38" s="29"/>
      <c r="F38" s="13"/>
      <c r="G38" s="29"/>
      <c r="H38" s="29">
        <f t="shared" si="7"/>
        <v>27757.32</v>
      </c>
      <c r="I38" s="29">
        <f t="shared" si="12"/>
        <v>0</v>
      </c>
      <c r="J38" s="29">
        <f t="shared" si="13"/>
        <v>27757.32</v>
      </c>
      <c r="K38" s="32">
        <v>8</v>
      </c>
      <c r="L38" s="29">
        <v>0</v>
      </c>
      <c r="M38" s="29">
        <v>0</v>
      </c>
      <c r="N38" s="12">
        <f t="shared" si="10"/>
        <v>2220.5855999999999</v>
      </c>
      <c r="O38" s="29">
        <f t="shared" si="9"/>
        <v>25536.734400000001</v>
      </c>
      <c r="P38" s="29"/>
    </row>
    <row r="39" spans="1:18" x14ac:dyDescent="0.2">
      <c r="A39" s="25">
        <v>45</v>
      </c>
      <c r="B39" s="24">
        <f t="shared" si="6"/>
        <v>2376</v>
      </c>
      <c r="C39" s="29"/>
      <c r="D39" s="29"/>
      <c r="E39" s="29"/>
      <c r="F39" s="13"/>
      <c r="G39" s="29"/>
      <c r="H39" s="29">
        <f t="shared" si="7"/>
        <v>2376</v>
      </c>
      <c r="I39" s="29">
        <f t="shared" si="12"/>
        <v>0</v>
      </c>
      <c r="J39" s="29">
        <f t="shared" si="13"/>
        <v>2376</v>
      </c>
      <c r="K39" s="32">
        <v>45</v>
      </c>
      <c r="L39" s="29">
        <v>0</v>
      </c>
      <c r="M39" s="29">
        <v>0</v>
      </c>
      <c r="N39" s="12">
        <f t="shared" si="10"/>
        <v>1069.2</v>
      </c>
      <c r="O39" s="29">
        <f t="shared" si="9"/>
        <v>1306.8</v>
      </c>
      <c r="P39" s="29"/>
      <c r="Q39" s="22">
        <v>90637</v>
      </c>
      <c r="R39" s="23" t="s">
        <v>44</v>
      </c>
    </row>
    <row r="40" spans="1:18" x14ac:dyDescent="0.2">
      <c r="A40" s="25">
        <v>46</v>
      </c>
      <c r="B40" s="24">
        <f t="shared" si="6"/>
        <v>97189.4</v>
      </c>
      <c r="C40" s="29"/>
      <c r="D40" s="29"/>
      <c r="E40" s="29"/>
      <c r="F40" s="13"/>
      <c r="G40" s="29"/>
      <c r="H40" s="29">
        <f t="shared" si="7"/>
        <v>97189.4</v>
      </c>
      <c r="I40" s="29">
        <f t="shared" si="12"/>
        <v>0</v>
      </c>
      <c r="J40" s="29">
        <f t="shared" si="13"/>
        <v>97189.4</v>
      </c>
      <c r="K40" s="32">
        <v>30</v>
      </c>
      <c r="L40" s="29">
        <v>0</v>
      </c>
      <c r="M40" s="29">
        <v>0</v>
      </c>
      <c r="N40" s="12">
        <f t="shared" si="10"/>
        <v>29156.82</v>
      </c>
      <c r="O40" s="29">
        <f t="shared" si="9"/>
        <v>68032.579999999987</v>
      </c>
      <c r="P40" s="29"/>
      <c r="Q40" s="51">
        <v>-3801</v>
      </c>
      <c r="R40" s="23" t="s">
        <v>46</v>
      </c>
    </row>
    <row r="41" spans="1:18" x14ac:dyDescent="0.2">
      <c r="A41" s="25" t="s">
        <v>59</v>
      </c>
      <c r="B41" s="24">
        <f t="shared" si="6"/>
        <v>1240515.375</v>
      </c>
      <c r="C41" s="29"/>
      <c r="D41" s="29"/>
      <c r="E41" s="29"/>
      <c r="F41" s="29"/>
      <c r="G41" s="29"/>
      <c r="H41" s="29">
        <f t="shared" si="7"/>
        <v>1240515.375</v>
      </c>
      <c r="I41" s="29">
        <f t="shared" ref="I41" si="14">ROUND(SUM(C41:G41)/2,0)</f>
        <v>0</v>
      </c>
      <c r="J41" s="29">
        <f t="shared" si="13"/>
        <v>1240515.375</v>
      </c>
      <c r="K41" s="32">
        <v>7</v>
      </c>
      <c r="L41" s="29">
        <v>0</v>
      </c>
      <c r="M41" s="29">
        <v>0</v>
      </c>
      <c r="N41" s="12">
        <f>(B41+(C41+G41))*K41/100</f>
        <v>86836.076249999998</v>
      </c>
      <c r="O41" s="29">
        <f t="shared" si="9"/>
        <v>1153679.2987500001</v>
      </c>
      <c r="P41" s="29"/>
      <c r="Q41" s="22">
        <f>+Q39+Q40</f>
        <v>86836</v>
      </c>
    </row>
    <row r="42" spans="1:18" x14ac:dyDescent="0.2">
      <c r="A42" s="25">
        <v>47</v>
      </c>
      <c r="B42" s="24">
        <f t="shared" si="6"/>
        <v>13077198.120000001</v>
      </c>
      <c r="C42" s="36">
        <f>3259304+(1004840+388080)</f>
        <v>4652224</v>
      </c>
      <c r="D42" s="34"/>
      <c r="E42" s="34"/>
      <c r="F42" s="13"/>
      <c r="G42" s="34">
        <v>-999795</v>
      </c>
      <c r="H42" s="29">
        <f t="shared" si="7"/>
        <v>16729627.120000001</v>
      </c>
      <c r="I42" s="34">
        <f>ROUND(SUM(C42:G42)/2,0)</f>
        <v>1826215</v>
      </c>
      <c r="J42" s="34">
        <f t="shared" si="13"/>
        <v>14903412.120000001</v>
      </c>
      <c r="K42" s="37">
        <v>8</v>
      </c>
      <c r="L42" s="29">
        <v>0</v>
      </c>
      <c r="M42" s="29">
        <v>0</v>
      </c>
      <c r="N42" s="12">
        <f t="shared" ref="N42:N44" si="15">(B42+(C42+G42)/2)*K42/100</f>
        <v>1192273.0096</v>
      </c>
      <c r="O42" s="34">
        <f t="shared" si="9"/>
        <v>15537354.110400001</v>
      </c>
      <c r="P42" s="29"/>
    </row>
    <row r="43" spans="1:18" ht="13.5" thickBot="1" x14ac:dyDescent="0.25">
      <c r="A43" s="25">
        <v>50</v>
      </c>
      <c r="B43" s="24">
        <f t="shared" si="6"/>
        <v>857203.82499999995</v>
      </c>
      <c r="C43" s="34">
        <v>506351</v>
      </c>
      <c r="D43" s="34"/>
      <c r="E43" s="34"/>
      <c r="F43" s="34"/>
      <c r="G43" s="34"/>
      <c r="H43" s="29">
        <f t="shared" si="7"/>
        <v>1363554.825</v>
      </c>
      <c r="I43" s="34">
        <f t="shared" ref="I43" si="16">ROUND(SUM(C43:G43)/2,0)</f>
        <v>253176</v>
      </c>
      <c r="J43" s="34">
        <f>+H43-I43</f>
        <v>1110378.825</v>
      </c>
      <c r="K43" s="37">
        <v>55</v>
      </c>
      <c r="L43" s="29">
        <v>0</v>
      </c>
      <c r="M43" s="29">
        <v>0</v>
      </c>
      <c r="N43" s="12">
        <f t="shared" si="15"/>
        <v>610708.62875000003</v>
      </c>
      <c r="O43" s="34">
        <f t="shared" si="9"/>
        <v>752846.19624999992</v>
      </c>
      <c r="P43" s="29"/>
      <c r="Q43" s="54">
        <f>+Q37+Q41</f>
        <v>4244394</v>
      </c>
      <c r="R43" s="23" t="s">
        <v>47</v>
      </c>
    </row>
    <row r="44" spans="1:18" ht="13.5" thickTop="1" x14ac:dyDescent="0.2">
      <c r="A44" s="25">
        <v>95</v>
      </c>
      <c r="B44" s="24">
        <f t="shared" si="6"/>
        <v>1286018</v>
      </c>
      <c r="C44" s="38">
        <v>1302986</v>
      </c>
      <c r="D44" s="38"/>
      <c r="E44" s="38"/>
      <c r="F44" s="38"/>
      <c r="G44" s="38">
        <v>-1286018</v>
      </c>
      <c r="H44" s="38">
        <f t="shared" si="7"/>
        <v>1302986</v>
      </c>
      <c r="I44" s="38">
        <f>MAX(ROUND(SUM(C44:G44)/2,0),0)</f>
        <v>8484</v>
      </c>
      <c r="J44" s="38">
        <f t="shared" si="13"/>
        <v>1294502</v>
      </c>
      <c r="K44" s="39">
        <v>0</v>
      </c>
      <c r="L44" s="38">
        <v>0</v>
      </c>
      <c r="M44" s="38">
        <v>0</v>
      </c>
      <c r="N44" s="16">
        <f t="shared" si="15"/>
        <v>0</v>
      </c>
      <c r="O44" s="38">
        <f t="shared" si="9"/>
        <v>1302986</v>
      </c>
      <c r="P44" s="29"/>
    </row>
    <row r="45" spans="1:18" ht="13.5" thickBot="1" x14ac:dyDescent="0.25">
      <c r="A45" s="43"/>
      <c r="B45" s="40">
        <f>SUM(B32:B44)</f>
        <v>44347203.980000004</v>
      </c>
      <c r="C45" s="17">
        <f>SUM(C32:C44)</f>
        <v>7518733</v>
      </c>
      <c r="D45" s="17"/>
      <c r="E45" s="44">
        <f t="shared" ref="E45:J45" si="17">SUM(E32:E44)</f>
        <v>0</v>
      </c>
      <c r="F45" s="44">
        <f t="shared" si="17"/>
        <v>0</v>
      </c>
      <c r="G45" s="44">
        <f t="shared" si="17"/>
        <v>-2285813</v>
      </c>
      <c r="H45" s="44">
        <f t="shared" si="17"/>
        <v>49580123.980000004</v>
      </c>
      <c r="I45" s="44">
        <f t="shared" si="17"/>
        <v>2616463</v>
      </c>
      <c r="J45" s="44">
        <f t="shared" si="17"/>
        <v>46963660.980000004</v>
      </c>
      <c r="K45" s="44"/>
      <c r="L45" s="44">
        <f>SUM(L32:L44)</f>
        <v>0</v>
      </c>
      <c r="M45" s="44">
        <f>SUM(M32:M44)</f>
        <v>0</v>
      </c>
      <c r="N45" s="53">
        <f>SUM(N32:N44)</f>
        <v>4244393.3581999997</v>
      </c>
      <c r="O45" s="44">
        <f>SUM(O32:O44)</f>
        <v>45335730.621799998</v>
      </c>
    </row>
    <row r="46" spans="1:18" ht="13.5" thickTop="1" x14ac:dyDescent="0.2">
      <c r="B46" s="18"/>
      <c r="C46" s="14"/>
      <c r="D46" s="9"/>
      <c r="E46" s="9"/>
      <c r="N46" s="55"/>
      <c r="O46" s="55"/>
    </row>
    <row r="47" spans="1:18" x14ac:dyDescent="0.2">
      <c r="A47" s="6" t="s">
        <v>33</v>
      </c>
      <c r="B47" s="41"/>
      <c r="E47" s="42"/>
      <c r="H47" s="41"/>
      <c r="O47" s="27"/>
      <c r="P47" s="4"/>
    </row>
    <row r="48" spans="1:18" x14ac:dyDescent="0.2">
      <c r="A48" s="15"/>
      <c r="B48" s="41"/>
      <c r="E48" s="42"/>
      <c r="H48" s="41"/>
      <c r="O48" s="27"/>
      <c r="P48" s="4"/>
      <c r="Q48" s="52" t="s">
        <v>16</v>
      </c>
    </row>
    <row r="49" spans="1:18" x14ac:dyDescent="0.2">
      <c r="A49" s="25">
        <v>1</v>
      </c>
      <c r="B49" s="24">
        <f t="shared" ref="B49:B61" si="18">O32</f>
        <v>14193079.919199999</v>
      </c>
      <c r="C49" s="29">
        <v>109510</v>
      </c>
      <c r="E49" s="29"/>
      <c r="F49" s="29"/>
      <c r="G49" s="29"/>
      <c r="H49" s="29">
        <f t="shared" ref="H49:H61" si="19">B49+SUM(C49:G49)</f>
        <v>14302589.919199999</v>
      </c>
      <c r="I49" s="29">
        <f>ROUND(SUM(C49:G49)/2,0)</f>
        <v>54755</v>
      </c>
      <c r="J49" s="29">
        <f t="shared" ref="J49:J51" si="20">+H49-I49</f>
        <v>14247834.919199999</v>
      </c>
      <c r="K49" s="11">
        <v>4</v>
      </c>
      <c r="L49" s="29">
        <v>0</v>
      </c>
      <c r="M49" s="29">
        <v>0</v>
      </c>
      <c r="N49" s="12">
        <f>(B49+(C49+G49)/2)*K49/100</f>
        <v>569913.39676799998</v>
      </c>
      <c r="O49" s="29">
        <f t="shared" ref="O49:O61" si="21">+H49-N49</f>
        <v>13732676.522431999</v>
      </c>
      <c r="P49" s="29"/>
      <c r="Q49" s="52" t="s">
        <v>53</v>
      </c>
    </row>
    <row r="50" spans="1:18" x14ac:dyDescent="0.2">
      <c r="A50" s="25" t="s">
        <v>30</v>
      </c>
      <c r="B50" s="24">
        <f t="shared" si="18"/>
        <v>2370160.7545999996</v>
      </c>
      <c r="C50" s="12">
        <v>58071</v>
      </c>
      <c r="D50" s="29"/>
      <c r="E50" s="29"/>
      <c r="F50" s="29"/>
      <c r="G50" s="29"/>
      <c r="H50" s="29">
        <f t="shared" si="19"/>
        <v>2428231.7545999996</v>
      </c>
      <c r="I50" s="29">
        <f>ROUND(SUM(C50:G50)/2,0)</f>
        <v>29036</v>
      </c>
      <c r="J50" s="29">
        <f t="shared" si="20"/>
        <v>2399195.7545999996</v>
      </c>
      <c r="K50" s="11">
        <v>6</v>
      </c>
      <c r="L50" s="29">
        <v>0</v>
      </c>
      <c r="M50" s="29">
        <v>0</v>
      </c>
      <c r="N50" s="12">
        <f t="shared" ref="N50:N57" si="22">(B50+(C50+G50)/2)*K50/100</f>
        <v>143951.77527599997</v>
      </c>
      <c r="O50" s="29">
        <f t="shared" si="21"/>
        <v>2284279.9793239995</v>
      </c>
      <c r="P50" s="29"/>
    </row>
    <row r="51" spans="1:18" x14ac:dyDescent="0.2">
      <c r="A51" s="25">
        <v>2</v>
      </c>
      <c r="B51" s="24">
        <f t="shared" si="18"/>
        <v>7710348.3832</v>
      </c>
      <c r="C51" s="30"/>
      <c r="D51" s="30"/>
      <c r="E51" s="31"/>
      <c r="F51" s="29"/>
      <c r="G51" s="29"/>
      <c r="H51" s="29">
        <f t="shared" si="19"/>
        <v>7710348.3832</v>
      </c>
      <c r="I51" s="29">
        <f t="shared" ref="I51" si="23">ROUND(SUM(C51:G51)/2,0)</f>
        <v>0</v>
      </c>
      <c r="J51" s="29">
        <f t="shared" si="20"/>
        <v>7710348.3832</v>
      </c>
      <c r="K51" s="32">
        <v>6</v>
      </c>
      <c r="L51" s="29">
        <v>0</v>
      </c>
      <c r="M51" s="29">
        <v>0</v>
      </c>
      <c r="N51" s="12">
        <f t="shared" si="22"/>
        <v>462620.90299199999</v>
      </c>
      <c r="O51" s="29">
        <f t="shared" si="21"/>
        <v>7247727.4802080002</v>
      </c>
      <c r="P51" s="29"/>
      <c r="Q51" s="22">
        <v>4330239</v>
      </c>
      <c r="R51" s="23" t="s">
        <v>43</v>
      </c>
    </row>
    <row r="52" spans="1:18" x14ac:dyDescent="0.2">
      <c r="A52" s="25">
        <v>8</v>
      </c>
      <c r="B52" s="24">
        <f t="shared" si="18"/>
        <v>1211128.78</v>
      </c>
      <c r="C52" s="33">
        <v>245943</v>
      </c>
      <c r="D52" s="34"/>
      <c r="E52" s="34"/>
      <c r="G52" s="29"/>
      <c r="H52" s="29">
        <f t="shared" si="19"/>
        <v>1457071.78</v>
      </c>
      <c r="I52" s="29">
        <f>ROUND(SUM(C52:G52)/2,0)</f>
        <v>122972</v>
      </c>
      <c r="J52" s="29">
        <f>+H52-I52</f>
        <v>1334099.78</v>
      </c>
      <c r="K52" s="32">
        <v>20</v>
      </c>
      <c r="L52" s="29">
        <v>0</v>
      </c>
      <c r="M52" s="29">
        <v>0</v>
      </c>
      <c r="N52" s="12">
        <f t="shared" si="22"/>
        <v>266820.05600000004</v>
      </c>
      <c r="O52" s="29">
        <f t="shared" si="21"/>
        <v>1190251.7239999999</v>
      </c>
      <c r="P52" s="29"/>
      <c r="Q52" s="22">
        <v>-113916</v>
      </c>
      <c r="R52" s="23" t="s">
        <v>45</v>
      </c>
    </row>
    <row r="53" spans="1:18" x14ac:dyDescent="0.2">
      <c r="A53" s="25">
        <v>10</v>
      </c>
      <c r="B53" s="24">
        <f t="shared" si="18"/>
        <v>778535.06499999994</v>
      </c>
      <c r="C53" s="29">
        <v>571466</v>
      </c>
      <c r="D53" s="29"/>
      <c r="E53" s="29"/>
      <c r="F53" s="13"/>
      <c r="G53" s="29">
        <v>-27122</v>
      </c>
      <c r="H53" s="29">
        <f t="shared" si="19"/>
        <v>1322879.0649999999</v>
      </c>
      <c r="I53" s="29">
        <f>MAX(ROUND(SUM(C53:G53)/2,0),0)</f>
        <v>272172</v>
      </c>
      <c r="J53" s="29">
        <f t="shared" ref="J53:J61" si="24">+H53-I53</f>
        <v>1050707.0649999999</v>
      </c>
      <c r="K53" s="32">
        <v>30</v>
      </c>
      <c r="L53" s="29">
        <v>0</v>
      </c>
      <c r="M53" s="34">
        <v>0</v>
      </c>
      <c r="N53" s="12">
        <f t="shared" si="22"/>
        <v>315212.11949999997</v>
      </c>
      <c r="O53" s="29">
        <f t="shared" si="21"/>
        <v>1007666.9454999999</v>
      </c>
      <c r="P53" s="29"/>
      <c r="Q53" s="51">
        <v>214012</v>
      </c>
      <c r="R53" s="23" t="s">
        <v>89</v>
      </c>
    </row>
    <row r="54" spans="1:18" x14ac:dyDescent="0.2">
      <c r="A54" s="25">
        <v>12</v>
      </c>
      <c r="B54" s="24">
        <f t="shared" si="18"/>
        <v>230736</v>
      </c>
      <c r="C54" s="29">
        <v>581912</v>
      </c>
      <c r="D54" s="29"/>
      <c r="E54" s="29"/>
      <c r="F54" s="13"/>
      <c r="G54" s="29"/>
      <c r="H54" s="29">
        <f t="shared" si="19"/>
        <v>812648</v>
      </c>
      <c r="I54" s="29">
        <f>ROUND(SUM(C54:G54)/2,0)</f>
        <v>290956</v>
      </c>
      <c r="J54" s="29">
        <f t="shared" si="24"/>
        <v>521692</v>
      </c>
      <c r="K54" s="32">
        <v>100</v>
      </c>
      <c r="L54" s="29">
        <v>0</v>
      </c>
      <c r="M54" s="34">
        <v>0</v>
      </c>
      <c r="N54" s="12">
        <f t="shared" si="22"/>
        <v>521692</v>
      </c>
      <c r="O54" s="29">
        <f t="shared" si="21"/>
        <v>290956</v>
      </c>
      <c r="P54" s="29"/>
      <c r="Q54" s="22">
        <f>SUM(Q51:Q53)</f>
        <v>4430335</v>
      </c>
    </row>
    <row r="55" spans="1:18" x14ac:dyDescent="0.2">
      <c r="A55" s="25">
        <v>17</v>
      </c>
      <c r="B55" s="24">
        <f t="shared" si="18"/>
        <v>25536.734400000001</v>
      </c>
      <c r="C55" s="29"/>
      <c r="D55" s="29"/>
      <c r="E55" s="29"/>
      <c r="F55" s="13"/>
      <c r="G55" s="29"/>
      <c r="H55" s="29">
        <f t="shared" si="19"/>
        <v>25536.734400000001</v>
      </c>
      <c r="I55" s="29">
        <f>MAX(ROUND(SUM(C55:G55)/2,0),0)</f>
        <v>0</v>
      </c>
      <c r="J55" s="29">
        <f t="shared" si="24"/>
        <v>25536.734400000001</v>
      </c>
      <c r="K55" s="32">
        <v>8</v>
      </c>
      <c r="L55" s="29">
        <v>0</v>
      </c>
      <c r="M55" s="34">
        <v>0</v>
      </c>
      <c r="N55" s="12">
        <f t="shared" si="22"/>
        <v>2042.938752</v>
      </c>
      <c r="O55" s="29">
        <f t="shared" si="21"/>
        <v>23493.795647999999</v>
      </c>
      <c r="P55" s="29"/>
    </row>
    <row r="56" spans="1:18" x14ac:dyDescent="0.2">
      <c r="A56" s="25">
        <v>45</v>
      </c>
      <c r="B56" s="24">
        <f t="shared" si="18"/>
        <v>1306.8</v>
      </c>
      <c r="C56" s="29"/>
      <c r="D56" s="29"/>
      <c r="E56" s="29"/>
      <c r="F56" s="13"/>
      <c r="G56" s="29"/>
      <c r="H56" s="29">
        <f t="shared" si="19"/>
        <v>1306.8</v>
      </c>
      <c r="I56" s="29">
        <f>MAX(ROUND(SUM(C56:G56)/2,0),0)</f>
        <v>0</v>
      </c>
      <c r="J56" s="29">
        <f t="shared" si="24"/>
        <v>1306.8</v>
      </c>
      <c r="K56" s="32">
        <v>45</v>
      </c>
      <c r="L56" s="29">
        <v>0</v>
      </c>
      <c r="M56" s="34">
        <v>0</v>
      </c>
      <c r="N56" s="12">
        <f t="shared" si="22"/>
        <v>588.05999999999995</v>
      </c>
      <c r="O56" s="29">
        <f t="shared" si="21"/>
        <v>718.74</v>
      </c>
      <c r="P56" s="29"/>
      <c r="Q56" s="22">
        <v>84293</v>
      </c>
      <c r="R56" s="23" t="s">
        <v>44</v>
      </c>
    </row>
    <row r="57" spans="1:18" x14ac:dyDescent="0.2">
      <c r="A57" s="25">
        <v>46</v>
      </c>
      <c r="B57" s="24">
        <f t="shared" si="18"/>
        <v>68032.579999999987</v>
      </c>
      <c r="C57" s="29"/>
      <c r="D57" s="29"/>
      <c r="E57" s="29"/>
      <c r="F57" s="13"/>
      <c r="G57" s="29"/>
      <c r="H57" s="29">
        <f t="shared" si="19"/>
        <v>68032.579999999987</v>
      </c>
      <c r="I57" s="29">
        <f>MAX(ROUND(SUM(C57:G57)/2,0),0)</f>
        <v>0</v>
      </c>
      <c r="J57" s="29">
        <f t="shared" si="24"/>
        <v>68032.579999999987</v>
      </c>
      <c r="K57" s="32">
        <v>30</v>
      </c>
      <c r="L57" s="29">
        <v>0</v>
      </c>
      <c r="M57" s="34">
        <v>0</v>
      </c>
      <c r="N57" s="12">
        <f t="shared" si="22"/>
        <v>20409.773999999998</v>
      </c>
      <c r="O57" s="29">
        <f t="shared" si="21"/>
        <v>47622.80599999999</v>
      </c>
      <c r="P57" s="29"/>
      <c r="Q57" s="51">
        <v>-3535</v>
      </c>
      <c r="R57" s="23" t="s">
        <v>46</v>
      </c>
    </row>
    <row r="58" spans="1:18" x14ac:dyDescent="0.2">
      <c r="A58" s="25" t="s">
        <v>59</v>
      </c>
      <c r="B58" s="24">
        <f t="shared" si="18"/>
        <v>1153679.2987500001</v>
      </c>
      <c r="C58" s="29"/>
      <c r="D58" s="29"/>
      <c r="E58" s="29"/>
      <c r="F58" s="29"/>
      <c r="G58" s="29"/>
      <c r="H58" s="29">
        <f t="shared" si="19"/>
        <v>1153679.2987500001</v>
      </c>
      <c r="I58" s="29">
        <f t="shared" ref="I58" si="25">ROUND(SUM(C58:G58)/2,0)</f>
        <v>0</v>
      </c>
      <c r="J58" s="29">
        <f t="shared" si="24"/>
        <v>1153679.2987500001</v>
      </c>
      <c r="K58" s="32">
        <v>7</v>
      </c>
      <c r="L58" s="29">
        <v>0</v>
      </c>
      <c r="M58" s="34">
        <v>0</v>
      </c>
      <c r="N58" s="12">
        <f>(B58+(C58+G58))*K58/100</f>
        <v>80757.55091250001</v>
      </c>
      <c r="O58" s="29">
        <f t="shared" si="21"/>
        <v>1072921.7478375002</v>
      </c>
      <c r="P58" s="29"/>
      <c r="Q58" s="22">
        <f>+Q56+Q57</f>
        <v>80758</v>
      </c>
    </row>
    <row r="59" spans="1:18" x14ac:dyDescent="0.2">
      <c r="A59" s="25">
        <v>47</v>
      </c>
      <c r="B59" s="24">
        <f t="shared" si="18"/>
        <v>15537354.110400001</v>
      </c>
      <c r="C59" s="36">
        <f>3215181+(1308453+651676)</f>
        <v>5175310</v>
      </c>
      <c r="D59" s="34"/>
      <c r="E59" s="34"/>
      <c r="F59" s="13"/>
      <c r="G59" s="34">
        <v>-229256</v>
      </c>
      <c r="H59" s="29">
        <f t="shared" si="19"/>
        <v>20483408.110399999</v>
      </c>
      <c r="I59" s="34">
        <f>ROUND(SUM(C59:G59)/2,0)</f>
        <v>2473027</v>
      </c>
      <c r="J59" s="34">
        <f t="shared" si="24"/>
        <v>18010381.110399999</v>
      </c>
      <c r="K59" s="37">
        <v>8</v>
      </c>
      <c r="L59" s="29">
        <v>0</v>
      </c>
      <c r="M59" s="34">
        <v>0</v>
      </c>
      <c r="N59" s="12">
        <f t="shared" ref="N59:N61" si="26">(B59+(C59+G59)/2)*K59/100</f>
        <v>1440830.4888319999</v>
      </c>
      <c r="O59" s="29">
        <f t="shared" si="21"/>
        <v>19042577.621567998</v>
      </c>
      <c r="P59" s="29"/>
    </row>
    <row r="60" spans="1:18" ht="13.5" thickBot="1" x14ac:dyDescent="0.25">
      <c r="A60" s="25">
        <v>50</v>
      </c>
      <c r="B60" s="24">
        <f t="shared" si="18"/>
        <v>752846.19624999992</v>
      </c>
      <c r="C60" s="34">
        <v>989775</v>
      </c>
      <c r="D60" s="34"/>
      <c r="E60" s="34"/>
      <c r="F60" s="34"/>
      <c r="G60" s="34"/>
      <c r="H60" s="29">
        <f t="shared" si="19"/>
        <v>1742621.19625</v>
      </c>
      <c r="I60" s="34">
        <f t="shared" ref="I60" si="27">ROUND(SUM(C60:G60)/2,0)</f>
        <v>494888</v>
      </c>
      <c r="J60" s="34">
        <f>+H60-I60</f>
        <v>1247733.19625</v>
      </c>
      <c r="K60" s="37">
        <v>55</v>
      </c>
      <c r="L60" s="29">
        <v>0</v>
      </c>
      <c r="M60" s="34">
        <v>0</v>
      </c>
      <c r="N60" s="12">
        <f t="shared" si="26"/>
        <v>686253.53293750004</v>
      </c>
      <c r="O60" s="29">
        <f t="shared" si="21"/>
        <v>1056367.6633124999</v>
      </c>
      <c r="P60" s="29"/>
      <c r="Q60" s="54">
        <f>+Q54+Q58</f>
        <v>4511093</v>
      </c>
      <c r="R60" s="23" t="s">
        <v>47</v>
      </c>
    </row>
    <row r="61" spans="1:18" ht="13.5" thickTop="1" x14ac:dyDescent="0.2">
      <c r="A61" s="25">
        <v>95</v>
      </c>
      <c r="B61" s="28">
        <f t="shared" si="18"/>
        <v>1302986</v>
      </c>
      <c r="C61" s="38">
        <v>1063032</v>
      </c>
      <c r="D61" s="38"/>
      <c r="E61" s="38"/>
      <c r="F61" s="38"/>
      <c r="G61" s="38">
        <v>-1302986</v>
      </c>
      <c r="H61" s="38">
        <f t="shared" si="19"/>
        <v>1063032</v>
      </c>
      <c r="I61" s="38">
        <f>MAX(ROUND(SUM(C61:G61)/2,0),0)</f>
        <v>0</v>
      </c>
      <c r="J61" s="38">
        <f t="shared" si="24"/>
        <v>1063032</v>
      </c>
      <c r="K61" s="45">
        <v>0</v>
      </c>
      <c r="L61" s="38">
        <v>0</v>
      </c>
      <c r="M61" s="38">
        <v>0</v>
      </c>
      <c r="N61" s="16">
        <f t="shared" si="26"/>
        <v>0</v>
      </c>
      <c r="O61" s="38">
        <f t="shared" si="21"/>
        <v>1063032</v>
      </c>
      <c r="P61" s="29"/>
    </row>
    <row r="62" spans="1:18" ht="13.5" thickBot="1" x14ac:dyDescent="0.25">
      <c r="A62" s="43"/>
      <c r="B62" s="17">
        <f>SUM(B49:B61)</f>
        <v>45335730.621799998</v>
      </c>
      <c r="C62" s="17">
        <f>SUM(C49:C61)</f>
        <v>8795019</v>
      </c>
      <c r="D62" s="17"/>
      <c r="E62" s="44">
        <f t="shared" ref="E62:J62" si="28">SUM(E49:E61)</f>
        <v>0</v>
      </c>
      <c r="F62" s="44">
        <f t="shared" si="28"/>
        <v>0</v>
      </c>
      <c r="G62" s="44">
        <f t="shared" si="28"/>
        <v>-1559364</v>
      </c>
      <c r="H62" s="44">
        <f t="shared" si="28"/>
        <v>52571385.621799998</v>
      </c>
      <c r="I62" s="44">
        <f t="shared" si="28"/>
        <v>3737806</v>
      </c>
      <c r="J62" s="44">
        <f t="shared" si="28"/>
        <v>48833579.621799998</v>
      </c>
      <c r="K62" s="44"/>
      <c r="L62" s="44">
        <f>SUM(L49:L61)</f>
        <v>0</v>
      </c>
      <c r="M62" s="44">
        <f>SUM(M49:M61)</f>
        <v>0</v>
      </c>
      <c r="N62" s="53">
        <f>SUM(N49:N61)</f>
        <v>4511092.5959700001</v>
      </c>
      <c r="O62" s="44">
        <f>SUM(O49:O61)</f>
        <v>48060293.025830001</v>
      </c>
    </row>
    <row r="63" spans="1:18" ht="13.5" thickTop="1" x14ac:dyDescent="0.2">
      <c r="B63" s="18"/>
      <c r="C63" s="14"/>
      <c r="D63" s="9"/>
      <c r="E63" s="9"/>
      <c r="G63" s="33"/>
      <c r="N63" s="55"/>
      <c r="O63" s="55"/>
    </row>
    <row r="64" spans="1:18" x14ac:dyDescent="0.2">
      <c r="A64" s="6" t="s">
        <v>55</v>
      </c>
      <c r="B64" s="41"/>
      <c r="E64" s="42"/>
      <c r="H64" s="41"/>
      <c r="O64" s="27"/>
    </row>
    <row r="65" spans="1:18" x14ac:dyDescent="0.2">
      <c r="A65" s="15"/>
      <c r="B65" s="41"/>
      <c r="E65" s="42"/>
      <c r="H65" s="41"/>
      <c r="O65" s="27"/>
      <c r="Q65" s="52" t="s">
        <v>16</v>
      </c>
    </row>
    <row r="66" spans="1:18" x14ac:dyDescent="0.2">
      <c r="A66" s="25">
        <v>1</v>
      </c>
      <c r="B66" s="24">
        <f t="shared" ref="B66:B78" si="29">O49</f>
        <v>13732676.522431999</v>
      </c>
      <c r="C66" s="29"/>
      <c r="E66" s="29"/>
      <c r="F66" s="29"/>
      <c r="G66" s="29"/>
      <c r="H66" s="29">
        <f t="shared" ref="H66:H78" si="30">B66+SUM(C66:G66)</f>
        <v>13732676.522431999</v>
      </c>
      <c r="I66" s="29">
        <f>ROUND(SUM(C66:G66)/2,0)</f>
        <v>0</v>
      </c>
      <c r="J66" s="29">
        <f t="shared" ref="J66:J68" si="31">+H66-I66</f>
        <v>13732676.522431999</v>
      </c>
      <c r="K66" s="11">
        <v>4</v>
      </c>
      <c r="L66" s="29">
        <v>0</v>
      </c>
      <c r="M66" s="29">
        <v>0</v>
      </c>
      <c r="N66" s="12">
        <f>(B66+(C66+G66)/2)*K66/100</f>
        <v>549307.06089728</v>
      </c>
      <c r="O66" s="29">
        <f t="shared" ref="O66:O78" si="32">+H66-N66</f>
        <v>13183369.46153472</v>
      </c>
      <c r="Q66" s="52" t="s">
        <v>54</v>
      </c>
    </row>
    <row r="67" spans="1:18" x14ac:dyDescent="0.2">
      <c r="A67" s="25" t="s">
        <v>30</v>
      </c>
      <c r="B67" s="24">
        <f t="shared" si="29"/>
        <v>2284279.9793239995</v>
      </c>
      <c r="C67" s="12">
        <v>283986</v>
      </c>
      <c r="D67" s="29"/>
      <c r="E67" s="29"/>
      <c r="F67" s="29"/>
      <c r="G67" s="29"/>
      <c r="H67" s="29">
        <f t="shared" si="30"/>
        <v>2568265.9793239995</v>
      </c>
      <c r="I67" s="29">
        <f>ROUND(SUM(C67:G67)/2,0)</f>
        <v>141993</v>
      </c>
      <c r="J67" s="29">
        <f t="shared" si="31"/>
        <v>2426272.9793239995</v>
      </c>
      <c r="K67" s="11">
        <v>6</v>
      </c>
      <c r="L67" s="29">
        <v>0</v>
      </c>
      <c r="M67" s="29">
        <v>0</v>
      </c>
      <c r="N67" s="12">
        <f t="shared" ref="N67:N74" si="33">(B67+(C67+G67)/2)*K67/100</f>
        <v>145576.37875943995</v>
      </c>
      <c r="O67" s="29">
        <f t="shared" si="32"/>
        <v>2422689.6005645595</v>
      </c>
    </row>
    <row r="68" spans="1:18" x14ac:dyDescent="0.2">
      <c r="A68" s="25">
        <v>2</v>
      </c>
      <c r="B68" s="24">
        <f t="shared" si="29"/>
        <v>7247727.4802080002</v>
      </c>
      <c r="C68" s="30"/>
      <c r="D68" s="30"/>
      <c r="E68" s="31"/>
      <c r="F68" s="29"/>
      <c r="G68" s="29"/>
      <c r="H68" s="29">
        <f t="shared" si="30"/>
        <v>7247727.4802080002</v>
      </c>
      <c r="I68" s="29">
        <f t="shared" ref="I68" si="34">ROUND(SUM(C68:G68)/2,0)</f>
        <v>0</v>
      </c>
      <c r="J68" s="29">
        <f t="shared" si="31"/>
        <v>7247727.4802080002</v>
      </c>
      <c r="K68" s="32">
        <v>6</v>
      </c>
      <c r="L68" s="29">
        <v>0</v>
      </c>
      <c r="M68" s="29">
        <v>0</v>
      </c>
      <c r="N68" s="12">
        <f t="shared" si="33"/>
        <v>434863.64881247998</v>
      </c>
      <c r="O68" s="29">
        <f t="shared" si="32"/>
        <v>6812863.8313955199</v>
      </c>
      <c r="Q68" s="22">
        <v>4590180</v>
      </c>
      <c r="R68" s="23" t="s">
        <v>48</v>
      </c>
    </row>
    <row r="69" spans="1:18" x14ac:dyDescent="0.2">
      <c r="A69" s="25">
        <v>8</v>
      </c>
      <c r="B69" s="24">
        <f t="shared" si="29"/>
        <v>1190251.7239999999</v>
      </c>
      <c r="C69" s="29">
        <v>236766</v>
      </c>
      <c r="D69" s="34"/>
      <c r="E69" s="34"/>
      <c r="G69" s="29"/>
      <c r="H69" s="29">
        <f t="shared" si="30"/>
        <v>1427017.7239999999</v>
      </c>
      <c r="I69" s="29">
        <f>ROUND(SUM(C69:G69)/2,0)</f>
        <v>118383</v>
      </c>
      <c r="J69" s="29">
        <f>+H69-I69</f>
        <v>1308634.7239999999</v>
      </c>
      <c r="K69" s="32">
        <v>20</v>
      </c>
      <c r="L69" s="29">
        <v>0</v>
      </c>
      <c r="M69" s="29">
        <v>0</v>
      </c>
      <c r="N69" s="12">
        <f t="shared" si="33"/>
        <v>261726.94479999997</v>
      </c>
      <c r="O69" s="29">
        <f t="shared" si="32"/>
        <v>1165290.7792</v>
      </c>
      <c r="Q69" s="22">
        <v>-75780</v>
      </c>
      <c r="R69" s="23" t="s">
        <v>45</v>
      </c>
    </row>
    <row r="70" spans="1:18" x14ac:dyDescent="0.2">
      <c r="A70" s="25">
        <v>10</v>
      </c>
      <c r="B70" s="24">
        <f t="shared" si="29"/>
        <v>1007666.9454999999</v>
      </c>
      <c r="C70" s="29">
        <v>1001755</v>
      </c>
      <c r="D70" s="29"/>
      <c r="E70" s="29"/>
      <c r="F70" s="13"/>
      <c r="G70" s="35">
        <f>-139183+83855</f>
        <v>-55328</v>
      </c>
      <c r="H70" s="29">
        <f t="shared" si="30"/>
        <v>1954093.9454999999</v>
      </c>
      <c r="I70" s="29">
        <f>MAX(ROUND(SUM(C70:G70)/2,0),0)</f>
        <v>473214</v>
      </c>
      <c r="J70" s="29">
        <f t="shared" ref="J70:J76" si="35">+H70-I70</f>
        <v>1480879.9454999999</v>
      </c>
      <c r="K70" s="32">
        <v>30</v>
      </c>
      <c r="L70" s="29">
        <v>0</v>
      </c>
      <c r="M70" s="34">
        <v>0</v>
      </c>
      <c r="N70" s="12">
        <f t="shared" si="33"/>
        <v>444264.13364999997</v>
      </c>
      <c r="O70" s="29">
        <f t="shared" si="32"/>
        <v>1509829.8118499999</v>
      </c>
      <c r="Q70" s="49">
        <v>355103</v>
      </c>
      <c r="R70" s="23" t="s">
        <v>89</v>
      </c>
    </row>
    <row r="71" spans="1:18" x14ac:dyDescent="0.2">
      <c r="A71" s="25">
        <v>12</v>
      </c>
      <c r="B71" s="24">
        <f t="shared" si="29"/>
        <v>290956</v>
      </c>
      <c r="C71" s="29">
        <v>441192</v>
      </c>
      <c r="D71" s="29"/>
      <c r="E71" s="29"/>
      <c r="F71" s="13"/>
      <c r="G71" s="29"/>
      <c r="H71" s="29">
        <f t="shared" si="30"/>
        <v>732148</v>
      </c>
      <c r="I71" s="29">
        <f>ROUND(SUM(C71:G71)/2,0)</f>
        <v>220596</v>
      </c>
      <c r="J71" s="29">
        <f t="shared" si="35"/>
        <v>511552</v>
      </c>
      <c r="K71" s="32">
        <v>100</v>
      </c>
      <c r="L71" s="29">
        <v>0</v>
      </c>
      <c r="M71" s="34">
        <v>0</v>
      </c>
      <c r="N71" s="12">
        <f t="shared" si="33"/>
        <v>511552</v>
      </c>
      <c r="O71" s="29">
        <f t="shared" si="32"/>
        <v>220596</v>
      </c>
      <c r="Q71" s="22">
        <f>ROUND(-46965*0.07,0)</f>
        <v>-3288</v>
      </c>
      <c r="R71" s="23" t="s">
        <v>50</v>
      </c>
    </row>
    <row r="72" spans="1:18" x14ac:dyDescent="0.2">
      <c r="A72" s="25">
        <v>17</v>
      </c>
      <c r="B72" s="24">
        <f t="shared" si="29"/>
        <v>23493.795647999999</v>
      </c>
      <c r="C72" s="29"/>
      <c r="D72" s="29"/>
      <c r="E72" s="29"/>
      <c r="F72" s="13"/>
      <c r="G72" s="29"/>
      <c r="H72" s="29">
        <f t="shared" si="30"/>
        <v>23493.795647999999</v>
      </c>
      <c r="I72" s="29">
        <f>MAX(ROUND(SUM(C72:G72)/2,0),0)</f>
        <v>0</v>
      </c>
      <c r="J72" s="29">
        <f t="shared" si="35"/>
        <v>23493.795647999999</v>
      </c>
      <c r="K72" s="32">
        <v>8</v>
      </c>
      <c r="L72" s="29">
        <v>0</v>
      </c>
      <c r="M72" s="34">
        <v>0</v>
      </c>
      <c r="N72" s="12">
        <f t="shared" si="33"/>
        <v>1879.50365184</v>
      </c>
      <c r="O72" s="29">
        <f t="shared" si="32"/>
        <v>21614.291996159998</v>
      </c>
      <c r="Q72" s="22">
        <f>ROUND(83855*0.5*0.3,0)</f>
        <v>12578</v>
      </c>
      <c r="R72" s="23" t="s">
        <v>61</v>
      </c>
    </row>
    <row r="73" spans="1:18" x14ac:dyDescent="0.2">
      <c r="A73" s="25">
        <v>45</v>
      </c>
      <c r="B73" s="24">
        <f t="shared" si="29"/>
        <v>718.74</v>
      </c>
      <c r="C73" s="29"/>
      <c r="D73" s="29"/>
      <c r="E73" s="29"/>
      <c r="F73" s="13"/>
      <c r="G73" s="29"/>
      <c r="H73" s="29">
        <f t="shared" si="30"/>
        <v>718.74</v>
      </c>
      <c r="I73" s="29">
        <f>MAX(ROUND(SUM(C73:G73)/2,0),0)</f>
        <v>0</v>
      </c>
      <c r="J73" s="29">
        <f t="shared" si="35"/>
        <v>718.74</v>
      </c>
      <c r="K73" s="32">
        <v>45</v>
      </c>
      <c r="L73" s="29">
        <v>0</v>
      </c>
      <c r="M73" s="34">
        <v>0</v>
      </c>
      <c r="N73" s="12">
        <f t="shared" si="33"/>
        <v>323.43299999999999</v>
      </c>
      <c r="O73" s="29">
        <f t="shared" si="32"/>
        <v>395.30700000000002</v>
      </c>
      <c r="Q73" s="22">
        <f>ROUND(-83855*0.5*0.08,0)</f>
        <v>-3354</v>
      </c>
      <c r="R73" s="23" t="s">
        <v>60</v>
      </c>
    </row>
    <row r="74" spans="1:18" ht="13.5" thickBot="1" x14ac:dyDescent="0.25">
      <c r="A74" s="25">
        <v>46</v>
      </c>
      <c r="B74" s="24">
        <f t="shared" si="29"/>
        <v>47622.80599999999</v>
      </c>
      <c r="C74" s="29"/>
      <c r="D74" s="29"/>
      <c r="E74" s="29"/>
      <c r="F74" s="13"/>
      <c r="G74" s="29"/>
      <c r="H74" s="29">
        <f t="shared" si="30"/>
        <v>47622.80599999999</v>
      </c>
      <c r="I74" s="29">
        <f>MAX(ROUND(SUM(C74:G74)/2,0),0)</f>
        <v>0</v>
      </c>
      <c r="J74" s="29">
        <f t="shared" si="35"/>
        <v>47622.80599999999</v>
      </c>
      <c r="K74" s="32">
        <v>30</v>
      </c>
      <c r="L74" s="29">
        <v>0</v>
      </c>
      <c r="M74" s="34">
        <v>0</v>
      </c>
      <c r="N74" s="12">
        <f t="shared" si="33"/>
        <v>14286.841799999997</v>
      </c>
      <c r="O74" s="29">
        <f t="shared" si="32"/>
        <v>33335.964199999995</v>
      </c>
      <c r="Q74" s="54">
        <f>SUM(Q68:Q73)</f>
        <v>4875439</v>
      </c>
      <c r="R74" s="23" t="s">
        <v>49</v>
      </c>
    </row>
    <row r="75" spans="1:18" ht="13.5" thickTop="1" x14ac:dyDescent="0.2">
      <c r="A75" s="25" t="s">
        <v>58</v>
      </c>
      <c r="B75" s="56">
        <f t="shared" si="29"/>
        <v>1072921.7478375002</v>
      </c>
      <c r="C75" s="29"/>
      <c r="D75" s="29"/>
      <c r="E75" s="29"/>
      <c r="F75" s="29"/>
      <c r="G75" s="29"/>
      <c r="H75" s="29">
        <f t="shared" si="30"/>
        <v>1072921.7478375002</v>
      </c>
      <c r="I75" s="29">
        <f t="shared" ref="I75" si="36">ROUND(SUM(C75:G75)/2,0)</f>
        <v>0</v>
      </c>
      <c r="J75" s="29">
        <f t="shared" si="35"/>
        <v>1072921.7478375002</v>
      </c>
      <c r="K75" s="32">
        <v>7</v>
      </c>
      <c r="L75" s="29">
        <v>0</v>
      </c>
      <c r="M75" s="34">
        <v>0</v>
      </c>
      <c r="N75" s="12">
        <f>(B75+(C75+G75))*K75/100</f>
        <v>75104.522348625003</v>
      </c>
      <c r="O75" s="29">
        <f t="shared" si="32"/>
        <v>997817.22548887518</v>
      </c>
    </row>
    <row r="76" spans="1:18" x14ac:dyDescent="0.2">
      <c r="A76" s="25">
        <v>47</v>
      </c>
      <c r="B76" s="24">
        <f t="shared" si="29"/>
        <v>19042577.621567998</v>
      </c>
      <c r="C76" s="36">
        <f>2681487+(1897082+96134)</f>
        <v>4674703</v>
      </c>
      <c r="D76" s="34"/>
      <c r="E76" s="34"/>
      <c r="F76" s="13"/>
      <c r="G76" s="36">
        <f>-120212-83855</f>
        <v>-204067</v>
      </c>
      <c r="H76" s="29">
        <f t="shared" si="30"/>
        <v>23513213.621567998</v>
      </c>
      <c r="I76" s="34">
        <f>ROUND(SUM(C76:G76)/2,0)</f>
        <v>2235318</v>
      </c>
      <c r="J76" s="34">
        <f t="shared" si="35"/>
        <v>21277895.621567998</v>
      </c>
      <c r="K76" s="37">
        <v>8</v>
      </c>
      <c r="L76" s="29">
        <v>0</v>
      </c>
      <c r="M76" s="34">
        <v>0</v>
      </c>
      <c r="N76" s="12">
        <f>(B76+(C76+G76)/2)*K76/100</f>
        <v>1702231.64972544</v>
      </c>
      <c r="O76" s="29">
        <f t="shared" si="32"/>
        <v>21810981.971842557</v>
      </c>
    </row>
    <row r="77" spans="1:18" x14ac:dyDescent="0.2">
      <c r="A77" s="25">
        <v>50</v>
      </c>
      <c r="B77" s="24">
        <f t="shared" si="29"/>
        <v>1056367.6633124999</v>
      </c>
      <c r="C77" s="34">
        <v>557534</v>
      </c>
      <c r="D77" s="34"/>
      <c r="E77" s="34"/>
      <c r="F77" s="34"/>
      <c r="G77" s="34"/>
      <c r="H77" s="29">
        <f t="shared" si="30"/>
        <v>1613901.6633124999</v>
      </c>
      <c r="I77" s="34">
        <f t="shared" ref="I77" si="37">ROUND(SUM(C77:G77)/2,0)</f>
        <v>278767</v>
      </c>
      <c r="J77" s="34">
        <f>+H77-I77</f>
        <v>1335134.6633124999</v>
      </c>
      <c r="K77" s="37">
        <v>55</v>
      </c>
      <c r="L77" s="29">
        <v>0</v>
      </c>
      <c r="M77" s="34">
        <v>0</v>
      </c>
      <c r="N77" s="12">
        <f t="shared" ref="N77:N78" si="38">(B77+(C77+G77)/2)*K77/100</f>
        <v>734324.06482187496</v>
      </c>
      <c r="O77" s="29">
        <f t="shared" si="32"/>
        <v>879577.59849062492</v>
      </c>
      <c r="Q77" s="58"/>
    </row>
    <row r="78" spans="1:18" x14ac:dyDescent="0.2">
      <c r="A78" s="25">
        <v>95</v>
      </c>
      <c r="B78" s="28">
        <f t="shared" si="29"/>
        <v>1063032</v>
      </c>
      <c r="C78" s="38">
        <v>1195973</v>
      </c>
      <c r="D78" s="38"/>
      <c r="E78" s="38"/>
      <c r="F78" s="38"/>
      <c r="G78" s="38">
        <v>-1063032</v>
      </c>
      <c r="H78" s="38">
        <f t="shared" si="30"/>
        <v>1195973</v>
      </c>
      <c r="I78" s="38">
        <f>MAX(ROUND(SUM(C78:G78)/2,0),0)</f>
        <v>66471</v>
      </c>
      <c r="J78" s="38">
        <f t="shared" ref="J78" si="39">+H78-I78</f>
        <v>1129502</v>
      </c>
      <c r="K78" s="45">
        <v>0</v>
      </c>
      <c r="L78" s="38">
        <v>0</v>
      </c>
      <c r="M78" s="38">
        <v>0</v>
      </c>
      <c r="N78" s="16">
        <f t="shared" si="38"/>
        <v>0</v>
      </c>
      <c r="O78" s="38">
        <f t="shared" si="32"/>
        <v>1195973</v>
      </c>
    </row>
    <row r="79" spans="1:18" ht="13.5" thickBot="1" x14ac:dyDescent="0.25">
      <c r="A79" s="43"/>
      <c r="B79" s="17">
        <f>SUM(B66:B78)</f>
        <v>48060293.025830001</v>
      </c>
      <c r="C79" s="17">
        <f>SUM(C66:C78)</f>
        <v>8391909</v>
      </c>
      <c r="D79" s="17"/>
      <c r="E79" s="44">
        <f t="shared" ref="E79:J79" si="40">SUM(E66:E78)</f>
        <v>0</v>
      </c>
      <c r="F79" s="44">
        <f t="shared" si="40"/>
        <v>0</v>
      </c>
      <c r="G79" s="44">
        <f t="shared" si="40"/>
        <v>-1322427</v>
      </c>
      <c r="H79" s="44">
        <f t="shared" si="40"/>
        <v>55129775.025830001</v>
      </c>
      <c r="I79" s="44">
        <f t="shared" si="40"/>
        <v>3534742</v>
      </c>
      <c r="J79" s="44">
        <f t="shared" si="40"/>
        <v>51595033.025830001</v>
      </c>
      <c r="K79" s="44"/>
      <c r="L79" s="44">
        <f>SUM(L66:L78)</f>
        <v>0</v>
      </c>
      <c r="M79" s="44">
        <f>SUM(M66:M78)</f>
        <v>0</v>
      </c>
      <c r="N79" s="53">
        <f>SUM(N66:N78)</f>
        <v>4875440.1822669804</v>
      </c>
      <c r="O79" s="44">
        <f>SUM(O66:O78)</f>
        <v>50254334.84356302</v>
      </c>
    </row>
    <row r="80" spans="1:18" ht="13.5" thickTop="1" x14ac:dyDescent="0.2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</row>
    <row r="81" spans="1:18" x14ac:dyDescent="0.2">
      <c r="A81" s="6" t="s">
        <v>56</v>
      </c>
      <c r="B81" s="41"/>
      <c r="C81" s="22"/>
      <c r="E81" s="42"/>
      <c r="H81" s="41"/>
      <c r="O81" s="27"/>
    </row>
    <row r="82" spans="1:18" x14ac:dyDescent="0.2">
      <c r="A82" s="15"/>
      <c r="B82" s="41"/>
      <c r="E82" s="42"/>
      <c r="H82" s="41"/>
      <c r="O82" s="27"/>
      <c r="Q82" s="52" t="s">
        <v>16</v>
      </c>
    </row>
    <row r="83" spans="1:18" x14ac:dyDescent="0.2">
      <c r="A83" s="25">
        <v>1</v>
      </c>
      <c r="B83" s="24">
        <f t="shared" ref="B83:B95" si="41">O66</f>
        <v>13183369.46153472</v>
      </c>
      <c r="C83" s="29"/>
      <c r="E83" s="29"/>
      <c r="F83" s="29"/>
      <c r="G83" s="29"/>
      <c r="H83" s="29">
        <f t="shared" ref="H83:H95" si="42">B83+SUM(C83:G83)</f>
        <v>13183369.46153472</v>
      </c>
      <c r="I83" s="29">
        <f>ROUND(SUM(C83:G83)/2,0)</f>
        <v>0</v>
      </c>
      <c r="J83" s="29">
        <f t="shared" ref="J83:J85" si="43">+H83-I83</f>
        <v>13183369.46153472</v>
      </c>
      <c r="K83" s="11">
        <v>4</v>
      </c>
      <c r="L83" s="29">
        <v>0</v>
      </c>
      <c r="M83" s="29">
        <v>0</v>
      </c>
      <c r="N83" s="12">
        <f>(B83+(C83+G83)/2)*K83/100</f>
        <v>527334.77846138878</v>
      </c>
      <c r="O83" s="29">
        <f t="shared" ref="O83:O95" si="44">+H83-N83</f>
        <v>12656034.683073331</v>
      </c>
      <c r="Q83" s="52" t="s">
        <v>57</v>
      </c>
    </row>
    <row r="84" spans="1:18" x14ac:dyDescent="0.2">
      <c r="A84" s="25" t="s">
        <v>30</v>
      </c>
      <c r="B84" s="24">
        <f t="shared" si="41"/>
        <v>2422689.6005645595</v>
      </c>
      <c r="C84" s="12">
        <v>537811</v>
      </c>
      <c r="D84" s="29"/>
      <c r="E84" s="29"/>
      <c r="F84" s="29"/>
      <c r="G84" s="29"/>
      <c r="H84" s="29">
        <f t="shared" si="42"/>
        <v>2960500.6005645595</v>
      </c>
      <c r="I84" s="29">
        <f>ROUND(SUM(C84:G84)/2,0)</f>
        <v>268906</v>
      </c>
      <c r="J84" s="29">
        <f t="shared" si="43"/>
        <v>2691594.6005645595</v>
      </c>
      <c r="K84" s="11">
        <v>6</v>
      </c>
      <c r="L84" s="29">
        <v>0</v>
      </c>
      <c r="M84" s="29">
        <v>0</v>
      </c>
      <c r="N84" s="12">
        <f t="shared" ref="N84:N90" si="45">(B84+(C84+G84)/2)*K84/100</f>
        <v>161495.70603387355</v>
      </c>
      <c r="O84" s="29">
        <f t="shared" si="44"/>
        <v>2799004.8945306861</v>
      </c>
    </row>
    <row r="85" spans="1:18" x14ac:dyDescent="0.2">
      <c r="A85" s="25">
        <v>2</v>
      </c>
      <c r="B85" s="24">
        <f t="shared" si="41"/>
        <v>6812863.8313955199</v>
      </c>
      <c r="C85" s="30"/>
      <c r="D85" s="30"/>
      <c r="E85" s="31"/>
      <c r="F85" s="29"/>
      <c r="G85" s="29"/>
      <c r="H85" s="29">
        <f t="shared" si="42"/>
        <v>6812863.8313955199</v>
      </c>
      <c r="I85" s="29">
        <f t="shared" ref="I85" si="46">ROUND(SUM(C85:G85)/2,0)</f>
        <v>0</v>
      </c>
      <c r="J85" s="29">
        <f t="shared" si="43"/>
        <v>6812863.8313955199</v>
      </c>
      <c r="K85" s="32">
        <v>6</v>
      </c>
      <c r="L85" s="29">
        <v>0</v>
      </c>
      <c r="M85" s="29">
        <v>0</v>
      </c>
      <c r="N85" s="12">
        <f t="shared" si="45"/>
        <v>408771.82988373114</v>
      </c>
      <c r="O85" s="29">
        <f t="shared" si="44"/>
        <v>6404092.0015117889</v>
      </c>
      <c r="Q85" s="22">
        <v>4604240</v>
      </c>
      <c r="R85" s="23" t="s">
        <v>48</v>
      </c>
    </row>
    <row r="86" spans="1:18" x14ac:dyDescent="0.2">
      <c r="A86" s="25">
        <v>8</v>
      </c>
      <c r="B86" s="24">
        <f t="shared" si="41"/>
        <v>1165290.7792</v>
      </c>
      <c r="C86" s="33">
        <v>159661</v>
      </c>
      <c r="D86" s="34"/>
      <c r="E86" s="34"/>
      <c r="G86" s="29"/>
      <c r="H86" s="29">
        <f t="shared" si="42"/>
        <v>1324951.7792</v>
      </c>
      <c r="I86" s="29">
        <f>ROUND(SUM(C86:G86)/2,0)</f>
        <v>79831</v>
      </c>
      <c r="J86" s="29">
        <f>+H86-I86</f>
        <v>1245120.7792</v>
      </c>
      <c r="K86" s="32">
        <v>20</v>
      </c>
      <c r="L86" s="29">
        <v>0</v>
      </c>
      <c r="M86" s="29">
        <v>0</v>
      </c>
      <c r="N86" s="12">
        <f t="shared" si="45"/>
        <v>249024.25584</v>
      </c>
      <c r="O86" s="29">
        <f t="shared" si="44"/>
        <v>1075927.52336</v>
      </c>
      <c r="Q86" s="22">
        <v>-46499</v>
      </c>
      <c r="R86" s="23" t="s">
        <v>45</v>
      </c>
    </row>
    <row r="87" spans="1:18" x14ac:dyDescent="0.2">
      <c r="A87" s="25">
        <v>10</v>
      </c>
      <c r="B87" s="24">
        <f t="shared" si="41"/>
        <v>1509829.8118499999</v>
      </c>
      <c r="C87" s="29">
        <v>600856</v>
      </c>
      <c r="D87" s="29"/>
      <c r="E87" s="29"/>
      <c r="F87" s="13"/>
      <c r="G87" s="29">
        <v>-53704</v>
      </c>
      <c r="H87" s="29">
        <f t="shared" si="42"/>
        <v>2056981.8118499999</v>
      </c>
      <c r="I87" s="29">
        <f>MAX(ROUND(SUM(C87:G87)/2,0),0)</f>
        <v>273576</v>
      </c>
      <c r="J87" s="29">
        <f t="shared" ref="J87:J93" si="47">+H87-I87</f>
        <v>1783405.8118499999</v>
      </c>
      <c r="K87" s="32">
        <v>30</v>
      </c>
      <c r="L87" s="29">
        <v>0</v>
      </c>
      <c r="M87" s="34">
        <v>0</v>
      </c>
      <c r="N87" s="12">
        <f t="shared" si="45"/>
        <v>535021.74355499994</v>
      </c>
      <c r="O87" s="29">
        <f t="shared" si="44"/>
        <v>1521960.0682950001</v>
      </c>
      <c r="Q87" s="49">
        <v>502732</v>
      </c>
      <c r="R87" s="23" t="s">
        <v>89</v>
      </c>
    </row>
    <row r="88" spans="1:18" x14ac:dyDescent="0.2">
      <c r="A88" s="25">
        <v>12</v>
      </c>
      <c r="B88" s="24">
        <f t="shared" si="41"/>
        <v>220596</v>
      </c>
      <c r="C88" s="29">
        <v>513785</v>
      </c>
      <c r="D88" s="29"/>
      <c r="E88" s="29"/>
      <c r="F88" s="13"/>
      <c r="G88" s="29"/>
      <c r="H88" s="29">
        <f t="shared" si="42"/>
        <v>734381</v>
      </c>
      <c r="I88" s="29">
        <f>ROUND(SUM(C88:G88)/2,0)</f>
        <v>256893</v>
      </c>
      <c r="J88" s="29">
        <f t="shared" si="47"/>
        <v>477488</v>
      </c>
      <c r="K88" s="32">
        <v>100</v>
      </c>
      <c r="L88" s="29">
        <v>0</v>
      </c>
      <c r="M88" s="34">
        <v>0</v>
      </c>
      <c r="N88" s="12">
        <f t="shared" si="45"/>
        <v>477488.5</v>
      </c>
      <c r="O88" s="29">
        <f t="shared" si="44"/>
        <v>256892.5</v>
      </c>
      <c r="Q88" s="22">
        <f>ROUND(-43677*0.07,0)</f>
        <v>-3057</v>
      </c>
      <c r="R88" s="23" t="s">
        <v>50</v>
      </c>
    </row>
    <row r="89" spans="1:18" x14ac:dyDescent="0.2">
      <c r="A89" s="25">
        <v>17</v>
      </c>
      <c r="B89" s="24">
        <f t="shared" si="41"/>
        <v>21614.291996159998</v>
      </c>
      <c r="C89" s="29"/>
      <c r="D89" s="29"/>
      <c r="E89" s="29"/>
      <c r="F89" s="13"/>
      <c r="G89" s="29"/>
      <c r="H89" s="29">
        <f t="shared" si="42"/>
        <v>21614.291996159998</v>
      </c>
      <c r="I89" s="29">
        <f>MAX(ROUND(SUM(C89:G89)/2,0),0)</f>
        <v>0</v>
      </c>
      <c r="J89" s="29">
        <f t="shared" si="47"/>
        <v>21614.291996159998</v>
      </c>
      <c r="K89" s="32">
        <v>8</v>
      </c>
      <c r="L89" s="29">
        <v>0</v>
      </c>
      <c r="M89" s="34">
        <v>0</v>
      </c>
      <c r="N89" s="12">
        <f t="shared" si="45"/>
        <v>1729.1433596927998</v>
      </c>
      <c r="O89" s="29">
        <f t="shared" si="44"/>
        <v>19885.148636467198</v>
      </c>
      <c r="Q89" s="22">
        <f>(83855-12578)*0.3</f>
        <v>21383.1</v>
      </c>
      <c r="R89" s="23" t="s">
        <v>62</v>
      </c>
    </row>
    <row r="90" spans="1:18" x14ac:dyDescent="0.2">
      <c r="A90" s="25">
        <v>45</v>
      </c>
      <c r="B90" s="24">
        <f t="shared" si="41"/>
        <v>395.30700000000002</v>
      </c>
      <c r="C90" s="29"/>
      <c r="D90" s="29"/>
      <c r="E90" s="29"/>
      <c r="F90" s="13"/>
      <c r="G90" s="29"/>
      <c r="H90" s="29">
        <f t="shared" si="42"/>
        <v>395.30700000000002</v>
      </c>
      <c r="I90" s="29">
        <f>MAX(ROUND(SUM(C90:G90)/2,0),0)</f>
        <v>0</v>
      </c>
      <c r="J90" s="29">
        <f t="shared" si="47"/>
        <v>395.30700000000002</v>
      </c>
      <c r="K90" s="32">
        <v>45</v>
      </c>
      <c r="L90" s="29">
        <v>0</v>
      </c>
      <c r="M90" s="34">
        <v>0</v>
      </c>
      <c r="N90" s="12">
        <f t="shared" si="45"/>
        <v>177.88815000000002</v>
      </c>
      <c r="O90" s="29">
        <f t="shared" si="44"/>
        <v>217.41884999999999</v>
      </c>
      <c r="Q90" s="22">
        <f>(-83855+3354)*0.08</f>
        <v>-6440.08</v>
      </c>
      <c r="R90" s="23" t="s">
        <v>63</v>
      </c>
    </row>
    <row r="91" spans="1:18" ht="13.5" thickBot="1" x14ac:dyDescent="0.25">
      <c r="A91" s="25">
        <v>46</v>
      </c>
      <c r="B91" s="24">
        <f t="shared" si="41"/>
        <v>33335.964199999995</v>
      </c>
      <c r="C91" s="29"/>
      <c r="D91" s="29"/>
      <c r="E91" s="29"/>
      <c r="F91" s="13"/>
      <c r="G91" s="29"/>
      <c r="H91" s="29">
        <f t="shared" si="42"/>
        <v>33335.964199999995</v>
      </c>
      <c r="I91" s="29">
        <f>MAX(ROUND(SUM(C91:G91)/2,0),0)</f>
        <v>0</v>
      </c>
      <c r="J91" s="29">
        <f t="shared" si="47"/>
        <v>33335.964199999995</v>
      </c>
      <c r="K91" s="32">
        <v>30</v>
      </c>
      <c r="L91" s="29">
        <v>0</v>
      </c>
      <c r="M91" s="34">
        <v>0</v>
      </c>
      <c r="N91" s="12">
        <f>(B91+(C91+G91)/2)*K91/100+1</f>
        <v>10001.789259999998</v>
      </c>
      <c r="O91" s="29">
        <f t="shared" si="44"/>
        <v>23334.174939999997</v>
      </c>
      <c r="Q91" s="54">
        <f>SUM(Q85:Q90)</f>
        <v>5072359.0199999996</v>
      </c>
      <c r="R91" s="23" t="s">
        <v>49</v>
      </c>
    </row>
    <row r="92" spans="1:18" ht="13.5" thickTop="1" x14ac:dyDescent="0.2">
      <c r="A92" s="25">
        <v>14.1</v>
      </c>
      <c r="B92" s="24">
        <f t="shared" si="41"/>
        <v>997817.22548887518</v>
      </c>
      <c r="C92" s="29"/>
      <c r="D92" s="29"/>
      <c r="E92" s="29"/>
      <c r="F92" s="29"/>
      <c r="G92" s="29"/>
      <c r="H92" s="29">
        <f t="shared" si="42"/>
        <v>997817.22548887518</v>
      </c>
      <c r="I92" s="29">
        <f t="shared" ref="I92" si="48">ROUND(SUM(C92:G92)/2,0)</f>
        <v>0</v>
      </c>
      <c r="J92" s="29">
        <f t="shared" si="47"/>
        <v>997817.22548887518</v>
      </c>
      <c r="K92" s="32">
        <v>7</v>
      </c>
      <c r="L92" s="29">
        <v>0</v>
      </c>
      <c r="M92" s="34">
        <v>0</v>
      </c>
      <c r="N92" s="12">
        <f>(B92+(C92+G92))*K92/100</f>
        <v>69847.205784221267</v>
      </c>
      <c r="O92" s="29">
        <f t="shared" si="44"/>
        <v>927970.01970465388</v>
      </c>
    </row>
    <row r="93" spans="1:18" x14ac:dyDescent="0.2">
      <c r="A93" s="25">
        <v>47</v>
      </c>
      <c r="B93" s="24">
        <f t="shared" si="41"/>
        <v>21810981.971842557</v>
      </c>
      <c r="C93" s="36">
        <f>3170009+(2311802+94090)</f>
        <v>5575901</v>
      </c>
      <c r="D93" s="34"/>
      <c r="E93" s="34"/>
      <c r="F93" s="13"/>
      <c r="G93" s="34">
        <v>-43214</v>
      </c>
      <c r="H93" s="29">
        <f t="shared" si="42"/>
        <v>27343668.971842557</v>
      </c>
      <c r="I93" s="34">
        <f>ROUND(SUM(C93:G93)/2,0)</f>
        <v>2766344</v>
      </c>
      <c r="J93" s="34">
        <f t="shared" si="47"/>
        <v>24577324.971842557</v>
      </c>
      <c r="K93" s="37">
        <v>8</v>
      </c>
      <c r="L93" s="29">
        <v>0</v>
      </c>
      <c r="M93" s="34">
        <v>0</v>
      </c>
      <c r="N93" s="12">
        <f t="shared" ref="N93:N95" si="49">(B93+(C93+G93)/2)*K93/100</f>
        <v>1966186.0377474045</v>
      </c>
      <c r="O93" s="29">
        <f t="shared" si="44"/>
        <v>25377482.934095152</v>
      </c>
      <c r="Q93" s="58"/>
    </row>
    <row r="94" spans="1:18" x14ac:dyDescent="0.2">
      <c r="A94" s="25">
        <v>50</v>
      </c>
      <c r="B94" s="24">
        <f t="shared" si="41"/>
        <v>879577.59849062492</v>
      </c>
      <c r="C94" s="34">
        <v>660047</v>
      </c>
      <c r="D94" s="34"/>
      <c r="E94" s="34"/>
      <c r="F94" s="34"/>
      <c r="G94" s="34"/>
      <c r="H94" s="29">
        <f t="shared" si="42"/>
        <v>1539624.5984906249</v>
      </c>
      <c r="I94" s="34">
        <f t="shared" ref="I94" si="50">ROUND(SUM(C94:G94)/2,0)</f>
        <v>330024</v>
      </c>
      <c r="J94" s="34">
        <f>+H94-I94</f>
        <v>1209600.5984906249</v>
      </c>
      <c r="K94" s="37">
        <v>55</v>
      </c>
      <c r="L94" s="29">
        <v>0</v>
      </c>
      <c r="M94" s="34">
        <v>0</v>
      </c>
      <c r="N94" s="12">
        <f t="shared" si="49"/>
        <v>665280.60416984372</v>
      </c>
      <c r="O94" s="29">
        <f t="shared" si="44"/>
        <v>874343.9943207812</v>
      </c>
    </row>
    <row r="95" spans="1:18" x14ac:dyDescent="0.2">
      <c r="A95" s="25">
        <v>95</v>
      </c>
      <c r="B95" s="28">
        <f t="shared" si="41"/>
        <v>1195973</v>
      </c>
      <c r="C95" s="38">
        <v>1207922</v>
      </c>
      <c r="D95" s="38"/>
      <c r="E95" s="38"/>
      <c r="F95" s="38"/>
      <c r="G95" s="38">
        <v>-1195973</v>
      </c>
      <c r="H95" s="38">
        <f t="shared" si="42"/>
        <v>1207922</v>
      </c>
      <c r="I95" s="38">
        <f>MAX(ROUND(SUM(C95:G95)/2,0),0)</f>
        <v>5975</v>
      </c>
      <c r="J95" s="38">
        <f t="shared" ref="J95" si="51">+H95-I95</f>
        <v>1201947</v>
      </c>
      <c r="K95" s="45">
        <v>0</v>
      </c>
      <c r="L95" s="38">
        <v>0</v>
      </c>
      <c r="M95" s="38">
        <v>0</v>
      </c>
      <c r="N95" s="16">
        <f t="shared" si="49"/>
        <v>0</v>
      </c>
      <c r="O95" s="38">
        <f t="shared" si="44"/>
        <v>1207922</v>
      </c>
    </row>
    <row r="96" spans="1:18" ht="13.5" thickBot="1" x14ac:dyDescent="0.25">
      <c r="A96" s="43"/>
      <c r="B96" s="17">
        <f>SUM(B83:B95)</f>
        <v>50254334.84356302</v>
      </c>
      <c r="C96" s="17">
        <f>SUM(C83:C95)</f>
        <v>9255983</v>
      </c>
      <c r="D96" s="17"/>
      <c r="E96" s="44">
        <f t="shared" ref="E96:J96" si="52">SUM(E83:E95)</f>
        <v>0</v>
      </c>
      <c r="F96" s="44">
        <f t="shared" si="52"/>
        <v>0</v>
      </c>
      <c r="G96" s="44">
        <f t="shared" si="52"/>
        <v>-1292891</v>
      </c>
      <c r="H96" s="44">
        <f t="shared" si="52"/>
        <v>58217426.84356302</v>
      </c>
      <c r="I96" s="44">
        <f t="shared" si="52"/>
        <v>3981549</v>
      </c>
      <c r="J96" s="44">
        <f t="shared" si="52"/>
        <v>54235877.84356302</v>
      </c>
      <c r="K96" s="44"/>
      <c r="L96" s="44">
        <f>SUM(L83:L95)</f>
        <v>0</v>
      </c>
      <c r="M96" s="44">
        <f>SUM(M83:M95)</f>
        <v>0</v>
      </c>
      <c r="N96" s="53">
        <f>SUM(N83:N95)</f>
        <v>5072359.4822451556</v>
      </c>
      <c r="O96" s="44">
        <f>SUM(O83:O95)</f>
        <v>53145067.361317858</v>
      </c>
    </row>
    <row r="97" spans="2:15" ht="13.5" thickTop="1" x14ac:dyDescent="0.2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</row>
    <row r="98" spans="2:15" x14ac:dyDescent="0.2">
      <c r="C98" s="24"/>
      <c r="O98" s="22"/>
    </row>
    <row r="99" spans="2:15" x14ac:dyDescent="0.2">
      <c r="O99" s="22"/>
    </row>
    <row r="100" spans="2:15" x14ac:dyDescent="0.2">
      <c r="C100" s="24"/>
      <c r="O100" s="22"/>
    </row>
    <row r="101" spans="2:15" x14ac:dyDescent="0.2">
      <c r="O101" s="22"/>
    </row>
    <row r="102" spans="2:15" x14ac:dyDescent="0.2">
      <c r="O102" s="22"/>
    </row>
    <row r="103" spans="2:15" x14ac:dyDescent="0.2">
      <c r="O103" s="22"/>
    </row>
    <row r="104" spans="2:15" x14ac:dyDescent="0.2">
      <c r="O104" s="22"/>
    </row>
    <row r="105" spans="2:15" x14ac:dyDescent="0.2">
      <c r="O105" s="22"/>
    </row>
    <row r="106" spans="2:15" x14ac:dyDescent="0.2">
      <c r="O106" s="22"/>
    </row>
    <row r="107" spans="2:15" x14ac:dyDescent="0.2">
      <c r="O107" s="22"/>
    </row>
    <row r="108" spans="2:15" x14ac:dyDescent="0.2">
      <c r="O108" s="22"/>
    </row>
    <row r="109" spans="2:15" x14ac:dyDescent="0.2">
      <c r="O109" s="22"/>
    </row>
    <row r="110" spans="2:15" x14ac:dyDescent="0.2">
      <c r="O110" s="22"/>
    </row>
    <row r="111" spans="2:15" x14ac:dyDescent="0.2">
      <c r="O111" s="22"/>
    </row>
    <row r="112" spans="2:15" x14ac:dyDescent="0.2">
      <c r="O112" s="22"/>
    </row>
    <row r="113" spans="1:18" x14ac:dyDescent="0.2">
      <c r="O113" s="22"/>
    </row>
    <row r="114" spans="1:18" x14ac:dyDescent="0.2">
      <c r="O114" s="22"/>
    </row>
    <row r="115" spans="1:18" x14ac:dyDescent="0.2">
      <c r="O115" s="22"/>
    </row>
    <row r="116" spans="1:18" x14ac:dyDescent="0.2">
      <c r="O116" s="22"/>
    </row>
    <row r="117" spans="1:18" x14ac:dyDescent="0.2">
      <c r="O117" s="22"/>
    </row>
    <row r="118" spans="1:18" x14ac:dyDescent="0.2">
      <c r="O118" s="22"/>
    </row>
    <row r="119" spans="1:18" x14ac:dyDescent="0.2">
      <c r="O119" s="22"/>
    </row>
    <row r="120" spans="1:18" x14ac:dyDescent="0.2">
      <c r="O120" s="22"/>
    </row>
    <row r="121" spans="1:18" x14ac:dyDescent="0.2">
      <c r="O121" s="22"/>
    </row>
    <row r="122" spans="1:18" x14ac:dyDescent="0.2">
      <c r="O122" s="22"/>
    </row>
    <row r="123" spans="1:18" x14ac:dyDescent="0.2">
      <c r="O123" s="22"/>
    </row>
    <row r="124" spans="1:18" x14ac:dyDescent="0.2">
      <c r="A124" s="6" t="s">
        <v>34</v>
      </c>
      <c r="B124" s="41"/>
      <c r="E124" s="42"/>
      <c r="H124" s="41"/>
      <c r="O124" s="27"/>
    </row>
    <row r="125" spans="1:18" x14ac:dyDescent="0.2">
      <c r="A125" s="15"/>
      <c r="B125" s="41"/>
      <c r="E125" s="42"/>
      <c r="H125" s="41"/>
      <c r="O125" s="27"/>
    </row>
    <row r="126" spans="1:18" x14ac:dyDescent="0.2">
      <c r="A126" s="25">
        <v>1</v>
      </c>
      <c r="B126" s="24">
        <f>O83</f>
        <v>12656034.683073331</v>
      </c>
      <c r="C126" s="29"/>
      <c r="E126" s="29"/>
      <c r="F126" s="29"/>
      <c r="G126" s="29"/>
      <c r="H126" s="29">
        <f t="shared" ref="H126:H139" si="53">B126+SUM(C126:G126)</f>
        <v>12656034.683073331</v>
      </c>
      <c r="I126" s="29">
        <f>ROUND(SUM(C126:G126)/2,0)</f>
        <v>0</v>
      </c>
      <c r="J126" s="29">
        <f t="shared" ref="J126:J128" si="54">+H126-I126</f>
        <v>12656034.683073331</v>
      </c>
      <c r="K126" s="11">
        <v>4</v>
      </c>
      <c r="L126" s="29">
        <v>0</v>
      </c>
      <c r="M126" s="29">
        <v>0</v>
      </c>
      <c r="N126" s="12">
        <f>(B126+(C126+G126)*1.5)*K126/100</f>
        <v>506241.38732293324</v>
      </c>
      <c r="O126" s="29">
        <f t="shared" ref="O126:O139" si="55">+H126-N126</f>
        <v>12149793.295750398</v>
      </c>
      <c r="Q126" s="52" t="s">
        <v>64</v>
      </c>
    </row>
    <row r="127" spans="1:18" x14ac:dyDescent="0.2">
      <c r="A127" s="25" t="s">
        <v>30</v>
      </c>
      <c r="B127" s="24">
        <f>O84</f>
        <v>2799004.8945306861</v>
      </c>
      <c r="C127" s="12">
        <v>276177</v>
      </c>
      <c r="D127" s="29"/>
      <c r="E127" s="29"/>
      <c r="F127" s="29"/>
      <c r="G127" s="29"/>
      <c r="H127" s="29">
        <f t="shared" si="53"/>
        <v>3075181.8945306861</v>
      </c>
      <c r="I127" s="29">
        <f>ROUND(SUM(C127:G127)/2,0)</f>
        <v>138089</v>
      </c>
      <c r="J127" s="29">
        <f t="shared" si="54"/>
        <v>2937092.8945306861</v>
      </c>
      <c r="K127" s="11">
        <v>6</v>
      </c>
      <c r="L127" s="29">
        <v>0</v>
      </c>
      <c r="M127" s="29">
        <v>0</v>
      </c>
      <c r="N127" s="12">
        <f t="shared" ref="N127:N139" si="56">(B127+(C127+G127)*1.5)*K127/100</f>
        <v>192796.22367184117</v>
      </c>
      <c r="O127" s="29">
        <f t="shared" si="55"/>
        <v>2882385.6708588451</v>
      </c>
    </row>
    <row r="128" spans="1:18" x14ac:dyDescent="0.2">
      <c r="A128" s="25">
        <v>2</v>
      </c>
      <c r="B128" s="24">
        <f>O85</f>
        <v>6404092.0015117889</v>
      </c>
      <c r="C128" s="30"/>
      <c r="D128" s="30"/>
      <c r="E128" s="31"/>
      <c r="F128" s="29"/>
      <c r="G128" s="29"/>
      <c r="H128" s="29">
        <f t="shared" si="53"/>
        <v>6404092.0015117889</v>
      </c>
      <c r="I128" s="29">
        <f t="shared" ref="I128" si="57">ROUND(SUM(C128:G128)/2,0)</f>
        <v>0</v>
      </c>
      <c r="J128" s="29">
        <f t="shared" si="54"/>
        <v>6404092.0015117889</v>
      </c>
      <c r="K128" s="32">
        <v>6</v>
      </c>
      <c r="L128" s="29">
        <v>0</v>
      </c>
      <c r="M128" s="29">
        <v>0</v>
      </c>
      <c r="N128" s="12">
        <f t="shared" si="56"/>
        <v>384245.52009070734</v>
      </c>
      <c r="O128" s="29">
        <f t="shared" si="55"/>
        <v>6019846.4814210813</v>
      </c>
      <c r="Q128" s="22">
        <v>6545600</v>
      </c>
      <c r="R128" s="23" t="s">
        <v>48</v>
      </c>
    </row>
    <row r="129" spans="1:18" x14ac:dyDescent="0.2">
      <c r="A129" s="25">
        <v>8</v>
      </c>
      <c r="B129" s="24">
        <f>O86</f>
        <v>1075927.52336</v>
      </c>
      <c r="C129" s="33">
        <v>199738</v>
      </c>
      <c r="D129" s="34"/>
      <c r="E129" s="34"/>
      <c r="G129" s="29"/>
      <c r="H129" s="29">
        <f t="shared" si="53"/>
        <v>1275665.52336</v>
      </c>
      <c r="I129" s="29">
        <f>ROUND(SUM(C129:G129)/2,0)</f>
        <v>99869</v>
      </c>
      <c r="J129" s="29">
        <f>+H129-I129</f>
        <v>1175796.52336</v>
      </c>
      <c r="K129" s="32">
        <v>20</v>
      </c>
      <c r="L129" s="29">
        <v>0</v>
      </c>
      <c r="M129" s="29">
        <v>0</v>
      </c>
      <c r="N129" s="12">
        <f t="shared" si="56"/>
        <v>275106.90467199998</v>
      </c>
      <c r="O129" s="29">
        <f t="shared" si="55"/>
        <v>1000558.618688</v>
      </c>
      <c r="Q129" s="22">
        <f>ROUND(-40620*0.07,0)</f>
        <v>-2843</v>
      </c>
      <c r="R129" s="23" t="s">
        <v>50</v>
      </c>
    </row>
    <row r="130" spans="1:18" x14ac:dyDescent="0.2">
      <c r="A130" s="25">
        <v>10</v>
      </c>
      <c r="B130" s="24">
        <f>O87</f>
        <v>1521960.0682950001</v>
      </c>
      <c r="C130" s="29">
        <v>239984</v>
      </c>
      <c r="D130" s="29"/>
      <c r="E130" s="29"/>
      <c r="F130" s="13"/>
      <c r="G130" s="29"/>
      <c r="H130" s="29">
        <f t="shared" si="53"/>
        <v>1761944.0682950001</v>
      </c>
      <c r="I130" s="29">
        <f>MAX(ROUND(SUM(C130:G130)/2,0),0)</f>
        <v>119992</v>
      </c>
      <c r="J130" s="29">
        <f t="shared" ref="J130:J137" si="58">+H130-I130</f>
        <v>1641952.0682950001</v>
      </c>
      <c r="K130" s="32">
        <v>30</v>
      </c>
      <c r="L130" s="29">
        <v>0</v>
      </c>
      <c r="M130" s="34">
        <v>0</v>
      </c>
      <c r="N130" s="12">
        <f t="shared" si="56"/>
        <v>564580.82048849994</v>
      </c>
      <c r="O130" s="29">
        <f t="shared" si="55"/>
        <v>1197363.2478065002</v>
      </c>
      <c r="Q130" s="59">
        <f>(83855-12578)*0.3</f>
        <v>21383.1</v>
      </c>
      <c r="R130" s="23" t="s">
        <v>62</v>
      </c>
    </row>
    <row r="131" spans="1:18" x14ac:dyDescent="0.2">
      <c r="A131" s="25">
        <v>10.1</v>
      </c>
      <c r="B131" s="24">
        <v>0</v>
      </c>
      <c r="C131" s="29">
        <v>33900</v>
      </c>
      <c r="D131" s="29"/>
      <c r="E131" s="29"/>
      <c r="F131" s="13"/>
      <c r="G131" s="29"/>
      <c r="H131" s="29">
        <f t="shared" si="53"/>
        <v>33900</v>
      </c>
      <c r="I131" s="29">
        <f>MAX(ROUND(SUM(C131:G131)/2,0),0)</f>
        <v>16950</v>
      </c>
      <c r="J131" s="29">
        <f t="shared" si="58"/>
        <v>16950</v>
      </c>
      <c r="K131" s="32">
        <v>30</v>
      </c>
      <c r="L131" s="29">
        <v>0</v>
      </c>
      <c r="M131" s="34">
        <v>0</v>
      </c>
      <c r="N131" s="12">
        <f t="shared" si="56"/>
        <v>15255</v>
      </c>
      <c r="O131" s="29">
        <f t="shared" si="55"/>
        <v>18645</v>
      </c>
      <c r="Q131" s="59">
        <f>(-83855+3354)*0.08</f>
        <v>-6440.08</v>
      </c>
      <c r="R131" s="23" t="s">
        <v>63</v>
      </c>
    </row>
    <row r="132" spans="1:18" ht="13.5" thickBot="1" x14ac:dyDescent="0.25">
      <c r="A132" s="25">
        <v>12</v>
      </c>
      <c r="B132" s="24">
        <f t="shared" ref="B132:B139" si="59">O88</f>
        <v>256892.5</v>
      </c>
      <c r="C132" s="29">
        <v>659821</v>
      </c>
      <c r="D132" s="29"/>
      <c r="E132" s="29"/>
      <c r="F132" s="13"/>
      <c r="G132" s="29"/>
      <c r="H132" s="29">
        <f t="shared" si="53"/>
        <v>916713.5</v>
      </c>
      <c r="I132" s="29">
        <f>ROUND(SUM(C132:G132)/2,0)</f>
        <v>329911</v>
      </c>
      <c r="J132" s="29">
        <f t="shared" si="58"/>
        <v>586802.5</v>
      </c>
      <c r="K132" s="32">
        <v>100</v>
      </c>
      <c r="L132" s="29">
        <v>0</v>
      </c>
      <c r="M132" s="34">
        <v>0</v>
      </c>
      <c r="N132" s="12">
        <f>(B132+(C132))*K132/100</f>
        <v>916713.5</v>
      </c>
      <c r="O132" s="29">
        <f t="shared" si="55"/>
        <v>0</v>
      </c>
      <c r="Q132" s="54">
        <f>SUM(Q128:Q131)</f>
        <v>6557700.0199999996</v>
      </c>
      <c r="R132" s="23" t="s">
        <v>49</v>
      </c>
    </row>
    <row r="133" spans="1:18" ht="13.5" thickTop="1" x14ac:dyDescent="0.2">
      <c r="A133" s="25">
        <v>17</v>
      </c>
      <c r="B133" s="24">
        <f t="shared" si="59"/>
        <v>19885.148636467198</v>
      </c>
      <c r="C133" s="29"/>
      <c r="D133" s="29"/>
      <c r="E133" s="29"/>
      <c r="F133" s="13"/>
      <c r="G133" s="29"/>
      <c r="H133" s="29">
        <f t="shared" si="53"/>
        <v>19885.148636467198</v>
      </c>
      <c r="I133" s="29">
        <f>MAX(ROUND(SUM(C133:G133)/2,0),0)</f>
        <v>0</v>
      </c>
      <c r="J133" s="29">
        <f t="shared" si="58"/>
        <v>19885.148636467198</v>
      </c>
      <c r="K133" s="32">
        <v>8</v>
      </c>
      <c r="L133" s="29">
        <v>0</v>
      </c>
      <c r="M133" s="34">
        <v>0</v>
      </c>
      <c r="N133" s="12">
        <f t="shared" si="56"/>
        <v>1590.8118909173759</v>
      </c>
      <c r="O133" s="29">
        <f t="shared" si="55"/>
        <v>18294.336745549823</v>
      </c>
    </row>
    <row r="134" spans="1:18" x14ac:dyDescent="0.2">
      <c r="A134" s="25">
        <v>45</v>
      </c>
      <c r="B134" s="24">
        <f t="shared" si="59"/>
        <v>217.41884999999999</v>
      </c>
      <c r="C134" s="29"/>
      <c r="D134" s="29"/>
      <c r="E134" s="29"/>
      <c r="F134" s="13"/>
      <c r="G134" s="29"/>
      <c r="H134" s="29">
        <f t="shared" si="53"/>
        <v>217.41884999999999</v>
      </c>
      <c r="I134" s="29">
        <f>MAX(ROUND(SUM(C134:G134)/2,0),0)</f>
        <v>0</v>
      </c>
      <c r="J134" s="29">
        <f t="shared" si="58"/>
        <v>217.41884999999999</v>
      </c>
      <c r="K134" s="32">
        <v>45</v>
      </c>
      <c r="L134" s="29">
        <v>0</v>
      </c>
      <c r="M134" s="34">
        <v>0</v>
      </c>
      <c r="N134" s="12">
        <f t="shared" si="56"/>
        <v>97.838482499999998</v>
      </c>
      <c r="O134" s="29">
        <f t="shared" si="55"/>
        <v>119.58036749999999</v>
      </c>
    </row>
    <row r="135" spans="1:18" x14ac:dyDescent="0.2">
      <c r="A135" s="25">
        <v>46</v>
      </c>
      <c r="B135" s="24">
        <f t="shared" si="59"/>
        <v>23334.174939999997</v>
      </c>
      <c r="C135" s="29"/>
      <c r="D135" s="29"/>
      <c r="E135" s="29"/>
      <c r="F135" s="13"/>
      <c r="G135" s="29"/>
      <c r="H135" s="29">
        <f t="shared" si="53"/>
        <v>23334.174939999997</v>
      </c>
      <c r="I135" s="29">
        <f>MAX(ROUND(SUM(C135:G135)/2,0),0)</f>
        <v>0</v>
      </c>
      <c r="J135" s="29">
        <f t="shared" si="58"/>
        <v>23334.174939999997</v>
      </c>
      <c r="K135" s="32">
        <v>30</v>
      </c>
      <c r="L135" s="29">
        <v>0</v>
      </c>
      <c r="M135" s="34">
        <v>0</v>
      </c>
      <c r="N135" s="12">
        <f t="shared" si="56"/>
        <v>7000.252481999999</v>
      </c>
      <c r="O135" s="29">
        <f t="shared" si="55"/>
        <v>16333.922457999997</v>
      </c>
    </row>
    <row r="136" spans="1:18" x14ac:dyDescent="0.2">
      <c r="A136" s="25">
        <v>14.1</v>
      </c>
      <c r="B136" s="24">
        <f t="shared" si="59"/>
        <v>927970.01970465388</v>
      </c>
      <c r="C136" s="29"/>
      <c r="D136" s="29"/>
      <c r="E136" s="29"/>
      <c r="F136" s="29"/>
      <c r="G136" s="29"/>
      <c r="H136" s="29">
        <f t="shared" si="53"/>
        <v>927970.01970465388</v>
      </c>
      <c r="I136" s="29">
        <f t="shared" ref="I136" si="60">ROUND(SUM(C136:G136)/2,0)</f>
        <v>0</v>
      </c>
      <c r="J136" s="29">
        <f t="shared" si="58"/>
        <v>927970.01970465388</v>
      </c>
      <c r="K136" s="57">
        <v>7</v>
      </c>
      <c r="L136" s="29">
        <v>0</v>
      </c>
      <c r="M136" s="34">
        <v>0</v>
      </c>
      <c r="N136" s="12">
        <f t="shared" si="56"/>
        <v>64957.901379325769</v>
      </c>
      <c r="O136" s="29">
        <f t="shared" si="55"/>
        <v>863012.11832532811</v>
      </c>
    </row>
    <row r="137" spans="1:18" x14ac:dyDescent="0.2">
      <c r="A137" s="25">
        <v>47</v>
      </c>
      <c r="B137" s="24">
        <f t="shared" si="59"/>
        <v>25377482.934095152</v>
      </c>
      <c r="C137" s="34">
        <v>6106791</v>
      </c>
      <c r="D137" s="34"/>
      <c r="E137" s="34"/>
      <c r="F137" s="13"/>
      <c r="G137" s="34">
        <v>-33948</v>
      </c>
      <c r="H137" s="29">
        <f t="shared" si="53"/>
        <v>31450325.934095152</v>
      </c>
      <c r="I137" s="34">
        <f>ROUND(SUM(C137:G137)/2,0)</f>
        <v>3036422</v>
      </c>
      <c r="J137" s="34">
        <f t="shared" si="58"/>
        <v>28413903.934095152</v>
      </c>
      <c r="K137" s="37">
        <v>8</v>
      </c>
      <c r="L137" s="29">
        <v>0</v>
      </c>
      <c r="M137" s="34">
        <v>0</v>
      </c>
      <c r="N137" s="12">
        <f t="shared" si="56"/>
        <v>2758939.7947276123</v>
      </c>
      <c r="O137" s="29">
        <f t="shared" si="55"/>
        <v>28691386.139367539</v>
      </c>
    </row>
    <row r="138" spans="1:18" x14ac:dyDescent="0.2">
      <c r="A138" s="25">
        <v>50</v>
      </c>
      <c r="B138" s="24">
        <f t="shared" si="59"/>
        <v>874343.9943207812</v>
      </c>
      <c r="C138" s="34">
        <v>1114466</v>
      </c>
      <c r="D138" s="34"/>
      <c r="E138" s="34"/>
      <c r="F138" s="34"/>
      <c r="G138" s="34"/>
      <c r="H138" s="29">
        <f t="shared" si="53"/>
        <v>1988809.9943207812</v>
      </c>
      <c r="I138" s="34">
        <f t="shared" ref="I138" si="61">ROUND(SUM(C138:G138)/2,0)</f>
        <v>557233</v>
      </c>
      <c r="J138" s="34">
        <f>+H138-I138</f>
        <v>1431576.9943207812</v>
      </c>
      <c r="K138" s="37">
        <v>55</v>
      </c>
      <c r="L138" s="29">
        <v>0</v>
      </c>
      <c r="M138" s="34">
        <v>0</v>
      </c>
      <c r="N138" s="12">
        <f t="shared" si="56"/>
        <v>1400323.6468764297</v>
      </c>
      <c r="O138" s="29">
        <f t="shared" si="55"/>
        <v>588486.34744435153</v>
      </c>
    </row>
    <row r="139" spans="1:18" x14ac:dyDescent="0.2">
      <c r="A139" s="25">
        <v>95</v>
      </c>
      <c r="B139" s="28">
        <f t="shared" si="59"/>
        <v>1207922</v>
      </c>
      <c r="C139" s="38">
        <v>1420322</v>
      </c>
      <c r="D139" s="38"/>
      <c r="E139" s="38"/>
      <c r="F139" s="38"/>
      <c r="G139" s="38">
        <v>-1207922</v>
      </c>
      <c r="H139" s="38">
        <f t="shared" si="53"/>
        <v>1420322</v>
      </c>
      <c r="I139" s="38">
        <f>MAX(ROUND(SUM(C139:G139)/2,0),0)</f>
        <v>106200</v>
      </c>
      <c r="J139" s="38">
        <f t="shared" ref="J139" si="62">+H139-I139</f>
        <v>1314122</v>
      </c>
      <c r="K139" s="45">
        <v>0</v>
      </c>
      <c r="L139" s="38">
        <v>0</v>
      </c>
      <c r="M139" s="38">
        <v>0</v>
      </c>
      <c r="N139" s="16">
        <f t="shared" si="56"/>
        <v>0</v>
      </c>
      <c r="O139" s="38">
        <f t="shared" si="55"/>
        <v>1420322</v>
      </c>
    </row>
    <row r="140" spans="1:18" ht="13.5" thickBot="1" x14ac:dyDescent="0.25">
      <c r="A140" s="43"/>
      <c r="B140" s="17">
        <f>SUM(B126:B139)</f>
        <v>53145067.361317858</v>
      </c>
      <c r="C140" s="17">
        <f>SUM(C126:C139)</f>
        <v>10051199</v>
      </c>
      <c r="D140" s="17"/>
      <c r="E140" s="44">
        <f t="shared" ref="E140:J140" si="63">SUM(E126:E139)</f>
        <v>0</v>
      </c>
      <c r="F140" s="44">
        <f t="shared" si="63"/>
        <v>0</v>
      </c>
      <c r="G140" s="44">
        <f t="shared" si="63"/>
        <v>-1241870</v>
      </c>
      <c r="H140" s="44">
        <f t="shared" si="63"/>
        <v>61954396.361317858</v>
      </c>
      <c r="I140" s="44">
        <f t="shared" si="63"/>
        <v>4404666</v>
      </c>
      <c r="J140" s="44">
        <f t="shared" si="63"/>
        <v>57549730.361317858</v>
      </c>
      <c r="K140" s="44"/>
      <c r="L140" s="44">
        <f>SUM(L126:L139)</f>
        <v>0</v>
      </c>
      <c r="M140" s="44">
        <f>SUM(M126:M139)</f>
        <v>0</v>
      </c>
      <c r="N140" s="53">
        <f>SUM(N126:N139)</f>
        <v>7087849.6020847671</v>
      </c>
      <c r="O140" s="44">
        <f>SUM(O126:O139)</f>
        <v>54866546.759233087</v>
      </c>
    </row>
    <row r="141" spans="1:18" ht="13.5" thickTop="1" x14ac:dyDescent="0.2"/>
    <row r="142" spans="1:18" x14ac:dyDescent="0.2">
      <c r="A142" s="6" t="s">
        <v>41</v>
      </c>
      <c r="B142" s="41"/>
      <c r="E142" s="42"/>
      <c r="H142" s="41"/>
      <c r="O142" s="27"/>
    </row>
    <row r="143" spans="1:18" x14ac:dyDescent="0.2">
      <c r="A143" s="15"/>
      <c r="B143" s="41"/>
      <c r="E143" s="42"/>
      <c r="H143" s="41"/>
      <c r="O143" s="27"/>
    </row>
    <row r="144" spans="1:18" x14ac:dyDescent="0.2">
      <c r="A144" s="25">
        <v>1</v>
      </c>
      <c r="B144" s="24">
        <f>O126</f>
        <v>12149793.295750398</v>
      </c>
      <c r="C144" s="29"/>
      <c r="E144" s="29"/>
      <c r="F144" s="29"/>
      <c r="G144" s="29"/>
      <c r="H144" s="29">
        <f t="shared" ref="H144:H158" si="64">B144+SUM(C144:G144)</f>
        <v>12149793.295750398</v>
      </c>
      <c r="I144" s="29">
        <f>ROUND(SUM(C144:G144)/2,0)</f>
        <v>0</v>
      </c>
      <c r="J144" s="29">
        <f t="shared" ref="J144:J146" si="65">+H144-I144</f>
        <v>12149793.295750398</v>
      </c>
      <c r="K144" s="11">
        <v>4</v>
      </c>
      <c r="L144" s="29">
        <v>0</v>
      </c>
      <c r="M144" s="29">
        <v>0</v>
      </c>
      <c r="N144" s="12">
        <f>(B144+(C144+G144)*1.5)*K144/100</f>
        <v>485991.73183001595</v>
      </c>
      <c r="O144" s="29">
        <f t="shared" ref="O144:O158" si="66">+H144-N144</f>
        <v>11663801.563920382</v>
      </c>
    </row>
    <row r="145" spans="1:15" x14ac:dyDescent="0.2">
      <c r="A145" s="25" t="s">
        <v>30</v>
      </c>
      <c r="B145" s="24">
        <f t="shared" ref="B145:B149" si="67">O127</f>
        <v>2882385.6708588451</v>
      </c>
      <c r="C145" s="12">
        <v>192393</v>
      </c>
      <c r="D145" s="29"/>
      <c r="E145" s="29"/>
      <c r="F145" s="29"/>
      <c r="G145" s="29"/>
      <c r="H145" s="29">
        <f t="shared" si="64"/>
        <v>3074778.6708588451</v>
      </c>
      <c r="I145" s="29">
        <f>ROUND(SUM(C145:G145)/2,0)</f>
        <v>96197</v>
      </c>
      <c r="J145" s="29">
        <f t="shared" si="65"/>
        <v>2978581.6708588451</v>
      </c>
      <c r="K145" s="11">
        <v>6</v>
      </c>
      <c r="L145" s="29">
        <v>0</v>
      </c>
      <c r="M145" s="29">
        <v>0</v>
      </c>
      <c r="N145" s="12">
        <f t="shared" ref="N145:N150" si="68">(B145+(C145+G145)*1.5)*K145/100</f>
        <v>190258.51025153071</v>
      </c>
      <c r="O145" s="29">
        <f t="shared" si="66"/>
        <v>2884520.1606073142</v>
      </c>
    </row>
    <row r="146" spans="1:15" x14ac:dyDescent="0.2">
      <c r="A146" s="25">
        <v>2</v>
      </c>
      <c r="B146" s="24">
        <f t="shared" si="67"/>
        <v>6019846.4814210813</v>
      </c>
      <c r="C146" s="30"/>
      <c r="D146" s="30"/>
      <c r="E146" s="31"/>
      <c r="F146" s="29"/>
      <c r="G146" s="29"/>
      <c r="H146" s="29">
        <f t="shared" si="64"/>
        <v>6019846.4814210813</v>
      </c>
      <c r="I146" s="29">
        <f t="shared" ref="I146" si="69">ROUND(SUM(C146:G146)/2,0)</f>
        <v>0</v>
      </c>
      <c r="J146" s="29">
        <f t="shared" si="65"/>
        <v>6019846.4814210813</v>
      </c>
      <c r="K146" s="32">
        <v>6</v>
      </c>
      <c r="L146" s="29">
        <v>0</v>
      </c>
      <c r="M146" s="29">
        <v>0</v>
      </c>
      <c r="N146" s="12">
        <f t="shared" si="68"/>
        <v>361190.78888526483</v>
      </c>
      <c r="O146" s="29">
        <f t="shared" si="66"/>
        <v>5658655.6925358167</v>
      </c>
    </row>
    <row r="147" spans="1:15" x14ac:dyDescent="0.2">
      <c r="A147" s="25">
        <v>8</v>
      </c>
      <c r="B147" s="24">
        <f t="shared" si="67"/>
        <v>1000558.618688</v>
      </c>
      <c r="C147" s="33">
        <v>161589</v>
      </c>
      <c r="D147" s="34"/>
      <c r="E147" s="34"/>
      <c r="G147" s="29"/>
      <c r="H147" s="29">
        <f t="shared" si="64"/>
        <v>1162147.6186879999</v>
      </c>
      <c r="I147" s="29">
        <f>ROUND(SUM(C147:G147)/2,0)</f>
        <v>80795</v>
      </c>
      <c r="J147" s="29">
        <f>+H147-I147</f>
        <v>1081352.6186879999</v>
      </c>
      <c r="K147" s="32">
        <v>20</v>
      </c>
      <c r="L147" s="29">
        <v>0</v>
      </c>
      <c r="M147" s="29">
        <v>0</v>
      </c>
      <c r="N147" s="12">
        <f t="shared" si="68"/>
        <v>248588.42373760001</v>
      </c>
      <c r="O147" s="29">
        <f t="shared" si="66"/>
        <v>913559.19495039992</v>
      </c>
    </row>
    <row r="148" spans="1:15" x14ac:dyDescent="0.2">
      <c r="A148" s="25">
        <v>10</v>
      </c>
      <c r="B148" s="24">
        <f t="shared" si="67"/>
        <v>1197363.2478065002</v>
      </c>
      <c r="C148" s="29">
        <v>908168</v>
      </c>
      <c r="D148" s="29"/>
      <c r="E148" s="29"/>
      <c r="F148" s="13"/>
      <c r="G148" s="29">
        <v>-125950</v>
      </c>
      <c r="H148" s="29">
        <f t="shared" si="64"/>
        <v>1979581.2478065002</v>
      </c>
      <c r="I148" s="29">
        <f>MAX(ROUND(SUM(C148:G148)/2,0),0)</f>
        <v>391109</v>
      </c>
      <c r="J148" s="29">
        <f t="shared" ref="J148:J156" si="70">+H148-I148</f>
        <v>1588472.2478065002</v>
      </c>
      <c r="K148" s="32">
        <v>30</v>
      </c>
      <c r="L148" s="29">
        <v>0</v>
      </c>
      <c r="M148" s="34">
        <v>0</v>
      </c>
      <c r="N148" s="12">
        <f t="shared" si="68"/>
        <v>711207.07434195012</v>
      </c>
      <c r="O148" s="29">
        <f t="shared" si="66"/>
        <v>1268374.1734645502</v>
      </c>
    </row>
    <row r="149" spans="1:15" x14ac:dyDescent="0.2">
      <c r="A149" s="25">
        <v>10.1</v>
      </c>
      <c r="B149" s="24">
        <f t="shared" si="67"/>
        <v>18645</v>
      </c>
      <c r="C149" s="29"/>
      <c r="D149" s="29"/>
      <c r="E149" s="29"/>
      <c r="F149" s="13"/>
      <c r="G149" s="29"/>
      <c r="H149" s="29">
        <f t="shared" si="64"/>
        <v>18645</v>
      </c>
      <c r="I149" s="29">
        <f>MAX(ROUND(SUM(C149:G149)/2,0),0)</f>
        <v>0</v>
      </c>
      <c r="J149" s="29">
        <f t="shared" si="70"/>
        <v>18645</v>
      </c>
      <c r="K149" s="32">
        <v>30</v>
      </c>
      <c r="L149" s="29">
        <v>0</v>
      </c>
      <c r="M149" s="34">
        <v>0</v>
      </c>
      <c r="N149" s="12">
        <f t="shared" si="68"/>
        <v>5593.5</v>
      </c>
      <c r="O149" s="29">
        <f t="shared" si="66"/>
        <v>13051.5</v>
      </c>
    </row>
    <row r="150" spans="1:15" x14ac:dyDescent="0.2">
      <c r="A150" s="25">
        <v>10.1</v>
      </c>
      <c r="B150" s="24">
        <v>0</v>
      </c>
      <c r="C150" s="29">
        <v>33900</v>
      </c>
      <c r="D150" s="29"/>
      <c r="E150" s="29"/>
      <c r="F150" s="13"/>
      <c r="G150" s="29"/>
      <c r="H150" s="29">
        <f t="shared" si="64"/>
        <v>33900</v>
      </c>
      <c r="I150" s="29">
        <f>MAX(ROUND(SUM(C150:G150)/2,0),0)</f>
        <v>16950</v>
      </c>
      <c r="J150" s="29">
        <f t="shared" si="70"/>
        <v>16950</v>
      </c>
      <c r="K150" s="32">
        <v>30</v>
      </c>
      <c r="L150" s="29" t="s">
        <v>37</v>
      </c>
      <c r="M150" s="34">
        <v>0</v>
      </c>
      <c r="N150" s="12">
        <f t="shared" si="68"/>
        <v>15255</v>
      </c>
      <c r="O150" s="29">
        <f t="shared" si="66"/>
        <v>18645</v>
      </c>
    </row>
    <row r="151" spans="1:15" x14ac:dyDescent="0.2">
      <c r="A151" s="25">
        <v>12</v>
      </c>
      <c r="B151" s="24">
        <f t="shared" ref="B151:B158" si="71">O132</f>
        <v>0</v>
      </c>
      <c r="C151" s="29">
        <v>336234</v>
      </c>
      <c r="D151" s="29"/>
      <c r="E151" s="29"/>
      <c r="F151" s="13"/>
      <c r="G151" s="29"/>
      <c r="H151" s="29">
        <f t="shared" si="64"/>
        <v>336234</v>
      </c>
      <c r="I151" s="29">
        <f>ROUND(SUM(C151:G151)/2,0)</f>
        <v>168117</v>
      </c>
      <c r="J151" s="29">
        <f t="shared" si="70"/>
        <v>168117</v>
      </c>
      <c r="K151" s="32">
        <v>100</v>
      </c>
      <c r="L151" s="29">
        <v>0</v>
      </c>
      <c r="M151" s="34">
        <v>0</v>
      </c>
      <c r="N151" s="12">
        <f>(B151+(C151))*K151/100</f>
        <v>336234</v>
      </c>
      <c r="O151" s="29">
        <f t="shared" si="66"/>
        <v>0</v>
      </c>
    </row>
    <row r="152" spans="1:15" x14ac:dyDescent="0.2">
      <c r="A152" s="25">
        <v>17</v>
      </c>
      <c r="B152" s="24">
        <f t="shared" si="71"/>
        <v>18294.336745549823</v>
      </c>
      <c r="C152" s="29"/>
      <c r="D152" s="29"/>
      <c r="E152" s="29"/>
      <c r="F152" s="13"/>
      <c r="G152" s="29"/>
      <c r="H152" s="29">
        <f t="shared" si="64"/>
        <v>18294.336745549823</v>
      </c>
      <c r="I152" s="29">
        <f>MAX(ROUND(SUM(C152:G152)/2,0),0)</f>
        <v>0</v>
      </c>
      <c r="J152" s="29">
        <f t="shared" si="70"/>
        <v>18294.336745549823</v>
      </c>
      <c r="K152" s="32">
        <v>8</v>
      </c>
      <c r="L152" s="29">
        <v>0</v>
      </c>
      <c r="M152" s="34">
        <v>0</v>
      </c>
      <c r="N152" s="12">
        <f t="shared" ref="N152:N158" si="72">(B152+(C152+G152)*1.5)*K152/100</f>
        <v>1463.5469396439858</v>
      </c>
      <c r="O152" s="29">
        <f t="shared" si="66"/>
        <v>16830.789805905835</v>
      </c>
    </row>
    <row r="153" spans="1:15" x14ac:dyDescent="0.2">
      <c r="A153" s="25">
        <v>45</v>
      </c>
      <c r="B153" s="24">
        <f t="shared" si="71"/>
        <v>119.58036749999999</v>
      </c>
      <c r="C153" s="29"/>
      <c r="D153" s="29"/>
      <c r="E153" s="29"/>
      <c r="F153" s="13"/>
      <c r="G153" s="29"/>
      <c r="H153" s="29">
        <f t="shared" si="64"/>
        <v>119.58036749999999</v>
      </c>
      <c r="I153" s="29">
        <f>MAX(ROUND(SUM(C153:G153)/2,0),0)</f>
        <v>0</v>
      </c>
      <c r="J153" s="29">
        <f t="shared" si="70"/>
        <v>119.58036749999999</v>
      </c>
      <c r="K153" s="32">
        <v>45</v>
      </c>
      <c r="L153" s="29">
        <v>0</v>
      </c>
      <c r="M153" s="34">
        <v>0</v>
      </c>
      <c r="N153" s="12">
        <f t="shared" si="72"/>
        <v>53.811165375000002</v>
      </c>
      <c r="O153" s="29">
        <f t="shared" si="66"/>
        <v>65.769202124999993</v>
      </c>
    </row>
    <row r="154" spans="1:15" x14ac:dyDescent="0.2">
      <c r="A154" s="25">
        <v>46</v>
      </c>
      <c r="B154" s="24">
        <f t="shared" si="71"/>
        <v>16333.922457999997</v>
      </c>
      <c r="C154" s="29"/>
      <c r="D154" s="29"/>
      <c r="E154" s="29"/>
      <c r="F154" s="13"/>
      <c r="G154" s="29"/>
      <c r="H154" s="29">
        <f t="shared" si="64"/>
        <v>16333.922457999997</v>
      </c>
      <c r="I154" s="29">
        <f>MAX(ROUND(SUM(C154:G154)/2,0),0)</f>
        <v>0</v>
      </c>
      <c r="J154" s="29">
        <f t="shared" si="70"/>
        <v>16333.922457999997</v>
      </c>
      <c r="K154" s="32">
        <v>30</v>
      </c>
      <c r="L154" s="29">
        <v>0</v>
      </c>
      <c r="M154" s="34">
        <v>0</v>
      </c>
      <c r="N154" s="12">
        <f t="shared" si="72"/>
        <v>4900.1767373999992</v>
      </c>
      <c r="O154" s="29">
        <f t="shared" si="66"/>
        <v>11433.745720599998</v>
      </c>
    </row>
    <row r="155" spans="1:15" x14ac:dyDescent="0.2">
      <c r="A155" s="25">
        <v>14.1</v>
      </c>
      <c r="B155" s="24">
        <f t="shared" si="71"/>
        <v>863012.11832532811</v>
      </c>
      <c r="C155" s="29"/>
      <c r="D155" s="29"/>
      <c r="E155" s="29"/>
      <c r="F155" s="29"/>
      <c r="G155" s="29">
        <v>-20280</v>
      </c>
      <c r="H155" s="29">
        <f t="shared" si="64"/>
        <v>842732.11832532811</v>
      </c>
      <c r="I155" s="29">
        <f t="shared" ref="I155" si="73">ROUND(SUM(C155:G155)/2,0)</f>
        <v>-10140</v>
      </c>
      <c r="J155" s="29">
        <f t="shared" si="70"/>
        <v>852872.11832532811</v>
      </c>
      <c r="K155" s="57">
        <v>7</v>
      </c>
      <c r="L155" s="29">
        <v>0</v>
      </c>
      <c r="M155" s="34">
        <v>0</v>
      </c>
      <c r="N155" s="12">
        <f t="shared" si="72"/>
        <v>58281.448282772966</v>
      </c>
      <c r="O155" s="29">
        <f t="shared" si="66"/>
        <v>784450.67004255508</v>
      </c>
    </row>
    <row r="156" spans="1:15" x14ac:dyDescent="0.2">
      <c r="A156" s="25">
        <v>47</v>
      </c>
      <c r="B156" s="24">
        <f t="shared" si="71"/>
        <v>28691386.139367539</v>
      </c>
      <c r="C156" s="34">
        <v>5774763</v>
      </c>
      <c r="D156" s="34"/>
      <c r="E156" s="34"/>
      <c r="F156" s="13"/>
      <c r="G156" s="34">
        <v>-85444</v>
      </c>
      <c r="H156" s="29">
        <f t="shared" si="64"/>
        <v>34380705.139367536</v>
      </c>
      <c r="I156" s="34">
        <f>ROUND(SUM(C156:G156)/2,0)</f>
        <v>2844660</v>
      </c>
      <c r="J156" s="34">
        <f t="shared" si="70"/>
        <v>31536045.139367536</v>
      </c>
      <c r="K156" s="37">
        <v>8</v>
      </c>
      <c r="L156" s="29">
        <v>0</v>
      </c>
      <c r="M156" s="34">
        <v>0</v>
      </c>
      <c r="N156" s="12">
        <f t="shared" si="72"/>
        <v>2978029.1711494029</v>
      </c>
      <c r="O156" s="29">
        <f t="shared" si="66"/>
        <v>31402675.968218133</v>
      </c>
    </row>
    <row r="157" spans="1:15" x14ac:dyDescent="0.2">
      <c r="A157" s="25">
        <v>50</v>
      </c>
      <c r="B157" s="24">
        <f t="shared" si="71"/>
        <v>588486.34744435153</v>
      </c>
      <c r="C157" s="34">
        <v>1381706</v>
      </c>
      <c r="D157" s="34"/>
      <c r="E157" s="34"/>
      <c r="F157" s="34"/>
      <c r="G157" s="34"/>
      <c r="H157" s="29">
        <f t="shared" si="64"/>
        <v>1970192.3474443515</v>
      </c>
      <c r="I157" s="34">
        <f t="shared" ref="I157" si="74">ROUND(SUM(C157:G157)/2,0)</f>
        <v>690853</v>
      </c>
      <c r="J157" s="34">
        <f>+H157-I157</f>
        <v>1279339.3474443515</v>
      </c>
      <c r="K157" s="37">
        <v>55</v>
      </c>
      <c r="L157" s="29">
        <v>0</v>
      </c>
      <c r="M157" s="34">
        <v>0</v>
      </c>
      <c r="N157" s="12">
        <f t="shared" si="72"/>
        <v>1463574.9410943934</v>
      </c>
      <c r="O157" s="29">
        <f t="shared" si="66"/>
        <v>506617.40634995815</v>
      </c>
    </row>
    <row r="158" spans="1:15" x14ac:dyDescent="0.2">
      <c r="A158" s="25">
        <v>95</v>
      </c>
      <c r="B158" s="24">
        <f t="shared" si="71"/>
        <v>1420322</v>
      </c>
      <c r="C158" s="38">
        <v>1393645</v>
      </c>
      <c r="D158" s="38"/>
      <c r="E158" s="38"/>
      <c r="F158" s="38"/>
      <c r="G158" s="38">
        <v>-1420322</v>
      </c>
      <c r="H158" s="38">
        <f t="shared" si="64"/>
        <v>1393645</v>
      </c>
      <c r="I158" s="38">
        <f>MAX(ROUND(SUM(C158:G158)/2,0),0)</f>
        <v>0</v>
      </c>
      <c r="J158" s="38">
        <f t="shared" ref="J158" si="75">+H158-I158</f>
        <v>1393645</v>
      </c>
      <c r="K158" s="45">
        <v>0</v>
      </c>
      <c r="L158" s="38">
        <v>0</v>
      </c>
      <c r="M158" s="38">
        <v>0</v>
      </c>
      <c r="N158" s="16">
        <f t="shared" si="72"/>
        <v>0</v>
      </c>
      <c r="O158" s="38">
        <f t="shared" si="66"/>
        <v>1393645</v>
      </c>
    </row>
    <row r="159" spans="1:15" ht="13.5" thickBot="1" x14ac:dyDescent="0.25">
      <c r="A159" s="43"/>
      <c r="B159" s="46">
        <f>SUM(B144:B158)</f>
        <v>54866546.759233087</v>
      </c>
      <c r="C159" s="17">
        <f>SUM(C144:C158)</f>
        <v>10182398</v>
      </c>
      <c r="D159" s="17"/>
      <c r="E159" s="44">
        <f t="shared" ref="E159:J159" si="76">SUM(E144:E158)</f>
        <v>0</v>
      </c>
      <c r="F159" s="44">
        <f t="shared" si="76"/>
        <v>0</v>
      </c>
      <c r="G159" s="44">
        <f t="shared" si="76"/>
        <v>-1651996</v>
      </c>
      <c r="H159" s="44">
        <f t="shared" si="76"/>
        <v>63396948.75923308</v>
      </c>
      <c r="I159" s="44">
        <f t="shared" si="76"/>
        <v>4278541</v>
      </c>
      <c r="J159" s="44">
        <f t="shared" si="76"/>
        <v>59118407.75923308</v>
      </c>
      <c r="K159" s="44"/>
      <c r="L159" s="44">
        <f>SUM(L144:L158)</f>
        <v>0</v>
      </c>
      <c r="M159" s="44">
        <f>SUM(M144:M158)</f>
        <v>0</v>
      </c>
      <c r="N159" s="44">
        <f>SUM(N144:N158)</f>
        <v>6860622.1244153492</v>
      </c>
      <c r="O159" s="44">
        <f>SUM(O144:O158)</f>
        <v>56536326.634817734</v>
      </c>
    </row>
    <row r="160" spans="1:15" ht="14.25" thickTop="1" thickBot="1" x14ac:dyDescent="0.25">
      <c r="O160" s="44"/>
    </row>
    <row r="161" spans="1:15" ht="13.5" thickTop="1" x14ac:dyDescent="0.2">
      <c r="A161" s="6" t="s">
        <v>36</v>
      </c>
      <c r="B161" s="41"/>
      <c r="E161" s="42"/>
      <c r="H161" s="41"/>
      <c r="O161" s="27"/>
    </row>
    <row r="162" spans="1:15" x14ac:dyDescent="0.2">
      <c r="A162" s="15"/>
      <c r="B162" s="41"/>
      <c r="E162" s="42"/>
      <c r="H162" s="41"/>
      <c r="O162" s="27"/>
    </row>
    <row r="163" spans="1:15" x14ac:dyDescent="0.2">
      <c r="A163" s="25">
        <v>1</v>
      </c>
      <c r="B163" s="24">
        <f t="shared" ref="B163:B169" si="77">O144</f>
        <v>11663801.563920382</v>
      </c>
      <c r="C163" s="29"/>
      <c r="E163" s="29"/>
      <c r="F163" s="29"/>
      <c r="G163" s="29"/>
      <c r="H163" s="29">
        <f t="shared" ref="H163:H179" si="78">B163+SUM(C163:G163)</f>
        <v>11663801.563920382</v>
      </c>
      <c r="I163" s="29">
        <f>ROUND(SUM(C163:G163)/2,0)</f>
        <v>0</v>
      </c>
      <c r="J163" s="29">
        <f t="shared" ref="J163:J165" si="79">+H163-I163</f>
        <v>11663801.563920382</v>
      </c>
      <c r="K163" s="11">
        <v>4</v>
      </c>
      <c r="L163" s="29">
        <v>0</v>
      </c>
      <c r="M163" s="29">
        <v>0</v>
      </c>
      <c r="N163" s="12">
        <f>(B163+(C163+G163)*1.5)*K163/100</f>
        <v>466552.06255681528</v>
      </c>
      <c r="O163" s="29">
        <f t="shared" ref="O163:O179" si="80">+H163-N163</f>
        <v>11197249.501363568</v>
      </c>
    </row>
    <row r="164" spans="1:15" x14ac:dyDescent="0.2">
      <c r="A164" s="25" t="s">
        <v>30</v>
      </c>
      <c r="B164" s="24">
        <f t="shared" si="77"/>
        <v>2884520.1606073142</v>
      </c>
      <c r="C164" s="12">
        <v>231963</v>
      </c>
      <c r="D164" s="29"/>
      <c r="E164" s="29"/>
      <c r="F164" s="29"/>
      <c r="G164" s="29"/>
      <c r="H164" s="29">
        <f t="shared" si="78"/>
        <v>3116483.1606073142</v>
      </c>
      <c r="I164" s="29">
        <f>ROUND(SUM(C164:G164)/2,0)</f>
        <v>115982</v>
      </c>
      <c r="J164" s="29">
        <f t="shared" si="79"/>
        <v>3000501.1606073142</v>
      </c>
      <c r="K164" s="11">
        <v>6</v>
      </c>
      <c r="L164" s="29">
        <v>0</v>
      </c>
      <c r="M164" s="29">
        <v>0</v>
      </c>
      <c r="N164" s="12">
        <f t="shared" ref="N164:N171" si="81">(B164+(C164+G164)*1.5)*K164/100</f>
        <v>193947.87963643885</v>
      </c>
      <c r="O164" s="29">
        <f t="shared" si="80"/>
        <v>2922535.2809708752</v>
      </c>
    </row>
    <row r="165" spans="1:15" x14ac:dyDescent="0.2">
      <c r="A165" s="25">
        <v>2</v>
      </c>
      <c r="B165" s="24">
        <f t="shared" si="77"/>
        <v>5658655.6925358167</v>
      </c>
      <c r="C165" s="30"/>
      <c r="D165" s="30"/>
      <c r="E165" s="31"/>
      <c r="F165" s="29"/>
      <c r="G165" s="29"/>
      <c r="H165" s="29">
        <f t="shared" si="78"/>
        <v>5658655.6925358167</v>
      </c>
      <c r="I165" s="29">
        <f t="shared" ref="I165" si="82">ROUND(SUM(C165:G165)/2,0)</f>
        <v>0</v>
      </c>
      <c r="J165" s="29">
        <f t="shared" si="79"/>
        <v>5658655.6925358167</v>
      </c>
      <c r="K165" s="32">
        <v>6</v>
      </c>
      <c r="L165" s="29">
        <v>0</v>
      </c>
      <c r="M165" s="29">
        <v>0</v>
      </c>
      <c r="N165" s="12">
        <f t="shared" si="81"/>
        <v>339519.34155214898</v>
      </c>
      <c r="O165" s="29">
        <f t="shared" si="80"/>
        <v>5319136.3509836681</v>
      </c>
    </row>
    <row r="166" spans="1:15" x14ac:dyDescent="0.2">
      <c r="A166" s="25">
        <v>8</v>
      </c>
      <c r="B166" s="24">
        <f t="shared" si="77"/>
        <v>913559.19495039992</v>
      </c>
      <c r="C166" s="33">
        <v>196300</v>
      </c>
      <c r="D166" s="34"/>
      <c r="E166" s="34"/>
      <c r="G166" s="29"/>
      <c r="H166" s="29">
        <f t="shared" si="78"/>
        <v>1109859.1949503999</v>
      </c>
      <c r="I166" s="29">
        <f>ROUND(SUM(C166:G166)/2,0)</f>
        <v>98150</v>
      </c>
      <c r="J166" s="29">
        <f>+H166-I166</f>
        <v>1011709.1949503999</v>
      </c>
      <c r="K166" s="32">
        <v>20</v>
      </c>
      <c r="L166" s="29">
        <v>0</v>
      </c>
      <c r="M166" s="29">
        <v>0</v>
      </c>
      <c r="N166" s="12">
        <f t="shared" si="81"/>
        <v>241601.83899008</v>
      </c>
      <c r="O166" s="29">
        <f t="shared" si="80"/>
        <v>868257.35596031998</v>
      </c>
    </row>
    <row r="167" spans="1:15" x14ac:dyDescent="0.2">
      <c r="A167" s="25">
        <v>10</v>
      </c>
      <c r="B167" s="24">
        <f t="shared" si="77"/>
        <v>1268374.1734645502</v>
      </c>
      <c r="C167" s="29">
        <v>320912</v>
      </c>
      <c r="D167" s="29"/>
      <c r="E167" s="29"/>
      <c r="F167" s="13"/>
      <c r="G167" s="29">
        <v>-6825</v>
      </c>
      <c r="H167" s="29">
        <f t="shared" si="78"/>
        <v>1582461.1734645502</v>
      </c>
      <c r="I167" s="29">
        <f>MAX(ROUND(SUM(C167:G167)/2,0),0)</f>
        <v>157044</v>
      </c>
      <c r="J167" s="29">
        <f t="shared" ref="J167:J177" si="83">+H167-I167</f>
        <v>1425417.1734645502</v>
      </c>
      <c r="K167" s="32">
        <v>30</v>
      </c>
      <c r="L167" s="29">
        <v>0</v>
      </c>
      <c r="M167" s="34">
        <v>0</v>
      </c>
      <c r="N167" s="12">
        <f t="shared" si="81"/>
        <v>521851.40203936503</v>
      </c>
      <c r="O167" s="29">
        <f t="shared" si="80"/>
        <v>1060609.7714251853</v>
      </c>
    </row>
    <row r="168" spans="1:15" x14ac:dyDescent="0.2">
      <c r="A168" s="25">
        <v>10.1</v>
      </c>
      <c r="B168" s="24">
        <f t="shared" si="77"/>
        <v>13051.5</v>
      </c>
      <c r="C168" s="29"/>
      <c r="D168" s="29"/>
      <c r="E168" s="29"/>
      <c r="F168" s="13"/>
      <c r="G168" s="29"/>
      <c r="H168" s="29">
        <f t="shared" si="78"/>
        <v>13051.5</v>
      </c>
      <c r="I168" s="29">
        <f>MAX(ROUND(SUM(C168:G168)/2,0),0)</f>
        <v>0</v>
      </c>
      <c r="J168" s="29">
        <f t="shared" si="83"/>
        <v>13051.5</v>
      </c>
      <c r="K168" s="32">
        <v>30</v>
      </c>
      <c r="L168" s="29">
        <v>0</v>
      </c>
      <c r="M168" s="34">
        <v>0</v>
      </c>
      <c r="N168" s="12">
        <f t="shared" si="81"/>
        <v>3915.45</v>
      </c>
      <c r="O168" s="29">
        <f t="shared" si="80"/>
        <v>9136.0499999999993</v>
      </c>
    </row>
    <row r="169" spans="1:15" x14ac:dyDescent="0.2">
      <c r="A169" s="25">
        <v>10.1</v>
      </c>
      <c r="B169" s="24">
        <f t="shared" si="77"/>
        <v>18645</v>
      </c>
      <c r="C169" s="29"/>
      <c r="D169" s="29"/>
      <c r="E169" s="29"/>
      <c r="F169" s="13"/>
      <c r="G169" s="29"/>
      <c r="H169" s="29">
        <f t="shared" si="78"/>
        <v>18645</v>
      </c>
      <c r="I169" s="29">
        <f>MAX(ROUND(SUM(C169:G169)/2,0),0)</f>
        <v>0</v>
      </c>
      <c r="J169" s="29">
        <f t="shared" si="83"/>
        <v>18645</v>
      </c>
      <c r="K169" s="32">
        <v>30</v>
      </c>
      <c r="L169" s="29">
        <v>0</v>
      </c>
      <c r="M169" s="34">
        <v>0</v>
      </c>
      <c r="N169" s="12">
        <f t="shared" si="81"/>
        <v>5593.5</v>
      </c>
      <c r="O169" s="29">
        <f t="shared" si="80"/>
        <v>13051.5</v>
      </c>
    </row>
    <row r="170" spans="1:15" x14ac:dyDescent="0.2">
      <c r="A170" s="25">
        <v>10.1</v>
      </c>
      <c r="B170" s="24">
        <v>0</v>
      </c>
      <c r="C170" s="29">
        <v>33900</v>
      </c>
      <c r="D170" s="29"/>
      <c r="E170" s="29"/>
      <c r="F170" s="13"/>
      <c r="G170" s="29"/>
      <c r="H170" s="29">
        <f t="shared" si="78"/>
        <v>33900</v>
      </c>
      <c r="I170" s="29">
        <f>MAX(ROUND(SUM(C170:G170)/2,0),0)</f>
        <v>16950</v>
      </c>
      <c r="J170" s="29">
        <f t="shared" si="83"/>
        <v>16950</v>
      </c>
      <c r="K170" s="32">
        <v>30</v>
      </c>
      <c r="L170" s="29">
        <v>0</v>
      </c>
      <c r="M170" s="34">
        <v>0</v>
      </c>
      <c r="N170" s="12">
        <f t="shared" si="81"/>
        <v>15255</v>
      </c>
      <c r="O170" s="29">
        <f t="shared" si="80"/>
        <v>18645</v>
      </c>
    </row>
    <row r="171" spans="1:15" x14ac:dyDescent="0.2">
      <c r="A171" s="25">
        <v>10.1</v>
      </c>
      <c r="B171" s="24">
        <v>0</v>
      </c>
      <c r="C171" s="29">
        <v>33900</v>
      </c>
      <c r="D171" s="29"/>
      <c r="E171" s="29"/>
      <c r="F171" s="13"/>
      <c r="G171" s="29"/>
      <c r="H171" s="29">
        <f t="shared" si="78"/>
        <v>33900</v>
      </c>
      <c r="I171" s="29">
        <f>MAX(ROUND(SUM(C171:G171)/2,0),0)</f>
        <v>16950</v>
      </c>
      <c r="J171" s="29">
        <f t="shared" si="83"/>
        <v>16950</v>
      </c>
      <c r="K171" s="32">
        <v>30</v>
      </c>
      <c r="L171" s="29">
        <v>0</v>
      </c>
      <c r="M171" s="34">
        <v>0</v>
      </c>
      <c r="N171" s="12">
        <f t="shared" si="81"/>
        <v>15255</v>
      </c>
      <c r="O171" s="29">
        <f t="shared" si="80"/>
        <v>18645</v>
      </c>
    </row>
    <row r="172" spans="1:15" x14ac:dyDescent="0.2">
      <c r="A172" s="25">
        <v>12</v>
      </c>
      <c r="B172" s="24">
        <f t="shared" ref="B172:B179" si="84">O151</f>
        <v>0</v>
      </c>
      <c r="C172" s="29">
        <v>472224</v>
      </c>
      <c r="D172" s="29"/>
      <c r="E172" s="29"/>
      <c r="F172" s="13"/>
      <c r="G172" s="29"/>
      <c r="H172" s="29">
        <f t="shared" si="78"/>
        <v>472224</v>
      </c>
      <c r="I172" s="29">
        <f>ROUND(SUM(C172:G172)/2,0)</f>
        <v>236112</v>
      </c>
      <c r="J172" s="29">
        <f t="shared" si="83"/>
        <v>236112</v>
      </c>
      <c r="K172" s="32">
        <v>100</v>
      </c>
      <c r="L172" s="29">
        <v>0</v>
      </c>
      <c r="M172" s="34">
        <v>0</v>
      </c>
      <c r="N172" s="12">
        <f>(B172+(C172))*K172/100</f>
        <v>472224</v>
      </c>
      <c r="O172" s="29">
        <f t="shared" si="80"/>
        <v>0</v>
      </c>
    </row>
    <row r="173" spans="1:15" x14ac:dyDescent="0.2">
      <c r="A173" s="25">
        <v>17</v>
      </c>
      <c r="B173" s="24">
        <f t="shared" si="84"/>
        <v>16830.789805905835</v>
      </c>
      <c r="C173" s="29"/>
      <c r="D173" s="29"/>
      <c r="E173" s="29"/>
      <c r="F173" s="13"/>
      <c r="G173" s="29"/>
      <c r="H173" s="29">
        <f t="shared" si="78"/>
        <v>16830.789805905835</v>
      </c>
      <c r="I173" s="29">
        <f>MAX(ROUND(SUM(C173:G173)/2,0),0)</f>
        <v>0</v>
      </c>
      <c r="J173" s="29">
        <f t="shared" si="83"/>
        <v>16830.789805905835</v>
      </c>
      <c r="K173" s="32">
        <v>8</v>
      </c>
      <c r="L173" s="29">
        <v>0</v>
      </c>
      <c r="M173" s="34">
        <v>0</v>
      </c>
      <c r="N173" s="12">
        <f t="shared" ref="N173:N179" si="85">(B173+(C173+G173)*1.5)*K173/100</f>
        <v>1346.4631844724668</v>
      </c>
      <c r="O173" s="29">
        <f t="shared" si="80"/>
        <v>15484.326621433369</v>
      </c>
    </row>
    <row r="174" spans="1:15" x14ac:dyDescent="0.2">
      <c r="A174" s="25">
        <v>45</v>
      </c>
      <c r="B174" s="24">
        <f t="shared" si="84"/>
        <v>65.769202124999993</v>
      </c>
      <c r="C174" s="29"/>
      <c r="D174" s="29"/>
      <c r="E174" s="29"/>
      <c r="F174" s="13"/>
      <c r="G174" s="29"/>
      <c r="H174" s="29">
        <f t="shared" si="78"/>
        <v>65.769202124999993</v>
      </c>
      <c r="I174" s="29">
        <f>MAX(ROUND(SUM(C174:G174)/2,0),0)</f>
        <v>0</v>
      </c>
      <c r="J174" s="29">
        <f t="shared" si="83"/>
        <v>65.769202124999993</v>
      </c>
      <c r="K174" s="32">
        <v>45</v>
      </c>
      <c r="L174" s="29">
        <v>0</v>
      </c>
      <c r="M174" s="34">
        <v>0</v>
      </c>
      <c r="N174" s="12">
        <f t="shared" si="85"/>
        <v>29.596140956249997</v>
      </c>
      <c r="O174" s="29">
        <f t="shared" si="80"/>
        <v>36.173061168749996</v>
      </c>
    </row>
    <row r="175" spans="1:15" x14ac:dyDescent="0.2">
      <c r="A175" s="25">
        <v>46</v>
      </c>
      <c r="B175" s="24">
        <f t="shared" si="84"/>
        <v>11433.745720599998</v>
      </c>
      <c r="C175" s="29"/>
      <c r="D175" s="29"/>
      <c r="E175" s="29"/>
      <c r="F175" s="13"/>
      <c r="G175" s="29"/>
      <c r="H175" s="29">
        <f t="shared" si="78"/>
        <v>11433.745720599998</v>
      </c>
      <c r="I175" s="29">
        <f>MAX(ROUND(SUM(C175:G175)/2,0),0)</f>
        <v>0</v>
      </c>
      <c r="J175" s="29">
        <f t="shared" si="83"/>
        <v>11433.745720599998</v>
      </c>
      <c r="K175" s="32">
        <v>30</v>
      </c>
      <c r="L175" s="29">
        <v>0</v>
      </c>
      <c r="M175" s="34">
        <v>0</v>
      </c>
      <c r="N175" s="12">
        <f t="shared" si="85"/>
        <v>3430.1237161799991</v>
      </c>
      <c r="O175" s="29">
        <f t="shared" si="80"/>
        <v>8003.622004419999</v>
      </c>
    </row>
    <row r="176" spans="1:15" x14ac:dyDescent="0.2">
      <c r="A176" s="25">
        <v>14.1</v>
      </c>
      <c r="B176" s="24">
        <f t="shared" si="84"/>
        <v>784450.67004255508</v>
      </c>
      <c r="C176" s="29"/>
      <c r="D176" s="29"/>
      <c r="E176" s="29"/>
      <c r="F176" s="29"/>
      <c r="G176" s="29"/>
      <c r="H176" s="29">
        <f t="shared" si="78"/>
        <v>784450.67004255508</v>
      </c>
      <c r="I176" s="29">
        <f t="shared" ref="I176" si="86">ROUND(SUM(C176:G176)/2,0)</f>
        <v>0</v>
      </c>
      <c r="J176" s="29">
        <f t="shared" si="83"/>
        <v>784450.67004255508</v>
      </c>
      <c r="K176" s="57">
        <v>7</v>
      </c>
      <c r="L176" s="29">
        <v>0</v>
      </c>
      <c r="M176" s="34">
        <v>0</v>
      </c>
      <c r="N176" s="12">
        <f t="shared" si="85"/>
        <v>54911.546902978858</v>
      </c>
      <c r="O176" s="29">
        <f t="shared" si="80"/>
        <v>729539.12313957617</v>
      </c>
    </row>
    <row r="177" spans="1:15" x14ac:dyDescent="0.2">
      <c r="A177" s="25">
        <v>47</v>
      </c>
      <c r="B177" s="24">
        <f t="shared" si="84"/>
        <v>31402675.968218133</v>
      </c>
      <c r="C177" s="34">
        <v>5596333</v>
      </c>
      <c r="D177" s="34"/>
      <c r="E177" s="34"/>
      <c r="F177" s="13"/>
      <c r="G177" s="34">
        <v>-68212</v>
      </c>
      <c r="H177" s="29">
        <f t="shared" si="78"/>
        <v>36930796.968218133</v>
      </c>
      <c r="I177" s="34">
        <f>ROUND(SUM(C177:G177)/2,0)</f>
        <v>2764061</v>
      </c>
      <c r="J177" s="34">
        <f t="shared" si="83"/>
        <v>34166735.968218133</v>
      </c>
      <c r="K177" s="37">
        <v>8</v>
      </c>
      <c r="L177" s="29">
        <v>0</v>
      </c>
      <c r="M177" s="34">
        <v>0</v>
      </c>
      <c r="N177" s="12">
        <f t="shared" si="85"/>
        <v>3175588.5974574508</v>
      </c>
      <c r="O177" s="29">
        <f t="shared" si="80"/>
        <v>33755208.370760679</v>
      </c>
    </row>
    <row r="178" spans="1:15" x14ac:dyDescent="0.2">
      <c r="A178" s="25">
        <v>50</v>
      </c>
      <c r="B178" s="24">
        <f t="shared" si="84"/>
        <v>506617.40634995815</v>
      </c>
      <c r="C178" s="34">
        <v>1097589</v>
      </c>
      <c r="D178" s="34"/>
      <c r="E178" s="34"/>
      <c r="F178" s="34"/>
      <c r="G178" s="34"/>
      <c r="H178" s="29">
        <f t="shared" si="78"/>
        <v>1604206.4063499582</v>
      </c>
      <c r="I178" s="34">
        <f t="shared" ref="I178" si="87">ROUND(SUM(C178:G178)/2,0)</f>
        <v>548795</v>
      </c>
      <c r="J178" s="34">
        <f>+H178-I178</f>
        <v>1055411.4063499582</v>
      </c>
      <c r="K178" s="37">
        <v>55</v>
      </c>
      <c r="L178" s="29">
        <v>0</v>
      </c>
      <c r="M178" s="34">
        <v>0</v>
      </c>
      <c r="N178" s="12">
        <f t="shared" si="85"/>
        <v>1184150.4984924768</v>
      </c>
      <c r="O178" s="29">
        <f t="shared" si="80"/>
        <v>420055.90785748139</v>
      </c>
    </row>
    <row r="179" spans="1:15" x14ac:dyDescent="0.2">
      <c r="A179" s="25">
        <v>95</v>
      </c>
      <c r="B179" s="24">
        <f t="shared" si="84"/>
        <v>1393645</v>
      </c>
      <c r="C179" s="38">
        <v>1531411</v>
      </c>
      <c r="D179" s="38"/>
      <c r="E179" s="38"/>
      <c r="F179" s="38"/>
      <c r="G179" s="38">
        <v>-1393645</v>
      </c>
      <c r="H179" s="38">
        <f t="shared" si="78"/>
        <v>1531411</v>
      </c>
      <c r="I179" s="38">
        <f>MAX(ROUND(SUM(C179:G179)/2,0),0)</f>
        <v>68883</v>
      </c>
      <c r="J179" s="38">
        <f t="shared" ref="J179" si="88">+H179-I179</f>
        <v>1462528</v>
      </c>
      <c r="K179" s="45">
        <v>0</v>
      </c>
      <c r="L179" s="38">
        <v>0</v>
      </c>
      <c r="M179" s="38">
        <v>0</v>
      </c>
      <c r="N179" s="16">
        <f t="shared" si="85"/>
        <v>0</v>
      </c>
      <c r="O179" s="38">
        <f t="shared" si="80"/>
        <v>1531411</v>
      </c>
    </row>
    <row r="180" spans="1:15" ht="13.5" thickBot="1" x14ac:dyDescent="0.25">
      <c r="A180" s="43"/>
      <c r="B180" s="46">
        <f>SUM(B163:B179)</f>
        <v>56536326.634817734</v>
      </c>
      <c r="C180" s="17">
        <f>SUM(C163:C179)</f>
        <v>9514532</v>
      </c>
      <c r="D180" s="17"/>
      <c r="E180" s="44">
        <f t="shared" ref="E180:J180" si="89">SUM(E163:E179)</f>
        <v>0</v>
      </c>
      <c r="F180" s="44">
        <f t="shared" si="89"/>
        <v>0</v>
      </c>
      <c r="G180" s="44">
        <f t="shared" si="89"/>
        <v>-1468682</v>
      </c>
      <c r="H180" s="44">
        <f t="shared" si="89"/>
        <v>64582176.634817734</v>
      </c>
      <c r="I180" s="44">
        <f t="shared" si="89"/>
        <v>4022927</v>
      </c>
      <c r="J180" s="44">
        <f t="shared" si="89"/>
        <v>60559249.634817734</v>
      </c>
      <c r="K180" s="44"/>
      <c r="L180" s="44">
        <f>SUM(L163:L179)</f>
        <v>0</v>
      </c>
      <c r="M180" s="44">
        <f>SUM(M163:M179)</f>
        <v>0</v>
      </c>
      <c r="N180" s="44">
        <f>SUM(N163:N179)</f>
        <v>6695172.3006693628</v>
      </c>
      <c r="O180" s="44">
        <f>SUM(O163:O179)</f>
        <v>57887004.334148377</v>
      </c>
    </row>
    <row r="181" spans="1:15" ht="13.5" thickTop="1" x14ac:dyDescent="0.2"/>
    <row r="182" spans="1:15" x14ac:dyDescent="0.2">
      <c r="A182" s="6" t="s">
        <v>38</v>
      </c>
      <c r="B182" s="41"/>
      <c r="E182" s="42"/>
      <c r="H182" s="41"/>
      <c r="O182" s="27"/>
    </row>
    <row r="183" spans="1:15" x14ac:dyDescent="0.2">
      <c r="A183" s="15"/>
      <c r="B183" s="41"/>
      <c r="E183" s="42"/>
      <c r="H183" s="41"/>
      <c r="O183" s="27"/>
    </row>
    <row r="184" spans="1:15" x14ac:dyDescent="0.2">
      <c r="A184" s="25">
        <v>1</v>
      </c>
      <c r="B184" s="24">
        <f>O163</f>
        <v>11197249.501363568</v>
      </c>
      <c r="C184" s="29">
        <v>208500</v>
      </c>
      <c r="E184" s="29"/>
      <c r="F184" s="29"/>
      <c r="G184" s="29"/>
      <c r="H184" s="29">
        <f t="shared" ref="H184:H200" si="90">B184+SUM(C184:G184)</f>
        <v>11405749.501363568</v>
      </c>
      <c r="I184" s="29">
        <f>ROUND(SUM(C184:G184)/2,0)</f>
        <v>104250</v>
      </c>
      <c r="J184" s="29">
        <f t="shared" ref="J184:J186" si="91">+H184-I184</f>
        <v>11301499.501363568</v>
      </c>
      <c r="K184" s="11">
        <v>4</v>
      </c>
      <c r="L184" s="29">
        <v>0</v>
      </c>
      <c r="M184" s="29">
        <v>0</v>
      </c>
      <c r="N184" s="12">
        <f>(B184+(C184+G184)*1.5)*K184/100</f>
        <v>460399.98005454271</v>
      </c>
      <c r="O184" s="29">
        <f t="shared" ref="O184:O200" si="92">+H184-N184</f>
        <v>10945349.521309026</v>
      </c>
    </row>
    <row r="185" spans="1:15" x14ac:dyDescent="0.2">
      <c r="A185" s="25" t="s">
        <v>30</v>
      </c>
      <c r="B185" s="24">
        <f t="shared" ref="B185:B192" si="93">O164</f>
        <v>2922535.2809708752</v>
      </c>
      <c r="C185" s="12"/>
      <c r="D185" s="29"/>
      <c r="E185" s="29"/>
      <c r="F185" s="29"/>
      <c r="G185" s="29"/>
      <c r="H185" s="29">
        <f t="shared" si="90"/>
        <v>2922535.2809708752</v>
      </c>
      <c r="I185" s="29">
        <f>ROUND(SUM(C185:G185)/2,0)</f>
        <v>0</v>
      </c>
      <c r="J185" s="29">
        <f t="shared" si="91"/>
        <v>2922535.2809708752</v>
      </c>
      <c r="K185" s="11">
        <v>6</v>
      </c>
      <c r="L185" s="29">
        <v>0</v>
      </c>
      <c r="M185" s="29">
        <v>0</v>
      </c>
      <c r="N185" s="12">
        <f t="shared" ref="N185:N192" si="94">(B185+(C185+G185)*1.5)*K185/100</f>
        <v>175352.1168582525</v>
      </c>
      <c r="O185" s="29">
        <f t="shared" si="92"/>
        <v>2747183.1641126228</v>
      </c>
    </row>
    <row r="186" spans="1:15" x14ac:dyDescent="0.2">
      <c r="A186" s="25">
        <v>2</v>
      </c>
      <c r="B186" s="24">
        <f t="shared" si="93"/>
        <v>5319136.3509836681</v>
      </c>
      <c r="C186" s="30"/>
      <c r="D186" s="30"/>
      <c r="E186" s="31"/>
      <c r="F186" s="29"/>
      <c r="G186" s="29"/>
      <c r="H186" s="29">
        <f t="shared" si="90"/>
        <v>5319136.3509836681</v>
      </c>
      <c r="I186" s="29">
        <f t="shared" ref="I186" si="95">ROUND(SUM(C186:G186)/2,0)</f>
        <v>0</v>
      </c>
      <c r="J186" s="29">
        <f t="shared" si="91"/>
        <v>5319136.3509836681</v>
      </c>
      <c r="K186" s="32">
        <v>6</v>
      </c>
      <c r="L186" s="29">
        <v>0</v>
      </c>
      <c r="M186" s="29">
        <v>0</v>
      </c>
      <c r="N186" s="12">
        <f t="shared" si="94"/>
        <v>319148.18105902011</v>
      </c>
      <c r="O186" s="29">
        <f t="shared" si="92"/>
        <v>4999988.1699246485</v>
      </c>
    </row>
    <row r="187" spans="1:15" x14ac:dyDescent="0.2">
      <c r="A187" s="25">
        <v>8</v>
      </c>
      <c r="B187" s="24">
        <f t="shared" si="93"/>
        <v>868257.35596031998</v>
      </c>
      <c r="C187" s="29">
        <v>245600</v>
      </c>
      <c r="D187" s="34"/>
      <c r="E187" s="34"/>
      <c r="G187" s="29"/>
      <c r="H187" s="29">
        <f t="shared" si="90"/>
        <v>1113857.35596032</v>
      </c>
      <c r="I187" s="29">
        <f>ROUND(SUM(C187:G187)/2,0)</f>
        <v>122800</v>
      </c>
      <c r="J187" s="29">
        <f>+H187-I187</f>
        <v>991057.35596031998</v>
      </c>
      <c r="K187" s="32">
        <v>20</v>
      </c>
      <c r="L187" s="29">
        <v>0</v>
      </c>
      <c r="M187" s="29">
        <v>0</v>
      </c>
      <c r="N187" s="12">
        <f t="shared" si="94"/>
        <v>247331.471192064</v>
      </c>
      <c r="O187" s="29">
        <f t="shared" si="92"/>
        <v>866525.88476825599</v>
      </c>
    </row>
    <row r="188" spans="1:15" x14ac:dyDescent="0.2">
      <c r="A188" s="25">
        <v>10</v>
      </c>
      <c r="B188" s="24">
        <f t="shared" si="93"/>
        <v>1060609.7714251853</v>
      </c>
      <c r="C188" s="29">
        <f>1022500+130000</f>
        <v>1152500</v>
      </c>
      <c r="D188" s="29"/>
      <c r="E188" s="29"/>
      <c r="F188" s="13"/>
      <c r="G188" s="29"/>
      <c r="H188" s="29">
        <f t="shared" si="90"/>
        <v>2213109.7714251853</v>
      </c>
      <c r="I188" s="29">
        <f>MAX(ROUND(SUM(C188:G188)/2,0),0)</f>
        <v>576250</v>
      </c>
      <c r="J188" s="29">
        <f t="shared" ref="J188:J198" si="96">+H188-I188</f>
        <v>1636859.7714251853</v>
      </c>
      <c r="K188" s="32">
        <v>30</v>
      </c>
      <c r="L188" s="29">
        <v>0</v>
      </c>
      <c r="M188" s="34">
        <v>0</v>
      </c>
      <c r="N188" s="12">
        <f t="shared" si="94"/>
        <v>836807.93142755551</v>
      </c>
      <c r="O188" s="29">
        <f t="shared" si="92"/>
        <v>1376301.8399976296</v>
      </c>
    </row>
    <row r="189" spans="1:15" x14ac:dyDescent="0.2">
      <c r="A189" s="25">
        <v>10.1</v>
      </c>
      <c r="B189" s="24">
        <f t="shared" si="93"/>
        <v>9136.0499999999993</v>
      </c>
      <c r="C189" s="29"/>
      <c r="D189" s="29"/>
      <c r="E189" s="29"/>
      <c r="F189" s="13"/>
      <c r="G189" s="29"/>
      <c r="H189" s="29">
        <f t="shared" si="90"/>
        <v>9136.0499999999993</v>
      </c>
      <c r="I189" s="29">
        <f>MAX(ROUND(SUM(C189:G189)/2,0),0)</f>
        <v>0</v>
      </c>
      <c r="J189" s="29">
        <f t="shared" si="96"/>
        <v>9136.0499999999993</v>
      </c>
      <c r="K189" s="32">
        <v>30</v>
      </c>
      <c r="L189" s="29">
        <v>0</v>
      </c>
      <c r="M189" s="34">
        <v>0</v>
      </c>
      <c r="N189" s="12">
        <f t="shared" si="94"/>
        <v>2740.8150000000001</v>
      </c>
      <c r="O189" s="29">
        <f t="shared" si="92"/>
        <v>6395.2349999999988</v>
      </c>
    </row>
    <row r="190" spans="1:15" x14ac:dyDescent="0.2">
      <c r="A190" s="25">
        <v>10.1</v>
      </c>
      <c r="B190" s="24">
        <f t="shared" si="93"/>
        <v>13051.5</v>
      </c>
      <c r="C190" s="29"/>
      <c r="D190" s="29"/>
      <c r="E190" s="29"/>
      <c r="F190" s="13"/>
      <c r="G190" s="29"/>
      <c r="H190" s="29">
        <f t="shared" si="90"/>
        <v>13051.5</v>
      </c>
      <c r="I190" s="29">
        <f>MAX(ROUND(SUM(C190:G190)/2,0),0)</f>
        <v>0</v>
      </c>
      <c r="J190" s="29">
        <f t="shared" si="96"/>
        <v>13051.5</v>
      </c>
      <c r="K190" s="32">
        <v>30</v>
      </c>
      <c r="L190" s="29">
        <v>0</v>
      </c>
      <c r="M190" s="34">
        <v>0</v>
      </c>
      <c r="N190" s="12">
        <f t="shared" si="94"/>
        <v>3915.45</v>
      </c>
      <c r="O190" s="29">
        <f t="shared" si="92"/>
        <v>9136.0499999999993</v>
      </c>
    </row>
    <row r="191" spans="1:15" x14ac:dyDescent="0.2">
      <c r="A191" s="25">
        <v>10.1</v>
      </c>
      <c r="B191" s="24">
        <f t="shared" si="93"/>
        <v>18645</v>
      </c>
      <c r="C191" s="29"/>
      <c r="D191" s="29"/>
      <c r="E191" s="29"/>
      <c r="F191" s="13"/>
      <c r="G191" s="29"/>
      <c r="H191" s="29">
        <f t="shared" si="90"/>
        <v>18645</v>
      </c>
      <c r="I191" s="29">
        <f>MAX(ROUND(SUM(C191:G191)/2,0),0)</f>
        <v>0</v>
      </c>
      <c r="J191" s="29">
        <f t="shared" si="96"/>
        <v>18645</v>
      </c>
      <c r="K191" s="32">
        <v>30</v>
      </c>
      <c r="L191" s="29">
        <v>0</v>
      </c>
      <c r="M191" s="34">
        <v>0</v>
      </c>
      <c r="N191" s="12">
        <f t="shared" si="94"/>
        <v>5593.5</v>
      </c>
      <c r="O191" s="29">
        <f t="shared" si="92"/>
        <v>13051.5</v>
      </c>
    </row>
    <row r="192" spans="1:15" x14ac:dyDescent="0.2">
      <c r="A192" s="25">
        <v>10.1</v>
      </c>
      <c r="B192" s="24">
        <f t="shared" si="93"/>
        <v>18645</v>
      </c>
      <c r="C192" s="29"/>
      <c r="D192" s="29"/>
      <c r="E192" s="29"/>
      <c r="F192" s="13"/>
      <c r="G192" s="29"/>
      <c r="H192" s="29">
        <f t="shared" si="90"/>
        <v>18645</v>
      </c>
      <c r="I192" s="29">
        <f>MAX(ROUND(SUM(C192:G192)/2,0),0)</f>
        <v>0</v>
      </c>
      <c r="J192" s="29">
        <f t="shared" si="96"/>
        <v>18645</v>
      </c>
      <c r="K192" s="32">
        <v>30</v>
      </c>
      <c r="L192" s="29">
        <v>0</v>
      </c>
      <c r="M192" s="34">
        <v>0</v>
      </c>
      <c r="N192" s="12">
        <f t="shared" si="94"/>
        <v>5593.5</v>
      </c>
      <c r="O192" s="29">
        <f t="shared" si="92"/>
        <v>13051.5</v>
      </c>
    </row>
    <row r="193" spans="1:15" x14ac:dyDescent="0.2">
      <c r="A193" s="25">
        <v>12</v>
      </c>
      <c r="B193" s="24">
        <f t="shared" ref="B193:B200" si="97">O172</f>
        <v>0</v>
      </c>
      <c r="C193" s="29">
        <v>1270000</v>
      </c>
      <c r="D193" s="29"/>
      <c r="E193" s="29"/>
      <c r="F193" s="13"/>
      <c r="G193" s="29"/>
      <c r="H193" s="29">
        <f t="shared" si="90"/>
        <v>1270000</v>
      </c>
      <c r="I193" s="29">
        <f>ROUND(SUM(C193:G193)/2,0)</f>
        <v>635000</v>
      </c>
      <c r="J193" s="29">
        <f t="shared" si="96"/>
        <v>635000</v>
      </c>
      <c r="K193" s="32">
        <v>100</v>
      </c>
      <c r="L193" s="29">
        <v>0</v>
      </c>
      <c r="M193" s="34">
        <v>0</v>
      </c>
      <c r="N193" s="12">
        <f>(B193+(C193))*K193/100</f>
        <v>1270000</v>
      </c>
      <c r="O193" s="29">
        <f t="shared" si="92"/>
        <v>0</v>
      </c>
    </row>
    <row r="194" spans="1:15" x14ac:dyDescent="0.2">
      <c r="A194" s="25">
        <v>17</v>
      </c>
      <c r="B194" s="24">
        <f t="shared" si="97"/>
        <v>15484.326621433369</v>
      </c>
      <c r="C194" s="29"/>
      <c r="D194" s="29"/>
      <c r="E194" s="29"/>
      <c r="F194" s="13"/>
      <c r="G194" s="29"/>
      <c r="H194" s="29">
        <f t="shared" si="90"/>
        <v>15484.326621433369</v>
      </c>
      <c r="I194" s="29">
        <f>MAX(ROUND(SUM(C194:G194)/2,0),0)</f>
        <v>0</v>
      </c>
      <c r="J194" s="29">
        <f t="shared" si="96"/>
        <v>15484.326621433369</v>
      </c>
      <c r="K194" s="32">
        <v>8</v>
      </c>
      <c r="L194" s="29">
        <v>0</v>
      </c>
      <c r="M194" s="34">
        <v>0</v>
      </c>
      <c r="N194" s="12">
        <f t="shared" ref="N194:N200" si="98">(B194+(C194+G194)*1.5)*K194/100</f>
        <v>1238.7461297146695</v>
      </c>
      <c r="O194" s="29">
        <f t="shared" si="92"/>
        <v>14245.5804917187</v>
      </c>
    </row>
    <row r="195" spans="1:15" x14ac:dyDescent="0.2">
      <c r="A195" s="25">
        <v>45</v>
      </c>
      <c r="B195" s="24">
        <f t="shared" si="97"/>
        <v>36.173061168749996</v>
      </c>
      <c r="C195" s="29"/>
      <c r="D195" s="29"/>
      <c r="E195" s="29"/>
      <c r="F195" s="13"/>
      <c r="G195" s="29"/>
      <c r="H195" s="29">
        <f t="shared" si="90"/>
        <v>36.173061168749996</v>
      </c>
      <c r="I195" s="29">
        <f>MAX(ROUND(SUM(C195:G195)/2,0),0)</f>
        <v>0</v>
      </c>
      <c r="J195" s="29">
        <f t="shared" si="96"/>
        <v>36.173061168749996</v>
      </c>
      <c r="K195" s="32">
        <v>45</v>
      </c>
      <c r="L195" s="29">
        <v>0</v>
      </c>
      <c r="M195" s="34">
        <v>0</v>
      </c>
      <c r="N195" s="12">
        <f t="shared" si="98"/>
        <v>16.277877525937498</v>
      </c>
      <c r="O195" s="29">
        <f t="shared" si="92"/>
        <v>19.895183642812498</v>
      </c>
    </row>
    <row r="196" spans="1:15" x14ac:dyDescent="0.2">
      <c r="A196" s="25">
        <v>46</v>
      </c>
      <c r="B196" s="24">
        <f t="shared" si="97"/>
        <v>8003.622004419999</v>
      </c>
      <c r="C196" s="29"/>
      <c r="D196" s="29"/>
      <c r="E196" s="29"/>
      <c r="F196" s="13"/>
      <c r="G196" s="29"/>
      <c r="H196" s="29">
        <f t="shared" si="90"/>
        <v>8003.622004419999</v>
      </c>
      <c r="I196" s="29">
        <f>MAX(ROUND(SUM(C196:G196)/2,0),0)</f>
        <v>0</v>
      </c>
      <c r="J196" s="29">
        <f t="shared" si="96"/>
        <v>8003.622004419999</v>
      </c>
      <c r="K196" s="32">
        <v>30</v>
      </c>
      <c r="L196" s="29">
        <v>0</v>
      </c>
      <c r="M196" s="34">
        <v>0</v>
      </c>
      <c r="N196" s="12">
        <f t="shared" si="98"/>
        <v>2401.0866013259997</v>
      </c>
      <c r="O196" s="29">
        <f t="shared" si="92"/>
        <v>5602.5354030939998</v>
      </c>
    </row>
    <row r="197" spans="1:15" x14ac:dyDescent="0.2">
      <c r="A197" s="25">
        <v>14.1</v>
      </c>
      <c r="B197" s="24">
        <f t="shared" si="97"/>
        <v>729539.12313957617</v>
      </c>
      <c r="C197" s="29"/>
      <c r="D197" s="29"/>
      <c r="E197" s="29"/>
      <c r="F197" s="29"/>
      <c r="G197" s="29"/>
      <c r="H197" s="29">
        <f t="shared" si="90"/>
        <v>729539.12313957617</v>
      </c>
      <c r="I197" s="29">
        <f t="shared" ref="I197" si="99">ROUND(SUM(C197:G197)/2,0)</f>
        <v>0</v>
      </c>
      <c r="J197" s="29">
        <f t="shared" si="96"/>
        <v>729539.12313957617</v>
      </c>
      <c r="K197" s="57">
        <v>7</v>
      </c>
      <c r="L197" s="29">
        <v>0</v>
      </c>
      <c r="M197" s="34">
        <v>0</v>
      </c>
      <c r="N197" s="12">
        <f t="shared" si="98"/>
        <v>51067.738619770331</v>
      </c>
      <c r="O197" s="29">
        <f t="shared" si="92"/>
        <v>678471.3845198059</v>
      </c>
    </row>
    <row r="198" spans="1:15" x14ac:dyDescent="0.2">
      <c r="A198" s="25">
        <v>47</v>
      </c>
      <c r="B198" s="24">
        <f t="shared" si="97"/>
        <v>33755208.370760679</v>
      </c>
      <c r="C198" s="34">
        <v>8071500</v>
      </c>
      <c r="D198" s="34"/>
      <c r="E198" s="34"/>
      <c r="F198" s="13"/>
      <c r="G198" s="34"/>
      <c r="H198" s="29">
        <f t="shared" si="90"/>
        <v>41826708.370760679</v>
      </c>
      <c r="I198" s="34">
        <f>ROUND(SUM(C198:G198)/2,0)</f>
        <v>4035750</v>
      </c>
      <c r="J198" s="34">
        <f t="shared" si="96"/>
        <v>37790958.370760679</v>
      </c>
      <c r="K198" s="37">
        <v>8</v>
      </c>
      <c r="L198" s="29">
        <v>0</v>
      </c>
      <c r="M198" s="34">
        <v>0</v>
      </c>
      <c r="N198" s="12">
        <f t="shared" si="98"/>
        <v>3668996.6696608542</v>
      </c>
      <c r="O198" s="29">
        <f t="shared" si="92"/>
        <v>38157711.701099828</v>
      </c>
    </row>
    <row r="199" spans="1:15" x14ac:dyDescent="0.2">
      <c r="A199" s="25">
        <v>50</v>
      </c>
      <c r="B199" s="24">
        <f t="shared" si="97"/>
        <v>420055.90785748139</v>
      </c>
      <c r="C199" s="34">
        <v>646900</v>
      </c>
      <c r="D199" s="34"/>
      <c r="E199" s="34"/>
      <c r="F199" s="34"/>
      <c r="G199" s="34"/>
      <c r="H199" s="29">
        <f t="shared" si="90"/>
        <v>1066955.9078574814</v>
      </c>
      <c r="I199" s="34">
        <f t="shared" ref="I199" si="100">ROUND(SUM(C199:G199)/2,0)</f>
        <v>323450</v>
      </c>
      <c r="J199" s="34">
        <f>+H199-I199</f>
        <v>743505.90785748139</v>
      </c>
      <c r="K199" s="37">
        <v>55</v>
      </c>
      <c r="L199" s="29">
        <v>0</v>
      </c>
      <c r="M199" s="34">
        <v>0</v>
      </c>
      <c r="N199" s="12">
        <f t="shared" si="98"/>
        <v>764723.24932161486</v>
      </c>
      <c r="O199" s="29">
        <f t="shared" si="92"/>
        <v>302232.65853586653</v>
      </c>
    </row>
    <row r="200" spans="1:15" x14ac:dyDescent="0.2">
      <c r="A200" s="25">
        <v>95</v>
      </c>
      <c r="B200" s="24">
        <f t="shared" si="97"/>
        <v>1531411</v>
      </c>
      <c r="C200" s="38"/>
      <c r="D200" s="38"/>
      <c r="E200" s="38"/>
      <c r="F200" s="38"/>
      <c r="G200" s="38"/>
      <c r="H200" s="38">
        <f t="shared" si="90"/>
        <v>1531411</v>
      </c>
      <c r="I200" s="38">
        <f>MAX(ROUND(SUM(C200:G200)/2,0),0)</f>
        <v>0</v>
      </c>
      <c r="J200" s="38">
        <f t="shared" ref="J200" si="101">+H200-I200</f>
        <v>1531411</v>
      </c>
      <c r="K200" s="45">
        <v>0</v>
      </c>
      <c r="L200" s="38">
        <v>0</v>
      </c>
      <c r="M200" s="38">
        <v>0</v>
      </c>
      <c r="N200" s="16">
        <f t="shared" si="98"/>
        <v>0</v>
      </c>
      <c r="O200" s="38">
        <f t="shared" si="92"/>
        <v>1531411</v>
      </c>
    </row>
    <row r="201" spans="1:15" ht="13.5" thickBot="1" x14ac:dyDescent="0.25">
      <c r="A201" s="43"/>
      <c r="B201" s="46">
        <f>SUM(B184:B200)</f>
        <v>57887004.334148377</v>
      </c>
      <c r="C201" s="17">
        <f>SUM(C184:C200)</f>
        <v>11595000</v>
      </c>
      <c r="D201" s="17"/>
      <c r="E201" s="44">
        <f t="shared" ref="E201:J201" si="102">SUM(E184:E200)</f>
        <v>0</v>
      </c>
      <c r="F201" s="44">
        <f t="shared" si="102"/>
        <v>0</v>
      </c>
      <c r="G201" s="44">
        <f t="shared" si="102"/>
        <v>0</v>
      </c>
      <c r="H201" s="44">
        <f t="shared" si="102"/>
        <v>69482004.334148377</v>
      </c>
      <c r="I201" s="44">
        <f t="shared" si="102"/>
        <v>5797500</v>
      </c>
      <c r="J201" s="44">
        <f t="shared" si="102"/>
        <v>63684504.334148377</v>
      </c>
      <c r="K201" s="44"/>
      <c r="L201" s="44">
        <f>SUM(L184:L200)</f>
        <v>0</v>
      </c>
      <c r="M201" s="44">
        <f>SUM(M184:M200)</f>
        <v>0</v>
      </c>
      <c r="N201" s="44">
        <f>SUM(N184:N200)</f>
        <v>7815326.7138022408</v>
      </c>
      <c r="O201" s="44">
        <f>SUM(O184:O200)</f>
        <v>61666677.620346144</v>
      </c>
    </row>
    <row r="202" spans="1:15" ht="13.5" thickTop="1" x14ac:dyDescent="0.2"/>
    <row r="203" spans="1:15" x14ac:dyDescent="0.2">
      <c r="B203" s="23" t="s">
        <v>39</v>
      </c>
      <c r="C203" s="22">
        <v>11595000</v>
      </c>
    </row>
    <row r="204" spans="1:15" x14ac:dyDescent="0.2">
      <c r="B204" s="23" t="s">
        <v>35</v>
      </c>
      <c r="C204" s="24">
        <f>C201-C203</f>
        <v>0</v>
      </c>
    </row>
    <row r="206" spans="1:15" x14ac:dyDescent="0.2">
      <c r="A206" s="6" t="s">
        <v>40</v>
      </c>
      <c r="B206" s="41"/>
      <c r="E206" s="42"/>
      <c r="H206" s="41"/>
      <c r="O206" s="27"/>
    </row>
    <row r="207" spans="1:15" x14ac:dyDescent="0.2">
      <c r="A207" s="15"/>
      <c r="B207" s="41"/>
      <c r="E207" s="42"/>
      <c r="H207" s="41"/>
      <c r="O207" s="27"/>
    </row>
    <row r="208" spans="1:15" x14ac:dyDescent="0.2">
      <c r="A208" s="25">
        <v>1</v>
      </c>
      <c r="B208" s="24">
        <f t="shared" ref="B208:B224" si="103">O184</f>
        <v>10945349.521309026</v>
      </c>
      <c r="C208" s="29">
        <v>222000</v>
      </c>
      <c r="E208" s="29"/>
      <c r="F208" s="29"/>
      <c r="G208" s="29"/>
      <c r="H208" s="29">
        <f t="shared" ref="H208:H224" si="104">B208+SUM(C208:G208)</f>
        <v>11167349.521309026</v>
      </c>
      <c r="I208" s="29">
        <f>ROUND(SUM(C208:G208)/2,0)</f>
        <v>111000</v>
      </c>
      <c r="J208" s="29">
        <f t="shared" ref="J208:J210" si="105">+H208-I208</f>
        <v>11056349.521309026</v>
      </c>
      <c r="K208" s="11">
        <v>4</v>
      </c>
      <c r="L208" s="29">
        <v>0</v>
      </c>
      <c r="M208" s="29">
        <v>0</v>
      </c>
      <c r="N208" s="12">
        <f>(B208+(C208+G208)*1.5)*K208/100</f>
        <v>451133.98085236101</v>
      </c>
      <c r="O208" s="29">
        <f t="shared" ref="O208:O224" si="106">+H208-N208</f>
        <v>10716215.540456664</v>
      </c>
    </row>
    <row r="209" spans="1:15" x14ac:dyDescent="0.2">
      <c r="A209" s="25" t="s">
        <v>30</v>
      </c>
      <c r="B209" s="24">
        <f t="shared" si="103"/>
        <v>2747183.1641126228</v>
      </c>
      <c r="C209" s="12"/>
      <c r="D209" s="29"/>
      <c r="E209" s="29"/>
      <c r="F209" s="29"/>
      <c r="G209" s="29"/>
      <c r="H209" s="29">
        <f t="shared" si="104"/>
        <v>2747183.1641126228</v>
      </c>
      <c r="I209" s="29">
        <f>ROUND(SUM(C209:G209)/2,0)</f>
        <v>0</v>
      </c>
      <c r="J209" s="29">
        <f t="shared" si="105"/>
        <v>2747183.1641126228</v>
      </c>
      <c r="K209" s="11">
        <v>6</v>
      </c>
      <c r="L209" s="29">
        <v>0</v>
      </c>
      <c r="M209" s="29">
        <v>0</v>
      </c>
      <c r="N209" s="12">
        <f t="shared" ref="N209:N216" si="107">(B209+(C209+G209)*1.5)*K209/100</f>
        <v>164830.98984675738</v>
      </c>
      <c r="O209" s="29">
        <f t="shared" si="106"/>
        <v>2582352.1742658652</v>
      </c>
    </row>
    <row r="210" spans="1:15" x14ac:dyDescent="0.2">
      <c r="A210" s="25">
        <v>2</v>
      </c>
      <c r="B210" s="24">
        <f t="shared" si="103"/>
        <v>4999988.1699246485</v>
      </c>
      <c r="C210" s="30"/>
      <c r="D210" s="30"/>
      <c r="E210" s="31"/>
      <c r="F210" s="29"/>
      <c r="G210" s="29"/>
      <c r="H210" s="29">
        <f t="shared" si="104"/>
        <v>4999988.1699246485</v>
      </c>
      <c r="I210" s="29">
        <f t="shared" ref="I210" si="108">ROUND(SUM(C210:G210)/2,0)</f>
        <v>0</v>
      </c>
      <c r="J210" s="29">
        <f t="shared" si="105"/>
        <v>4999988.1699246485</v>
      </c>
      <c r="K210" s="32">
        <v>6</v>
      </c>
      <c r="L210" s="29">
        <v>0</v>
      </c>
      <c r="M210" s="29">
        <v>0</v>
      </c>
      <c r="N210" s="12">
        <f t="shared" si="107"/>
        <v>299999.29019547888</v>
      </c>
      <c r="O210" s="29">
        <f t="shared" si="106"/>
        <v>4699988.8797291694</v>
      </c>
    </row>
    <row r="211" spans="1:15" x14ac:dyDescent="0.2">
      <c r="A211" s="25">
        <v>8</v>
      </c>
      <c r="B211" s="24">
        <f t="shared" si="103"/>
        <v>866525.88476825599</v>
      </c>
      <c r="C211" s="29">
        <v>220600</v>
      </c>
      <c r="D211" s="34"/>
      <c r="E211" s="34"/>
      <c r="G211" s="29"/>
      <c r="H211" s="29">
        <f t="shared" si="104"/>
        <v>1087125.884768256</v>
      </c>
      <c r="I211" s="29">
        <f>ROUND(SUM(C211:G211)/2,0)</f>
        <v>110300</v>
      </c>
      <c r="J211" s="29">
        <f>+H211-I211</f>
        <v>976825.88476825599</v>
      </c>
      <c r="K211" s="32">
        <v>20</v>
      </c>
      <c r="L211" s="29">
        <v>0</v>
      </c>
      <c r="M211" s="29">
        <v>0</v>
      </c>
      <c r="N211" s="12">
        <f t="shared" si="107"/>
        <v>239485.17695365119</v>
      </c>
      <c r="O211" s="29">
        <f t="shared" si="106"/>
        <v>847640.70781460474</v>
      </c>
    </row>
    <row r="212" spans="1:15" x14ac:dyDescent="0.2">
      <c r="A212" s="25">
        <v>10</v>
      </c>
      <c r="B212" s="24">
        <f t="shared" si="103"/>
        <v>1376301.8399976296</v>
      </c>
      <c r="C212" s="29">
        <f>52500+70000</f>
        <v>122500</v>
      </c>
      <c r="D212" s="29"/>
      <c r="E212" s="29"/>
      <c r="F212" s="13"/>
      <c r="G212" s="29"/>
      <c r="H212" s="29">
        <f t="shared" si="104"/>
        <v>1498801.8399976296</v>
      </c>
      <c r="I212" s="29">
        <f>MAX(ROUND(SUM(C212:G212)/2,0),0)</f>
        <v>61250</v>
      </c>
      <c r="J212" s="29">
        <f t="shared" ref="J212:J222" si="109">+H212-I212</f>
        <v>1437551.8399976296</v>
      </c>
      <c r="K212" s="32">
        <v>30</v>
      </c>
      <c r="L212" s="29">
        <v>0</v>
      </c>
      <c r="M212" s="34">
        <v>0</v>
      </c>
      <c r="N212" s="12">
        <f t="shared" si="107"/>
        <v>468015.55199928884</v>
      </c>
      <c r="O212" s="29">
        <f t="shared" si="106"/>
        <v>1030786.2879983408</v>
      </c>
    </row>
    <row r="213" spans="1:15" x14ac:dyDescent="0.2">
      <c r="A213" s="25">
        <v>10.1</v>
      </c>
      <c r="B213" s="24">
        <f t="shared" si="103"/>
        <v>6395.2349999999988</v>
      </c>
      <c r="C213" s="29"/>
      <c r="D213" s="29"/>
      <c r="E213" s="29"/>
      <c r="F213" s="13"/>
      <c r="G213" s="29"/>
      <c r="H213" s="29">
        <f t="shared" si="104"/>
        <v>6395.2349999999988</v>
      </c>
      <c r="I213" s="29">
        <f>MAX(ROUND(SUM(C213:G213)/2,0),0)</f>
        <v>0</v>
      </c>
      <c r="J213" s="29">
        <f t="shared" si="109"/>
        <v>6395.2349999999988</v>
      </c>
      <c r="K213" s="32">
        <v>30</v>
      </c>
      <c r="L213" s="29">
        <v>0</v>
      </c>
      <c r="M213" s="34">
        <v>0</v>
      </c>
      <c r="N213" s="12">
        <f t="shared" si="107"/>
        <v>1918.5704999999996</v>
      </c>
      <c r="O213" s="29">
        <f t="shared" si="106"/>
        <v>4476.664499999999</v>
      </c>
    </row>
    <row r="214" spans="1:15" x14ac:dyDescent="0.2">
      <c r="A214" s="25">
        <v>10.1</v>
      </c>
      <c r="B214" s="24">
        <f t="shared" si="103"/>
        <v>9136.0499999999993</v>
      </c>
      <c r="C214" s="29"/>
      <c r="D214" s="29"/>
      <c r="E214" s="29"/>
      <c r="F214" s="13"/>
      <c r="G214" s="29"/>
      <c r="H214" s="29">
        <f t="shared" si="104"/>
        <v>9136.0499999999993</v>
      </c>
      <c r="I214" s="29">
        <f>MAX(ROUND(SUM(C214:G214)/2,0),0)</f>
        <v>0</v>
      </c>
      <c r="J214" s="29">
        <f t="shared" si="109"/>
        <v>9136.0499999999993</v>
      </c>
      <c r="K214" s="32">
        <v>30</v>
      </c>
      <c r="L214" s="29">
        <v>0</v>
      </c>
      <c r="M214" s="34">
        <v>0</v>
      </c>
      <c r="N214" s="12">
        <f t="shared" si="107"/>
        <v>2740.8150000000001</v>
      </c>
      <c r="O214" s="29">
        <f t="shared" si="106"/>
        <v>6395.2349999999988</v>
      </c>
    </row>
    <row r="215" spans="1:15" x14ac:dyDescent="0.2">
      <c r="A215" s="25">
        <v>10.1</v>
      </c>
      <c r="B215" s="24">
        <f t="shared" si="103"/>
        <v>13051.5</v>
      </c>
      <c r="C215" s="29"/>
      <c r="D215" s="29"/>
      <c r="E215" s="29"/>
      <c r="F215" s="13"/>
      <c r="G215" s="29"/>
      <c r="H215" s="29">
        <f t="shared" si="104"/>
        <v>13051.5</v>
      </c>
      <c r="I215" s="29">
        <f>MAX(ROUND(SUM(C215:G215)/2,0),0)</f>
        <v>0</v>
      </c>
      <c r="J215" s="29">
        <f t="shared" si="109"/>
        <v>13051.5</v>
      </c>
      <c r="K215" s="32">
        <v>30</v>
      </c>
      <c r="L215" s="29">
        <v>0</v>
      </c>
      <c r="M215" s="34">
        <v>0</v>
      </c>
      <c r="N215" s="12">
        <f t="shared" si="107"/>
        <v>3915.45</v>
      </c>
      <c r="O215" s="29">
        <f t="shared" si="106"/>
        <v>9136.0499999999993</v>
      </c>
    </row>
    <row r="216" spans="1:15" x14ac:dyDescent="0.2">
      <c r="A216" s="25">
        <v>10.1</v>
      </c>
      <c r="B216" s="24">
        <f t="shared" si="103"/>
        <v>13051.5</v>
      </c>
      <c r="C216" s="29"/>
      <c r="D216" s="29"/>
      <c r="E216" s="29"/>
      <c r="F216" s="13"/>
      <c r="G216" s="29"/>
      <c r="H216" s="29">
        <f t="shared" si="104"/>
        <v>13051.5</v>
      </c>
      <c r="I216" s="29">
        <f>MAX(ROUND(SUM(C216:G216)/2,0),0)</f>
        <v>0</v>
      </c>
      <c r="J216" s="29">
        <f t="shared" si="109"/>
        <v>13051.5</v>
      </c>
      <c r="K216" s="32">
        <v>30</v>
      </c>
      <c r="L216" s="29">
        <v>0</v>
      </c>
      <c r="M216" s="34">
        <v>0</v>
      </c>
      <c r="N216" s="12">
        <f t="shared" si="107"/>
        <v>3915.45</v>
      </c>
      <c r="O216" s="29">
        <f t="shared" si="106"/>
        <v>9136.0499999999993</v>
      </c>
    </row>
    <row r="217" spans="1:15" x14ac:dyDescent="0.2">
      <c r="A217" s="25">
        <v>12</v>
      </c>
      <c r="B217" s="24">
        <f t="shared" si="103"/>
        <v>0</v>
      </c>
      <c r="C217" s="29">
        <v>1490000</v>
      </c>
      <c r="D217" s="29"/>
      <c r="E217" s="29"/>
      <c r="F217" s="13"/>
      <c r="G217" s="29"/>
      <c r="H217" s="29">
        <f t="shared" si="104"/>
        <v>1490000</v>
      </c>
      <c r="I217" s="29">
        <f>ROUND(SUM(C217:G217)/2,0)</f>
        <v>745000</v>
      </c>
      <c r="J217" s="29">
        <f t="shared" si="109"/>
        <v>745000</v>
      </c>
      <c r="K217" s="32">
        <v>100</v>
      </c>
      <c r="L217" s="29">
        <v>0</v>
      </c>
      <c r="M217" s="34">
        <v>0</v>
      </c>
      <c r="N217" s="12">
        <f>(B217+(C217))*K217/100</f>
        <v>1490000</v>
      </c>
      <c r="O217" s="29">
        <f t="shared" si="106"/>
        <v>0</v>
      </c>
    </row>
    <row r="218" spans="1:15" x14ac:dyDescent="0.2">
      <c r="A218" s="25">
        <v>17</v>
      </c>
      <c r="B218" s="24">
        <f t="shared" si="103"/>
        <v>14245.5804917187</v>
      </c>
      <c r="C218" s="29"/>
      <c r="D218" s="29"/>
      <c r="E218" s="29"/>
      <c r="F218" s="13"/>
      <c r="G218" s="29"/>
      <c r="H218" s="29">
        <f t="shared" si="104"/>
        <v>14245.5804917187</v>
      </c>
      <c r="I218" s="29">
        <f>MAX(ROUND(SUM(C218:G218)/2,0),0)</f>
        <v>0</v>
      </c>
      <c r="J218" s="29">
        <f t="shared" si="109"/>
        <v>14245.5804917187</v>
      </c>
      <c r="K218" s="32">
        <v>8</v>
      </c>
      <c r="L218" s="29">
        <v>0</v>
      </c>
      <c r="M218" s="34">
        <v>0</v>
      </c>
      <c r="N218" s="12">
        <f t="shared" ref="N218:N224" si="110">(B218+(C218+G218)*1.5)*K218/100</f>
        <v>1139.6464393374961</v>
      </c>
      <c r="O218" s="29">
        <f t="shared" si="106"/>
        <v>13105.934052381204</v>
      </c>
    </row>
    <row r="219" spans="1:15" x14ac:dyDescent="0.2">
      <c r="A219" s="25">
        <v>45</v>
      </c>
      <c r="B219" s="24">
        <f t="shared" si="103"/>
        <v>19.895183642812498</v>
      </c>
      <c r="C219" s="29"/>
      <c r="D219" s="29"/>
      <c r="E219" s="29"/>
      <c r="F219" s="13"/>
      <c r="G219" s="29"/>
      <c r="H219" s="29">
        <f t="shared" si="104"/>
        <v>19.895183642812498</v>
      </c>
      <c r="I219" s="29">
        <f>MAX(ROUND(SUM(C219:G219)/2,0),0)</f>
        <v>0</v>
      </c>
      <c r="J219" s="29">
        <f t="shared" si="109"/>
        <v>19.895183642812498</v>
      </c>
      <c r="K219" s="32">
        <v>45</v>
      </c>
      <c r="L219" s="29">
        <v>0</v>
      </c>
      <c r="M219" s="34">
        <v>0</v>
      </c>
      <c r="N219" s="12">
        <f t="shared" si="110"/>
        <v>8.9528326392656243</v>
      </c>
      <c r="O219" s="29">
        <f t="shared" si="106"/>
        <v>10.942351003546873</v>
      </c>
    </row>
    <row r="220" spans="1:15" x14ac:dyDescent="0.2">
      <c r="A220" s="25">
        <v>46</v>
      </c>
      <c r="B220" s="24">
        <f t="shared" si="103"/>
        <v>5602.5354030939998</v>
      </c>
      <c r="C220" s="29"/>
      <c r="D220" s="29"/>
      <c r="E220" s="29"/>
      <c r="F220" s="13"/>
      <c r="G220" s="29"/>
      <c r="H220" s="29">
        <f t="shared" si="104"/>
        <v>5602.5354030939998</v>
      </c>
      <c r="I220" s="29">
        <f>MAX(ROUND(SUM(C220:G220)/2,0),0)</f>
        <v>0</v>
      </c>
      <c r="J220" s="29">
        <f t="shared" si="109"/>
        <v>5602.5354030939998</v>
      </c>
      <c r="K220" s="32">
        <v>30</v>
      </c>
      <c r="L220" s="29">
        <v>0</v>
      </c>
      <c r="M220" s="34">
        <v>0</v>
      </c>
      <c r="N220" s="12">
        <f t="shared" si="110"/>
        <v>1680.7606209282001</v>
      </c>
      <c r="O220" s="29">
        <f t="shared" si="106"/>
        <v>3921.7747821657995</v>
      </c>
    </row>
    <row r="221" spans="1:15" x14ac:dyDescent="0.2">
      <c r="A221" s="25">
        <v>14.1</v>
      </c>
      <c r="B221" s="24">
        <f t="shared" si="103"/>
        <v>678471.3845198059</v>
      </c>
      <c r="C221" s="29"/>
      <c r="D221" s="29"/>
      <c r="E221" s="29"/>
      <c r="F221" s="29"/>
      <c r="G221" s="29"/>
      <c r="H221" s="29">
        <f t="shared" si="104"/>
        <v>678471.3845198059</v>
      </c>
      <c r="I221" s="29">
        <f t="shared" ref="I221" si="111">ROUND(SUM(C221:G221)/2,0)</f>
        <v>0</v>
      </c>
      <c r="J221" s="29">
        <f t="shared" si="109"/>
        <v>678471.3845198059</v>
      </c>
      <c r="K221" s="57">
        <v>7</v>
      </c>
      <c r="L221" s="29">
        <v>0</v>
      </c>
      <c r="M221" s="34">
        <v>0</v>
      </c>
      <c r="N221" s="12">
        <f t="shared" si="110"/>
        <v>47492.996916386408</v>
      </c>
      <c r="O221" s="29">
        <f t="shared" si="106"/>
        <v>630978.38760341948</v>
      </c>
    </row>
    <row r="222" spans="1:15" x14ac:dyDescent="0.2">
      <c r="A222" s="25">
        <v>47</v>
      </c>
      <c r="B222" s="24">
        <f t="shared" si="103"/>
        <v>38157711.701099828</v>
      </c>
      <c r="C222" s="34">
        <v>9173000</v>
      </c>
      <c r="D222" s="34"/>
      <c r="E222" s="34"/>
      <c r="F222" s="13"/>
      <c r="G222" s="34"/>
      <c r="H222" s="29">
        <f t="shared" si="104"/>
        <v>47330711.701099828</v>
      </c>
      <c r="I222" s="34">
        <f>ROUND(SUM(C222:G222)/2,0)</f>
        <v>4586500</v>
      </c>
      <c r="J222" s="34">
        <f t="shared" si="109"/>
        <v>42744211.701099828</v>
      </c>
      <c r="K222" s="37">
        <v>8</v>
      </c>
      <c r="L222" s="29">
        <v>0</v>
      </c>
      <c r="M222" s="34">
        <v>0</v>
      </c>
      <c r="N222" s="12">
        <f t="shared" si="110"/>
        <v>4153376.9360879865</v>
      </c>
      <c r="O222" s="29">
        <f t="shared" si="106"/>
        <v>43177334.76501184</v>
      </c>
    </row>
    <row r="223" spans="1:15" x14ac:dyDescent="0.2">
      <c r="A223" s="25">
        <v>50</v>
      </c>
      <c r="B223" s="24">
        <f t="shared" si="103"/>
        <v>302232.65853586653</v>
      </c>
      <c r="C223" s="34">
        <v>549900</v>
      </c>
      <c r="D223" s="34"/>
      <c r="E223" s="34"/>
      <c r="F223" s="34"/>
      <c r="G223" s="34"/>
      <c r="H223" s="29">
        <f t="shared" si="104"/>
        <v>852132.65853586653</v>
      </c>
      <c r="I223" s="34">
        <f t="shared" ref="I223" si="112">ROUND(SUM(C223:G223)/2,0)</f>
        <v>274950</v>
      </c>
      <c r="J223" s="34">
        <f>+H223-I223</f>
        <v>577182.65853586653</v>
      </c>
      <c r="K223" s="37">
        <v>55</v>
      </c>
      <c r="L223" s="29">
        <v>0</v>
      </c>
      <c r="M223" s="34">
        <v>0</v>
      </c>
      <c r="N223" s="12">
        <f t="shared" si="110"/>
        <v>619895.46219472657</v>
      </c>
      <c r="O223" s="29">
        <f t="shared" si="106"/>
        <v>232237.19634113996</v>
      </c>
    </row>
    <row r="224" spans="1:15" x14ac:dyDescent="0.2">
      <c r="A224" s="25">
        <v>95</v>
      </c>
      <c r="B224" s="24">
        <f t="shared" si="103"/>
        <v>1531411</v>
      </c>
      <c r="C224" s="38"/>
      <c r="D224" s="38"/>
      <c r="E224" s="38"/>
      <c r="F224" s="38"/>
      <c r="G224" s="38">
        <v>-1393645</v>
      </c>
      <c r="H224" s="38">
        <f t="shared" si="104"/>
        <v>137766</v>
      </c>
      <c r="I224" s="38">
        <f>MAX(ROUND(SUM(C224:G224)/2,0),0)</f>
        <v>0</v>
      </c>
      <c r="J224" s="38">
        <f t="shared" ref="J224" si="113">+H224-I224</f>
        <v>137766</v>
      </c>
      <c r="K224" s="45">
        <v>0</v>
      </c>
      <c r="L224" s="38">
        <v>0</v>
      </c>
      <c r="M224" s="38">
        <v>0</v>
      </c>
      <c r="N224" s="16">
        <f t="shared" si="110"/>
        <v>0</v>
      </c>
      <c r="O224" s="38">
        <f t="shared" si="106"/>
        <v>137766</v>
      </c>
    </row>
    <row r="225" spans="1:15" ht="13.5" thickBot="1" x14ac:dyDescent="0.25">
      <c r="A225" s="43"/>
      <c r="B225" s="46">
        <f>SUM(B208:B224)</f>
        <v>61666677.620346144</v>
      </c>
      <c r="C225" s="17">
        <f>SUM(C208:C224)</f>
        <v>11778000</v>
      </c>
      <c r="D225" s="17"/>
      <c r="E225" s="44">
        <f t="shared" ref="E225:J225" si="114">SUM(E208:E224)</f>
        <v>0</v>
      </c>
      <c r="F225" s="44">
        <f t="shared" si="114"/>
        <v>0</v>
      </c>
      <c r="G225" s="44">
        <f t="shared" si="114"/>
        <v>-1393645</v>
      </c>
      <c r="H225" s="44">
        <f t="shared" si="114"/>
        <v>72051032.620346144</v>
      </c>
      <c r="I225" s="44">
        <f t="shared" si="114"/>
        <v>5889000</v>
      </c>
      <c r="J225" s="44">
        <f t="shared" si="114"/>
        <v>66162032.620346144</v>
      </c>
      <c r="K225" s="44"/>
      <c r="L225" s="44">
        <f>SUM(L208:L224)</f>
        <v>0</v>
      </c>
      <c r="M225" s="44">
        <f>SUM(M208:M224)</f>
        <v>0</v>
      </c>
      <c r="N225" s="44">
        <f>SUM(N208:N224)</f>
        <v>7949550.0304395417</v>
      </c>
      <c r="O225" s="44">
        <f>SUM(O208:O224)</f>
        <v>64101482.589906603</v>
      </c>
    </row>
    <row r="226" spans="1:15" ht="13.5" thickTop="1" x14ac:dyDescent="0.2">
      <c r="B226" s="47"/>
      <c r="C226" s="48"/>
    </row>
    <row r="227" spans="1:15" x14ac:dyDescent="0.2">
      <c r="B227" s="23" t="s">
        <v>39</v>
      </c>
      <c r="C227" s="22">
        <v>11778000</v>
      </c>
    </row>
    <row r="228" spans="1:15" x14ac:dyDescent="0.2">
      <c r="B228" s="23" t="s">
        <v>35</v>
      </c>
      <c r="C228" s="24">
        <f>C225-C227</f>
        <v>0</v>
      </c>
    </row>
    <row r="229" spans="1:15" x14ac:dyDescent="0.2">
      <c r="B229" s="47"/>
      <c r="C229" s="47"/>
    </row>
    <row r="230" spans="1:15" x14ac:dyDescent="0.2">
      <c r="B230" s="47"/>
      <c r="C230" s="49"/>
    </row>
    <row r="231" spans="1:15" x14ac:dyDescent="0.2">
      <c r="B231" s="47"/>
      <c r="C231" s="49"/>
    </row>
    <row r="232" spans="1:15" x14ac:dyDescent="0.2">
      <c r="B232" s="47"/>
      <c r="C232" s="48"/>
    </row>
    <row r="233" spans="1:15" x14ac:dyDescent="0.2">
      <c r="B233" s="47"/>
      <c r="C233" s="48"/>
    </row>
    <row r="234" spans="1:15" x14ac:dyDescent="0.2">
      <c r="B234" s="47"/>
      <c r="C234" s="48"/>
    </row>
    <row r="235" spans="1:15" x14ac:dyDescent="0.2">
      <c r="B235" s="47"/>
      <c r="C235" s="48"/>
    </row>
    <row r="236" spans="1:15" x14ac:dyDescent="0.2">
      <c r="B236" s="47"/>
      <c r="C236" s="48"/>
    </row>
    <row r="237" spans="1:15" x14ac:dyDescent="0.2">
      <c r="B237" s="47"/>
      <c r="C237" s="48"/>
    </row>
    <row r="238" spans="1:15" x14ac:dyDescent="0.2">
      <c r="B238" s="47"/>
      <c r="C238" s="48"/>
    </row>
    <row r="239" spans="1:15" x14ac:dyDescent="0.2">
      <c r="B239" s="47"/>
      <c r="C239" s="48"/>
    </row>
    <row r="240" spans="1:15" x14ac:dyDescent="0.2">
      <c r="B240" s="47"/>
      <c r="C240" s="48"/>
    </row>
    <row r="241" spans="2:3" x14ac:dyDescent="0.2">
      <c r="B241" s="47"/>
      <c r="C241" s="48"/>
    </row>
    <row r="242" spans="2:3" x14ac:dyDescent="0.2">
      <c r="B242" s="47"/>
      <c r="C242" s="48"/>
    </row>
    <row r="243" spans="2:3" x14ac:dyDescent="0.2">
      <c r="B243" s="47"/>
      <c r="C243" s="48"/>
    </row>
  </sheetData>
  <pageMargins left="0.23622047244094491" right="0.19685039370078741" top="0.74803149606299213" bottom="0.74803149606299213" header="0.31496062992125984" footer="0.31496062992125984"/>
  <pageSetup scale="64" fitToHeight="4" orientation="landscape" r:id="rId1"/>
  <rowBreaks count="1" manualBreakCount="1">
    <brk id="63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126"/>
  <sheetViews>
    <sheetView zoomScaleNormal="100" workbookViewId="0">
      <pane xSplit="1" ySplit="10" topLeftCell="B92" activePane="bottomRight" state="frozen"/>
      <selection pane="topRight" activeCell="B1" sqref="B1"/>
      <selection pane="bottomLeft" activeCell="A11" sqref="A11"/>
      <selection pane="bottomRight" activeCell="J108" sqref="J108"/>
    </sheetView>
  </sheetViews>
  <sheetFormatPr defaultRowHeight="15" x14ac:dyDescent="0.25"/>
  <cols>
    <col min="1" max="1" width="21.140625" customWidth="1"/>
    <col min="2" max="2" width="17.7109375" customWidth="1"/>
    <col min="3" max="3" width="15.28515625" customWidth="1"/>
    <col min="4" max="4" width="15.140625" customWidth="1"/>
    <col min="5" max="5" width="13" customWidth="1"/>
    <col min="6" max="6" width="11.85546875" customWidth="1"/>
    <col min="7" max="9" width="14.140625" customWidth="1"/>
    <col min="10" max="10" width="15" customWidth="1"/>
    <col min="11" max="11" width="16.140625" customWidth="1"/>
    <col min="12" max="12" width="10.140625" customWidth="1"/>
    <col min="13" max="13" width="11.42578125" customWidth="1"/>
    <col min="14" max="14" width="11.85546875" customWidth="1"/>
    <col min="15" max="15" width="13.28515625" bestFit="1" customWidth="1"/>
    <col min="16" max="16" width="14.28515625" bestFit="1" customWidth="1"/>
    <col min="18" max="18" width="13.5703125" bestFit="1" customWidth="1"/>
    <col min="19" max="19" width="11.28515625" customWidth="1"/>
  </cols>
  <sheetData>
    <row r="2" spans="1:19" s="23" customFormat="1" ht="12.75" x14ac:dyDescent="0.2">
      <c r="A2" s="2" t="s">
        <v>0</v>
      </c>
      <c r="F2" s="5"/>
      <c r="R2" s="22"/>
    </row>
    <row r="3" spans="1:19" s="23" customFormat="1" ht="12.75" x14ac:dyDescent="0.2">
      <c r="A3" s="2" t="s">
        <v>1</v>
      </c>
      <c r="O3" s="24"/>
      <c r="R3" s="22"/>
    </row>
    <row r="4" spans="1:19" s="23" customFormat="1" ht="12.75" x14ac:dyDescent="0.2">
      <c r="A4" s="6"/>
      <c r="C4" s="7"/>
      <c r="D4" s="7"/>
      <c r="R4" s="22"/>
    </row>
    <row r="5" spans="1:19" s="23" customFormat="1" ht="12.75" x14ac:dyDescent="0.2">
      <c r="C5" s="7"/>
      <c r="D5" s="7"/>
      <c r="F5" s="9"/>
      <c r="O5" s="9"/>
      <c r="R5" s="22"/>
    </row>
    <row r="6" spans="1:19" s="23" customFormat="1" ht="12.75" x14ac:dyDescent="0.2">
      <c r="A6" s="25"/>
      <c r="B6" s="25">
        <v>2</v>
      </c>
      <c r="C6" s="25">
        <v>3</v>
      </c>
      <c r="D6" s="25">
        <v>4</v>
      </c>
      <c r="E6" s="25">
        <v>5</v>
      </c>
      <c r="F6" s="25">
        <v>8</v>
      </c>
      <c r="G6" s="25">
        <v>9</v>
      </c>
      <c r="H6" s="25">
        <v>10</v>
      </c>
      <c r="I6" s="25">
        <v>11</v>
      </c>
      <c r="J6" s="25">
        <v>12</v>
      </c>
      <c r="K6" s="25">
        <v>13</v>
      </c>
      <c r="L6" s="25">
        <v>14</v>
      </c>
      <c r="M6" s="25">
        <v>15</v>
      </c>
      <c r="N6" s="25">
        <v>16</v>
      </c>
      <c r="O6" s="25">
        <v>17</v>
      </c>
      <c r="P6" s="25">
        <v>18</v>
      </c>
      <c r="R6" s="22"/>
    </row>
    <row r="7" spans="1:19" s="23" customFormat="1" ht="12.75" x14ac:dyDescent="0.2">
      <c r="A7" s="25"/>
      <c r="B7" s="25"/>
      <c r="C7" s="25"/>
      <c r="D7" s="25" t="s">
        <v>67</v>
      </c>
      <c r="E7" s="25"/>
      <c r="F7" s="25"/>
      <c r="G7" s="25"/>
      <c r="H7" s="25" t="s">
        <v>70</v>
      </c>
      <c r="I7" s="25" t="s">
        <v>73</v>
      </c>
      <c r="J7" s="25" t="s">
        <v>76</v>
      </c>
      <c r="K7" s="25" t="s">
        <v>76</v>
      </c>
      <c r="L7" s="25"/>
      <c r="M7" s="25"/>
      <c r="N7" s="25"/>
      <c r="O7" s="25"/>
      <c r="P7" s="25"/>
      <c r="R7" s="22"/>
    </row>
    <row r="8" spans="1:19" s="23" customFormat="1" ht="12.75" x14ac:dyDescent="0.2">
      <c r="A8" s="25"/>
      <c r="B8" s="25" t="s">
        <v>2</v>
      </c>
      <c r="C8" s="10"/>
      <c r="D8" s="25" t="s">
        <v>68</v>
      </c>
      <c r="E8" s="25"/>
      <c r="F8" s="10"/>
      <c r="G8" s="25"/>
      <c r="H8" s="25" t="s">
        <v>71</v>
      </c>
      <c r="I8" s="25" t="s">
        <v>74</v>
      </c>
      <c r="J8" s="25" t="s">
        <v>77</v>
      </c>
      <c r="K8" s="25" t="s">
        <v>78</v>
      </c>
      <c r="L8" s="25"/>
      <c r="M8" s="25"/>
      <c r="N8" s="25" t="s">
        <v>5</v>
      </c>
      <c r="O8" s="25"/>
      <c r="P8" s="25" t="s">
        <v>2</v>
      </c>
      <c r="R8" s="22"/>
    </row>
    <row r="9" spans="1:19" s="23" customFormat="1" ht="12.75" x14ac:dyDescent="0.2">
      <c r="A9" s="25" t="s">
        <v>6</v>
      </c>
      <c r="B9" s="25" t="s">
        <v>7</v>
      </c>
      <c r="C9" s="25" t="s">
        <v>8</v>
      </c>
      <c r="D9" s="25" t="s">
        <v>69</v>
      </c>
      <c r="E9" s="25" t="s">
        <v>10</v>
      </c>
      <c r="F9" s="25" t="s">
        <v>70</v>
      </c>
      <c r="G9" s="25" t="s">
        <v>2</v>
      </c>
      <c r="H9" s="60" t="s">
        <v>72</v>
      </c>
      <c r="I9" s="25" t="s">
        <v>75</v>
      </c>
      <c r="J9" s="25" t="s">
        <v>75</v>
      </c>
      <c r="K9" s="25" t="s">
        <v>75</v>
      </c>
      <c r="L9" s="25" t="s">
        <v>13</v>
      </c>
      <c r="M9" s="25" t="s">
        <v>14</v>
      </c>
      <c r="N9" s="25" t="s">
        <v>15</v>
      </c>
      <c r="O9" s="25" t="s">
        <v>16</v>
      </c>
      <c r="P9" s="25" t="s">
        <v>17</v>
      </c>
      <c r="R9" s="22"/>
    </row>
    <row r="10" spans="1:19" s="23" customFormat="1" ht="12.75" x14ac:dyDescent="0.2">
      <c r="A10" s="26" t="s">
        <v>18</v>
      </c>
      <c r="B10" s="26" t="s">
        <v>19</v>
      </c>
      <c r="C10" s="26" t="s">
        <v>20</v>
      </c>
      <c r="D10" s="26" t="s">
        <v>66</v>
      </c>
      <c r="E10" s="26" t="s">
        <v>22</v>
      </c>
      <c r="F10" s="26" t="s">
        <v>23</v>
      </c>
      <c r="G10" s="26"/>
      <c r="H10" s="26"/>
      <c r="I10" s="26"/>
      <c r="J10" s="26"/>
      <c r="K10" s="26" t="s">
        <v>79</v>
      </c>
      <c r="L10" s="26" t="s">
        <v>25</v>
      </c>
      <c r="M10" s="26" t="s">
        <v>26</v>
      </c>
      <c r="N10" s="26" t="s">
        <v>27</v>
      </c>
      <c r="O10" s="26" t="s">
        <v>28</v>
      </c>
      <c r="P10" s="26" t="s">
        <v>29</v>
      </c>
      <c r="R10" s="22"/>
    </row>
    <row r="11" spans="1:19" s="23" customFormat="1" ht="12.75" x14ac:dyDescent="0.2">
      <c r="R11" s="22"/>
    </row>
    <row r="12" spans="1:19" s="23" customFormat="1" ht="12.75" x14ac:dyDescent="0.2">
      <c r="A12" s="6" t="s">
        <v>65</v>
      </c>
      <c r="R12" s="22"/>
    </row>
    <row r="13" spans="1:19" s="23" customFormat="1" ht="12.75" x14ac:dyDescent="0.2">
      <c r="R13" s="52" t="s">
        <v>16</v>
      </c>
    </row>
    <row r="14" spans="1:19" s="23" customFormat="1" ht="12.75" x14ac:dyDescent="0.2">
      <c r="A14" s="25">
        <v>1</v>
      </c>
      <c r="B14" s="29">
        <f>+'Sch 8 - 2014 to 2018'!O83</f>
        <v>12656034.683073331</v>
      </c>
      <c r="C14" s="29"/>
      <c r="E14" s="29"/>
      <c r="F14" s="29"/>
      <c r="G14" s="29">
        <f>+B14+C14+E14+F14</f>
        <v>12656034.683073331</v>
      </c>
      <c r="H14" s="29"/>
      <c r="I14" s="29">
        <f>IF((+D14+H14)&gt;0,D14+H14,0)</f>
        <v>0</v>
      </c>
      <c r="J14" s="29">
        <f>ROUND(I14*0.5,0)</f>
        <v>0</v>
      </c>
      <c r="K14" s="29">
        <f>ROUND(IF((C14-D14+F14)*0.5&gt;0,(C14-D14+F14)*0.5,0),0)</f>
        <v>0</v>
      </c>
      <c r="L14" s="61">
        <v>4</v>
      </c>
      <c r="M14" s="29">
        <v>0</v>
      </c>
      <c r="N14" s="29">
        <v>0</v>
      </c>
      <c r="O14" s="12">
        <f>ROUND((G14+J14-K14)*L14/100,0)</f>
        <v>506241</v>
      </c>
      <c r="P14" s="29">
        <f>+G14-O14</f>
        <v>12149793.683073331</v>
      </c>
      <c r="Q14" s="29"/>
      <c r="R14" s="52" t="s">
        <v>64</v>
      </c>
    </row>
    <row r="15" spans="1:19" s="23" customFormat="1" ht="12.75" x14ac:dyDescent="0.2">
      <c r="A15" s="25" t="s">
        <v>30</v>
      </c>
      <c r="B15" s="29">
        <f>+'Sch 8 - 2014 to 2018'!O84</f>
        <v>2799004.8945306861</v>
      </c>
      <c r="C15" s="29">
        <v>276177</v>
      </c>
      <c r="D15" s="29">
        <v>276177</v>
      </c>
      <c r="E15" s="29"/>
      <c r="F15" s="29"/>
      <c r="G15" s="29">
        <f t="shared" ref="G15:G27" si="0">+B15+C15+E15+F15</f>
        <v>3075181.8945306861</v>
      </c>
      <c r="H15" s="29"/>
      <c r="I15" s="29">
        <f t="shared" ref="I15:I27" si="1">IF((+D15+H15)&gt;0,D15+H15,0)</f>
        <v>276177</v>
      </c>
      <c r="J15" s="29">
        <f t="shared" ref="J15:J27" si="2">ROUND(I15*0.5,0)</f>
        <v>138089</v>
      </c>
      <c r="K15" s="29">
        <f t="shared" ref="K15:K27" si="3">ROUND(IF((C15-D15+F15)*0.5&gt;0,(C15-D15+F15)*0.5,0),0)</f>
        <v>0</v>
      </c>
      <c r="L15" s="61">
        <v>6</v>
      </c>
      <c r="M15" s="29">
        <v>0</v>
      </c>
      <c r="N15" s="29">
        <v>0</v>
      </c>
      <c r="O15" s="12">
        <f t="shared" ref="O15:O27" si="4">ROUND((G15+J15-K15)*L15/100,0)</f>
        <v>192796</v>
      </c>
      <c r="P15" s="29">
        <f t="shared" ref="P15:P27" si="5">+G15-O15</f>
        <v>2882385.8945306861</v>
      </c>
      <c r="Q15" s="29"/>
      <c r="R15" s="22"/>
    </row>
    <row r="16" spans="1:19" s="23" customFormat="1" ht="12.75" x14ac:dyDescent="0.2">
      <c r="A16" s="25">
        <v>2</v>
      </c>
      <c r="B16" s="29">
        <f>+'Sch 8 - 2014 to 2018'!O85</f>
        <v>6404092.0015117889</v>
      </c>
      <c r="C16" s="29"/>
      <c r="D16" s="30"/>
      <c r="E16" s="29"/>
      <c r="F16" s="29"/>
      <c r="G16" s="29">
        <f t="shared" si="0"/>
        <v>6404092.0015117889</v>
      </c>
      <c r="H16" s="29"/>
      <c r="I16" s="29">
        <f t="shared" si="1"/>
        <v>0</v>
      </c>
      <c r="J16" s="29">
        <f t="shared" si="2"/>
        <v>0</v>
      </c>
      <c r="K16" s="29">
        <f t="shared" si="3"/>
        <v>0</v>
      </c>
      <c r="L16" s="62">
        <v>6</v>
      </c>
      <c r="M16" s="29">
        <v>0</v>
      </c>
      <c r="N16" s="29">
        <v>0</v>
      </c>
      <c r="O16" s="12">
        <f>ROUND((G16+J16-K16)*L16/100,0)-1</f>
        <v>384245</v>
      </c>
      <c r="P16" s="29">
        <f t="shared" si="5"/>
        <v>6019847.0015117889</v>
      </c>
      <c r="Q16" s="29"/>
      <c r="R16" s="22">
        <v>6545600</v>
      </c>
      <c r="S16" s="23" t="s">
        <v>43</v>
      </c>
    </row>
    <row r="17" spans="1:19" s="23" customFormat="1" ht="12.75" x14ac:dyDescent="0.2">
      <c r="A17" s="25">
        <v>8</v>
      </c>
      <c r="B17" s="29">
        <f>+'Sch 8 - 2014 to 2018'!O86</f>
        <v>1075927.52336</v>
      </c>
      <c r="C17" s="29">
        <v>199738</v>
      </c>
      <c r="D17" s="34">
        <v>199738</v>
      </c>
      <c r="F17" s="29"/>
      <c r="G17" s="29">
        <f t="shared" si="0"/>
        <v>1275665.52336</v>
      </c>
      <c r="H17" s="29"/>
      <c r="I17" s="29">
        <f t="shared" si="1"/>
        <v>199738</v>
      </c>
      <c r="J17" s="29">
        <f t="shared" si="2"/>
        <v>99869</v>
      </c>
      <c r="K17" s="29">
        <f t="shared" si="3"/>
        <v>0</v>
      </c>
      <c r="L17" s="62">
        <v>20</v>
      </c>
      <c r="M17" s="29">
        <v>0</v>
      </c>
      <c r="N17" s="29">
        <v>0</v>
      </c>
      <c r="O17" s="12">
        <f t="shared" si="4"/>
        <v>275107</v>
      </c>
      <c r="P17" s="29">
        <f t="shared" si="5"/>
        <v>1000558.52336</v>
      </c>
      <c r="Q17" s="29"/>
      <c r="R17" s="22">
        <v>-24204</v>
      </c>
      <c r="S17" s="23" t="s">
        <v>45</v>
      </c>
    </row>
    <row r="18" spans="1:19" s="23" customFormat="1" ht="12.75" x14ac:dyDescent="0.2">
      <c r="A18" s="25">
        <v>10</v>
      </c>
      <c r="B18" s="29">
        <f>+'Sch 8 - 2014 to 2018'!O87</f>
        <v>1521960.0682950001</v>
      </c>
      <c r="C18" s="29">
        <v>239984</v>
      </c>
      <c r="D18" s="29">
        <v>239984</v>
      </c>
      <c r="E18" s="13"/>
      <c r="F18" s="29"/>
      <c r="G18" s="29">
        <f t="shared" si="0"/>
        <v>1761944.0682950001</v>
      </c>
      <c r="H18" s="29"/>
      <c r="I18" s="29">
        <f t="shared" si="1"/>
        <v>239984</v>
      </c>
      <c r="J18" s="29">
        <f t="shared" si="2"/>
        <v>119992</v>
      </c>
      <c r="K18" s="29">
        <f t="shared" si="3"/>
        <v>0</v>
      </c>
      <c r="L18" s="62">
        <v>30</v>
      </c>
      <c r="M18" s="29">
        <v>0</v>
      </c>
      <c r="N18" s="29">
        <v>0</v>
      </c>
      <c r="O18" s="12">
        <f t="shared" si="4"/>
        <v>564581</v>
      </c>
      <c r="P18" s="29">
        <f t="shared" si="5"/>
        <v>1197363.0682950001</v>
      </c>
      <c r="Q18" s="29"/>
      <c r="R18" s="22">
        <v>558819</v>
      </c>
      <c r="S18" s="23" t="s">
        <v>89</v>
      </c>
    </row>
    <row r="19" spans="1:19" s="23" customFormat="1" ht="12.75" x14ac:dyDescent="0.2">
      <c r="A19" s="25">
        <v>10.1</v>
      </c>
      <c r="B19" s="29">
        <v>0</v>
      </c>
      <c r="C19" s="29">
        <v>33900</v>
      </c>
      <c r="D19" s="29">
        <v>33900</v>
      </c>
      <c r="E19" s="13"/>
      <c r="F19" s="29"/>
      <c r="G19" s="29">
        <f t="shared" si="0"/>
        <v>33900</v>
      </c>
      <c r="H19" s="29"/>
      <c r="I19" s="29">
        <v>0</v>
      </c>
      <c r="J19" s="29">
        <f>ROUND(D19*0.5,0)</f>
        <v>16950</v>
      </c>
      <c r="K19" s="29">
        <f t="shared" si="3"/>
        <v>0</v>
      </c>
      <c r="L19" s="62">
        <v>30</v>
      </c>
      <c r="M19" s="65" t="s">
        <v>80</v>
      </c>
      <c r="N19" s="65" t="s">
        <v>80</v>
      </c>
      <c r="O19" s="12">
        <f t="shared" si="4"/>
        <v>15255</v>
      </c>
      <c r="P19" s="29">
        <f t="shared" si="5"/>
        <v>18645</v>
      </c>
      <c r="Q19" s="29"/>
      <c r="R19" s="22">
        <f>ROUND(-40620*0.07,0)</f>
        <v>-2843</v>
      </c>
      <c r="S19" s="23" t="s">
        <v>50</v>
      </c>
    </row>
    <row r="20" spans="1:19" s="23" customFormat="1" ht="12.75" x14ac:dyDescent="0.2">
      <c r="A20" s="25">
        <v>12</v>
      </c>
      <c r="B20" s="29">
        <f>+'Sch 8 - 2014 to 2018'!O88</f>
        <v>256892.5</v>
      </c>
      <c r="C20" s="29">
        <v>659821</v>
      </c>
      <c r="D20" s="29">
        <v>659821</v>
      </c>
      <c r="E20" s="13"/>
      <c r="F20" s="29"/>
      <c r="G20" s="29">
        <f t="shared" si="0"/>
        <v>916713.5</v>
      </c>
      <c r="H20" s="29"/>
      <c r="I20" s="29">
        <f t="shared" si="1"/>
        <v>659821</v>
      </c>
      <c r="J20" s="29">
        <f>ROUND(I20*0,0)</f>
        <v>0</v>
      </c>
      <c r="K20" s="29">
        <f t="shared" si="3"/>
        <v>0</v>
      </c>
      <c r="L20" s="62">
        <v>100</v>
      </c>
      <c r="M20" s="29">
        <v>0</v>
      </c>
      <c r="N20" s="29">
        <v>0</v>
      </c>
      <c r="O20" s="12">
        <f t="shared" si="4"/>
        <v>916714</v>
      </c>
      <c r="P20" s="29">
        <v>0</v>
      </c>
      <c r="Q20" s="29"/>
      <c r="R20" s="66">
        <f>(83855-12578-21383)*0.3</f>
        <v>14968.199999999999</v>
      </c>
      <c r="S20" s="23" t="s">
        <v>62</v>
      </c>
    </row>
    <row r="21" spans="1:19" s="23" customFormat="1" ht="12.75" x14ac:dyDescent="0.2">
      <c r="A21" s="25">
        <v>17</v>
      </c>
      <c r="B21" s="29">
        <f>+'Sch 8 - 2014 to 2018'!O89</f>
        <v>19885.148636467198</v>
      </c>
      <c r="C21" s="29"/>
      <c r="D21" s="29"/>
      <c r="E21" s="13"/>
      <c r="F21" s="29"/>
      <c r="G21" s="29">
        <f t="shared" si="0"/>
        <v>19885.148636467198</v>
      </c>
      <c r="H21" s="29"/>
      <c r="I21" s="29">
        <f t="shared" si="1"/>
        <v>0</v>
      </c>
      <c r="J21" s="29">
        <f t="shared" si="2"/>
        <v>0</v>
      </c>
      <c r="K21" s="29">
        <f t="shared" si="3"/>
        <v>0</v>
      </c>
      <c r="L21" s="62">
        <v>8</v>
      </c>
      <c r="M21" s="29">
        <v>0</v>
      </c>
      <c r="N21" s="29">
        <v>0</v>
      </c>
      <c r="O21" s="12">
        <f t="shared" si="4"/>
        <v>1591</v>
      </c>
      <c r="P21" s="29">
        <f t="shared" si="5"/>
        <v>18294.148636467198</v>
      </c>
      <c r="Q21" s="29"/>
      <c r="R21" s="66">
        <f>(-83855+3354+6440)*0.08</f>
        <v>-5924.88</v>
      </c>
      <c r="S21" s="23" t="s">
        <v>63</v>
      </c>
    </row>
    <row r="22" spans="1:19" s="23" customFormat="1" ht="13.5" thickBot="1" x14ac:dyDescent="0.25">
      <c r="A22" s="25">
        <v>45</v>
      </c>
      <c r="B22" s="29">
        <f>+'Sch 8 - 2014 to 2018'!O90</f>
        <v>217.41884999999999</v>
      </c>
      <c r="C22" s="29"/>
      <c r="D22" s="29"/>
      <c r="E22" s="13"/>
      <c r="F22" s="29"/>
      <c r="G22" s="29">
        <f t="shared" si="0"/>
        <v>217.41884999999999</v>
      </c>
      <c r="H22" s="29"/>
      <c r="I22" s="29">
        <f t="shared" si="1"/>
        <v>0</v>
      </c>
      <c r="J22" s="29">
        <f t="shared" si="2"/>
        <v>0</v>
      </c>
      <c r="K22" s="29">
        <f t="shared" si="3"/>
        <v>0</v>
      </c>
      <c r="L22" s="62">
        <v>45</v>
      </c>
      <c r="M22" s="29">
        <v>0</v>
      </c>
      <c r="N22" s="29">
        <v>0</v>
      </c>
      <c r="O22" s="12">
        <f t="shared" si="4"/>
        <v>98</v>
      </c>
      <c r="P22" s="29">
        <f t="shared" si="5"/>
        <v>119.41884999999999</v>
      </c>
      <c r="Q22" s="29"/>
      <c r="R22" s="54">
        <f>SUM(R16:R21)</f>
        <v>7086415.3200000003</v>
      </c>
      <c r="S22" s="23" t="s">
        <v>49</v>
      </c>
    </row>
    <row r="23" spans="1:19" s="23" customFormat="1" ht="13.5" thickTop="1" x14ac:dyDescent="0.2">
      <c r="A23" s="25">
        <v>46</v>
      </c>
      <c r="B23" s="29">
        <f>+'Sch 8 - 2014 to 2018'!O91</f>
        <v>23334.174939999997</v>
      </c>
      <c r="C23" s="29"/>
      <c r="D23" s="29"/>
      <c r="E23" s="13"/>
      <c r="F23" s="29"/>
      <c r="G23" s="29">
        <f t="shared" si="0"/>
        <v>23334.174939999997</v>
      </c>
      <c r="H23" s="29"/>
      <c r="I23" s="29">
        <f t="shared" si="1"/>
        <v>0</v>
      </c>
      <c r="J23" s="29">
        <f t="shared" si="2"/>
        <v>0</v>
      </c>
      <c r="K23" s="29">
        <f t="shared" si="3"/>
        <v>0</v>
      </c>
      <c r="L23" s="62">
        <v>30</v>
      </c>
      <c r="M23" s="29">
        <v>0</v>
      </c>
      <c r="N23" s="29">
        <v>0</v>
      </c>
      <c r="O23" s="12">
        <f t="shared" si="4"/>
        <v>7000</v>
      </c>
      <c r="P23" s="29">
        <f t="shared" si="5"/>
        <v>16334.174939999997</v>
      </c>
      <c r="Q23" s="29"/>
      <c r="R23" s="22"/>
    </row>
    <row r="24" spans="1:19" s="23" customFormat="1" ht="12.75" x14ac:dyDescent="0.2">
      <c r="A24" s="25" t="s">
        <v>59</v>
      </c>
      <c r="B24" s="29">
        <f>+'Sch 8 - 2014 to 2018'!O92</f>
        <v>927970.01970465388</v>
      </c>
      <c r="C24" s="29"/>
      <c r="D24" s="29"/>
      <c r="E24" s="29"/>
      <c r="F24" s="29"/>
      <c r="G24" s="29">
        <f t="shared" si="0"/>
        <v>927970.01970465388</v>
      </c>
      <c r="H24" s="29"/>
      <c r="I24" s="29">
        <f t="shared" si="1"/>
        <v>0</v>
      </c>
      <c r="J24" s="29">
        <f t="shared" si="2"/>
        <v>0</v>
      </c>
      <c r="K24" s="29">
        <f t="shared" si="3"/>
        <v>0</v>
      </c>
      <c r="L24" s="62">
        <v>7</v>
      </c>
      <c r="M24" s="29">
        <v>0</v>
      </c>
      <c r="N24" s="29">
        <v>0</v>
      </c>
      <c r="O24" s="12">
        <f t="shared" si="4"/>
        <v>64958</v>
      </c>
      <c r="P24" s="29">
        <f t="shared" si="5"/>
        <v>863012.01970465388</v>
      </c>
      <c r="Q24" s="29"/>
      <c r="R24" s="22"/>
    </row>
    <row r="25" spans="1:19" s="23" customFormat="1" ht="12.75" x14ac:dyDescent="0.2">
      <c r="A25" s="25">
        <v>47</v>
      </c>
      <c r="B25" s="29">
        <f>+'Sch 8 - 2014 to 2018'!O93</f>
        <v>25377482.934095152</v>
      </c>
      <c r="C25" s="29">
        <v>6106791</v>
      </c>
      <c r="D25" s="34">
        <v>6054904</v>
      </c>
      <c r="E25" s="13"/>
      <c r="F25" s="34">
        <v>-33948</v>
      </c>
      <c r="G25" s="29">
        <f>+B25+C25+E25+F25</f>
        <v>31450325.934095152</v>
      </c>
      <c r="H25" s="29"/>
      <c r="I25" s="29">
        <f t="shared" si="1"/>
        <v>6054904</v>
      </c>
      <c r="J25" s="29">
        <f t="shared" si="2"/>
        <v>3027452</v>
      </c>
      <c r="K25" s="29">
        <f t="shared" si="3"/>
        <v>8970</v>
      </c>
      <c r="L25" s="63">
        <v>8</v>
      </c>
      <c r="M25" s="29">
        <v>0</v>
      </c>
      <c r="N25" s="29">
        <v>0</v>
      </c>
      <c r="O25" s="12">
        <f t="shared" si="4"/>
        <v>2757505</v>
      </c>
      <c r="P25" s="29">
        <f t="shared" si="5"/>
        <v>28692820.934095152</v>
      </c>
      <c r="Q25" s="29"/>
      <c r="R25" s="22"/>
    </row>
    <row r="26" spans="1:19" s="23" customFormat="1" ht="12.75" x14ac:dyDescent="0.2">
      <c r="A26" s="25">
        <v>50</v>
      </c>
      <c r="B26" s="29">
        <f>+'Sch 8 - 2014 to 2018'!O94</f>
        <v>874343.9943207812</v>
      </c>
      <c r="C26" s="29">
        <v>1114466</v>
      </c>
      <c r="D26" s="34">
        <v>1114466</v>
      </c>
      <c r="E26" s="34"/>
      <c r="F26" s="34"/>
      <c r="G26" s="29">
        <f t="shared" si="0"/>
        <v>1988809.9943207812</v>
      </c>
      <c r="H26" s="29"/>
      <c r="I26" s="29">
        <f t="shared" si="1"/>
        <v>1114466</v>
      </c>
      <c r="J26" s="29">
        <f t="shared" si="2"/>
        <v>557233</v>
      </c>
      <c r="K26" s="29">
        <f t="shared" si="3"/>
        <v>0</v>
      </c>
      <c r="L26" s="63">
        <v>55</v>
      </c>
      <c r="M26" s="29">
        <v>0</v>
      </c>
      <c r="N26" s="29">
        <v>0</v>
      </c>
      <c r="O26" s="12">
        <f t="shared" si="4"/>
        <v>1400324</v>
      </c>
      <c r="P26" s="29">
        <f t="shared" si="5"/>
        <v>588485.9943207812</v>
      </c>
      <c r="Q26" s="29"/>
      <c r="R26" s="22"/>
    </row>
    <row r="27" spans="1:19" s="23" customFormat="1" ht="12.75" x14ac:dyDescent="0.2">
      <c r="A27" s="25">
        <v>95</v>
      </c>
      <c r="B27" s="29">
        <f>+'Sch 8 - 2014 to 2018'!O95</f>
        <v>1207922</v>
      </c>
      <c r="C27" s="29">
        <v>1420322</v>
      </c>
      <c r="D27" s="38">
        <v>1420322</v>
      </c>
      <c r="E27" s="38"/>
      <c r="F27" s="38">
        <v>-1207922</v>
      </c>
      <c r="G27" s="29">
        <f t="shared" si="0"/>
        <v>1420322</v>
      </c>
      <c r="H27" s="29">
        <v>-1207922</v>
      </c>
      <c r="I27" s="29">
        <f t="shared" si="1"/>
        <v>212400</v>
      </c>
      <c r="J27" s="29">
        <f t="shared" si="2"/>
        <v>106200</v>
      </c>
      <c r="K27" s="29">
        <f t="shared" si="3"/>
        <v>0</v>
      </c>
      <c r="L27" s="64">
        <v>0</v>
      </c>
      <c r="M27" s="29">
        <v>0</v>
      </c>
      <c r="N27" s="29">
        <v>0</v>
      </c>
      <c r="O27" s="12">
        <f t="shared" si="4"/>
        <v>0</v>
      </c>
      <c r="P27" s="29">
        <f t="shared" si="5"/>
        <v>1420322</v>
      </c>
      <c r="Q27" s="29"/>
      <c r="R27" s="22"/>
    </row>
    <row r="28" spans="1:19" s="23" customFormat="1" ht="13.5" thickBot="1" x14ac:dyDescent="0.25">
      <c r="B28" s="40">
        <f t="shared" ref="B28:G28" si="6">SUM(B14:B27)</f>
        <v>53145067.361317858</v>
      </c>
      <c r="C28" s="40">
        <f t="shared" si="6"/>
        <v>10051199</v>
      </c>
      <c r="D28" s="40">
        <f t="shared" si="6"/>
        <v>9999312</v>
      </c>
      <c r="E28" s="40">
        <f t="shared" si="6"/>
        <v>0</v>
      </c>
      <c r="F28" s="40">
        <f t="shared" si="6"/>
        <v>-1241870</v>
      </c>
      <c r="G28" s="40">
        <f t="shared" si="6"/>
        <v>61954396.361317858</v>
      </c>
      <c r="H28" s="40">
        <f t="shared" ref="H28:K28" si="7">SUM(H14:H27)</f>
        <v>-1207922</v>
      </c>
      <c r="I28" s="40">
        <f t="shared" si="7"/>
        <v>8757490</v>
      </c>
      <c r="J28" s="40">
        <f t="shared" si="7"/>
        <v>4065785</v>
      </c>
      <c r="K28" s="40">
        <f t="shared" si="7"/>
        <v>8970</v>
      </c>
      <c r="L28" s="40">
        <v>0</v>
      </c>
      <c r="M28" s="40">
        <f>SUM(M14:M27)</f>
        <v>0</v>
      </c>
      <c r="N28" s="40">
        <f>SUM(N14:N27)</f>
        <v>0</v>
      </c>
      <c r="O28" s="53">
        <f>SUM(O14:O27)</f>
        <v>7086415</v>
      </c>
      <c r="P28" s="40">
        <f>SUM(P14:P27)</f>
        <v>54867981.861317858</v>
      </c>
      <c r="R28" s="22"/>
    </row>
    <row r="29" spans="1:19" ht="15.75" thickTop="1" x14ac:dyDescent="0.25"/>
    <row r="30" spans="1:19" s="23" customFormat="1" ht="12.75" x14ac:dyDescent="0.2">
      <c r="A30" s="6" t="s">
        <v>81</v>
      </c>
      <c r="D30" s="24"/>
      <c r="R30" s="22"/>
    </row>
    <row r="31" spans="1:19" s="23" customFormat="1" ht="12.75" x14ac:dyDescent="0.2">
      <c r="R31" s="52" t="s">
        <v>16</v>
      </c>
    </row>
    <row r="32" spans="1:19" s="23" customFormat="1" ht="12.75" x14ac:dyDescent="0.2">
      <c r="A32" s="25">
        <v>1</v>
      </c>
      <c r="B32" s="29">
        <f t="shared" ref="B32:B37" si="8">+P14</f>
        <v>12149793.683073331</v>
      </c>
      <c r="C32" s="29"/>
      <c r="E32" s="29"/>
      <c r="F32" s="29"/>
      <c r="G32" s="29">
        <f>+B32+C32+E32+F32</f>
        <v>12149793.683073331</v>
      </c>
      <c r="H32" s="29"/>
      <c r="I32" s="29">
        <f t="shared" ref="I32:I46" si="9">IF((+D32+H32)&gt;0,D32+H32,0)</f>
        <v>0</v>
      </c>
      <c r="J32" s="29">
        <f>ROUND(I32*0.5,0)</f>
        <v>0</v>
      </c>
      <c r="K32" s="29">
        <f>ROUND(IF((C32-D32+F32)*0.5&gt;0,(C32-D32+F32)*0.5,0),0)</f>
        <v>0</v>
      </c>
      <c r="L32" s="61">
        <v>4</v>
      </c>
      <c r="M32" s="29">
        <v>0</v>
      </c>
      <c r="N32" s="29">
        <v>0</v>
      </c>
      <c r="O32" s="12">
        <f>ROUND((G32+J32-K32)*L32/100,0)</f>
        <v>485992</v>
      </c>
      <c r="P32" s="29">
        <f>+G32-O32</f>
        <v>11663801.683073331</v>
      </c>
      <c r="Q32" s="29"/>
      <c r="R32" s="52" t="s">
        <v>82</v>
      </c>
    </row>
    <row r="33" spans="1:19" s="23" customFormat="1" ht="12.75" x14ac:dyDescent="0.2">
      <c r="A33" s="25" t="s">
        <v>30</v>
      </c>
      <c r="B33" s="29">
        <f t="shared" si="8"/>
        <v>2882385.8945306861</v>
      </c>
      <c r="C33" s="29">
        <v>192393</v>
      </c>
      <c r="D33" s="29">
        <v>192393</v>
      </c>
      <c r="E33" s="29"/>
      <c r="F33" s="29"/>
      <c r="G33" s="29">
        <f t="shared" ref="G33:G46" si="10">+B33+C33+E33+F33</f>
        <v>3074778.8945306861</v>
      </c>
      <c r="H33" s="29"/>
      <c r="I33" s="29">
        <f t="shared" si="9"/>
        <v>192393</v>
      </c>
      <c r="J33" s="29">
        <f t="shared" ref="J33:J46" si="11">ROUND(I33*0.5,0)</f>
        <v>96197</v>
      </c>
      <c r="K33" s="29">
        <f t="shared" ref="K33:K46" si="12">ROUND(IF((C33-D33+F33)*0.5&gt;0,(C33-D33+F33)*0.5,0),0)</f>
        <v>0</v>
      </c>
      <c r="L33" s="61">
        <v>6</v>
      </c>
      <c r="M33" s="29">
        <v>0</v>
      </c>
      <c r="N33" s="29">
        <v>0</v>
      </c>
      <c r="O33" s="12">
        <f t="shared" ref="O33:O46" si="13">ROUND((G33+J33-K33)*L33/100,0)</f>
        <v>190259</v>
      </c>
      <c r="P33" s="29">
        <f t="shared" ref="P33:P46" si="14">+G33-O33</f>
        <v>2884519.8945306861</v>
      </c>
      <c r="Q33" s="29"/>
      <c r="R33" s="22"/>
    </row>
    <row r="34" spans="1:19" s="23" customFormat="1" ht="12.75" x14ac:dyDescent="0.2">
      <c r="A34" s="25">
        <v>2</v>
      </c>
      <c r="B34" s="29">
        <f t="shared" si="8"/>
        <v>6019847.0015117889</v>
      </c>
      <c r="C34" s="29"/>
      <c r="D34" s="30"/>
      <c r="E34" s="29"/>
      <c r="F34" s="29"/>
      <c r="G34" s="29">
        <f t="shared" si="10"/>
        <v>6019847.0015117889</v>
      </c>
      <c r="H34" s="29"/>
      <c r="I34" s="29">
        <f t="shared" si="9"/>
        <v>0</v>
      </c>
      <c r="J34" s="29">
        <f t="shared" si="11"/>
        <v>0</v>
      </c>
      <c r="K34" s="29">
        <f t="shared" si="12"/>
        <v>0</v>
      </c>
      <c r="L34" s="62">
        <v>6</v>
      </c>
      <c r="M34" s="29">
        <v>0</v>
      </c>
      <c r="N34" s="29">
        <v>0</v>
      </c>
      <c r="O34" s="12">
        <f t="shared" si="13"/>
        <v>361191</v>
      </c>
      <c r="P34" s="29">
        <f t="shared" si="14"/>
        <v>5658656.0015117889</v>
      </c>
      <c r="Q34" s="29"/>
      <c r="R34" s="22">
        <v>6421164</v>
      </c>
      <c r="S34" s="23" t="s">
        <v>43</v>
      </c>
    </row>
    <row r="35" spans="1:19" s="23" customFormat="1" ht="12.75" x14ac:dyDescent="0.2">
      <c r="A35" s="25">
        <v>8</v>
      </c>
      <c r="B35" s="29">
        <f t="shared" si="8"/>
        <v>1000558.52336</v>
      </c>
      <c r="C35" s="29">
        <v>161589</v>
      </c>
      <c r="D35" s="34">
        <v>161589</v>
      </c>
      <c r="F35" s="29"/>
      <c r="G35" s="29">
        <f t="shared" si="10"/>
        <v>1162147.52336</v>
      </c>
      <c r="H35" s="29"/>
      <c r="I35" s="29">
        <f t="shared" si="9"/>
        <v>161589</v>
      </c>
      <c r="J35" s="29">
        <f t="shared" si="11"/>
        <v>80795</v>
      </c>
      <c r="K35" s="29">
        <f t="shared" si="12"/>
        <v>0</v>
      </c>
      <c r="L35" s="62">
        <v>20</v>
      </c>
      <c r="M35" s="29">
        <v>0</v>
      </c>
      <c r="N35" s="29">
        <v>0</v>
      </c>
      <c r="O35" s="12">
        <f t="shared" si="13"/>
        <v>248589</v>
      </c>
      <c r="P35" s="29">
        <f t="shared" si="14"/>
        <v>913558.52335999999</v>
      </c>
      <c r="Q35" s="29"/>
      <c r="R35" s="66">
        <v>511134</v>
      </c>
      <c r="S35" s="23" t="s">
        <v>95</v>
      </c>
    </row>
    <row r="36" spans="1:19" s="23" customFormat="1" ht="12.75" x14ac:dyDescent="0.2">
      <c r="A36" s="25">
        <v>10</v>
      </c>
      <c r="B36" s="29">
        <f t="shared" si="8"/>
        <v>1197363.0682950001</v>
      </c>
      <c r="C36" s="29">
        <v>908168</v>
      </c>
      <c r="D36" s="29">
        <v>908168</v>
      </c>
      <c r="E36" s="13"/>
      <c r="F36" s="29">
        <v>-125950</v>
      </c>
      <c r="G36" s="29">
        <f t="shared" si="10"/>
        <v>1979581.0682950001</v>
      </c>
      <c r="H36" s="29">
        <v>-125950</v>
      </c>
      <c r="I36" s="29">
        <f t="shared" si="9"/>
        <v>782218</v>
      </c>
      <c r="J36" s="29">
        <f t="shared" si="11"/>
        <v>391109</v>
      </c>
      <c r="K36" s="29">
        <f t="shared" si="12"/>
        <v>0</v>
      </c>
      <c r="L36" s="62">
        <v>30</v>
      </c>
      <c r="M36" s="29">
        <v>0</v>
      </c>
      <c r="N36" s="29">
        <v>0</v>
      </c>
      <c r="O36" s="12">
        <f t="shared" si="13"/>
        <v>711207</v>
      </c>
      <c r="P36" s="29">
        <f t="shared" si="14"/>
        <v>1268374.0682950001</v>
      </c>
      <c r="Q36" s="29"/>
      <c r="S36" s="75" t="s">
        <v>96</v>
      </c>
    </row>
    <row r="37" spans="1:19" s="23" customFormat="1" ht="12.75" x14ac:dyDescent="0.2">
      <c r="A37" s="25">
        <v>10.1</v>
      </c>
      <c r="B37" s="29">
        <f t="shared" si="8"/>
        <v>18645</v>
      </c>
      <c r="C37" s="29">
        <v>0</v>
      </c>
      <c r="D37" s="29">
        <v>0</v>
      </c>
      <c r="E37" s="13"/>
      <c r="F37" s="29"/>
      <c r="G37" s="29">
        <f t="shared" si="10"/>
        <v>18645</v>
      </c>
      <c r="H37" s="29"/>
      <c r="I37" s="29">
        <f t="shared" si="9"/>
        <v>0</v>
      </c>
      <c r="J37" s="29">
        <f>ROUND(D37*0.5,0)</f>
        <v>0</v>
      </c>
      <c r="K37" s="29">
        <f t="shared" si="12"/>
        <v>0</v>
      </c>
      <c r="L37" s="62">
        <v>30</v>
      </c>
      <c r="M37" s="65" t="s">
        <v>80</v>
      </c>
      <c r="N37" s="65" t="s">
        <v>80</v>
      </c>
      <c r="O37" s="12">
        <f t="shared" si="13"/>
        <v>5594</v>
      </c>
      <c r="P37" s="29">
        <f t="shared" si="14"/>
        <v>13051</v>
      </c>
      <c r="Q37" s="29"/>
      <c r="R37" s="66">
        <v>-77308</v>
      </c>
      <c r="S37" s="23" t="s">
        <v>98</v>
      </c>
    </row>
    <row r="38" spans="1:19" s="23" customFormat="1" ht="12.75" x14ac:dyDescent="0.2">
      <c r="A38" s="25">
        <v>10.1</v>
      </c>
      <c r="B38" s="29">
        <v>0</v>
      </c>
      <c r="C38" s="29">
        <v>33900</v>
      </c>
      <c r="D38" s="29">
        <v>33900</v>
      </c>
      <c r="E38" s="13"/>
      <c r="F38" s="29"/>
      <c r="G38" s="29">
        <f t="shared" si="10"/>
        <v>33900</v>
      </c>
      <c r="H38" s="29"/>
      <c r="I38" s="29">
        <f t="shared" si="9"/>
        <v>33900</v>
      </c>
      <c r="J38" s="29">
        <f>ROUND(D38*0.5,0)</f>
        <v>16950</v>
      </c>
      <c r="K38" s="29">
        <f t="shared" si="12"/>
        <v>0</v>
      </c>
      <c r="L38" s="62">
        <v>30</v>
      </c>
      <c r="M38" s="65" t="s">
        <v>80</v>
      </c>
      <c r="N38" s="65" t="s">
        <v>80</v>
      </c>
      <c r="O38" s="12">
        <f t="shared" si="13"/>
        <v>15255</v>
      </c>
      <c r="P38" s="29">
        <f t="shared" ref="P38" si="15">+G38-O38</f>
        <v>18645</v>
      </c>
      <c r="Q38" s="29"/>
      <c r="R38" s="66">
        <v>-7408</v>
      </c>
      <c r="S38" s="23" t="s">
        <v>45</v>
      </c>
    </row>
    <row r="39" spans="1:19" s="23" customFormat="1" ht="12.75" x14ac:dyDescent="0.2">
      <c r="A39" s="25">
        <v>12</v>
      </c>
      <c r="B39" s="29">
        <f t="shared" ref="B39:B46" si="16">+P20</f>
        <v>0</v>
      </c>
      <c r="C39" s="29">
        <v>336234</v>
      </c>
      <c r="D39" s="29">
        <v>336234</v>
      </c>
      <c r="E39" s="13"/>
      <c r="F39" s="29"/>
      <c r="G39" s="29">
        <f t="shared" si="10"/>
        <v>336234</v>
      </c>
      <c r="H39" s="29"/>
      <c r="I39" s="29">
        <f t="shared" si="9"/>
        <v>336234</v>
      </c>
      <c r="J39" s="29">
        <f>ROUND(I39*0,0)</f>
        <v>0</v>
      </c>
      <c r="K39" s="29">
        <f t="shared" si="12"/>
        <v>0</v>
      </c>
      <c r="L39" s="62">
        <v>100</v>
      </c>
      <c r="M39" s="29">
        <v>0</v>
      </c>
      <c r="N39" s="29">
        <v>0</v>
      </c>
      <c r="O39" s="12">
        <f t="shared" si="13"/>
        <v>336234</v>
      </c>
      <c r="P39" s="29">
        <f t="shared" si="14"/>
        <v>0</v>
      </c>
      <c r="Q39" s="29"/>
      <c r="R39" s="66">
        <f>(83855-12578-21383-14968)*0.3</f>
        <v>10477.799999999999</v>
      </c>
      <c r="S39" s="23" t="s">
        <v>62</v>
      </c>
    </row>
    <row r="40" spans="1:19" s="23" customFormat="1" ht="12.75" x14ac:dyDescent="0.2">
      <c r="A40" s="25">
        <v>17</v>
      </c>
      <c r="B40" s="29">
        <f t="shared" si="16"/>
        <v>18294.148636467198</v>
      </c>
      <c r="C40" s="29"/>
      <c r="D40" s="29"/>
      <c r="E40" s="13"/>
      <c r="F40" s="29"/>
      <c r="G40" s="29">
        <f t="shared" si="10"/>
        <v>18294.148636467198</v>
      </c>
      <c r="H40" s="29"/>
      <c r="I40" s="29">
        <f t="shared" si="9"/>
        <v>0</v>
      </c>
      <c r="J40" s="29">
        <f t="shared" si="11"/>
        <v>0</v>
      </c>
      <c r="K40" s="29">
        <f t="shared" si="12"/>
        <v>0</v>
      </c>
      <c r="L40" s="62">
        <v>8</v>
      </c>
      <c r="M40" s="29">
        <v>0</v>
      </c>
      <c r="N40" s="29">
        <v>0</v>
      </c>
      <c r="O40" s="12">
        <f t="shared" si="13"/>
        <v>1464</v>
      </c>
      <c r="P40" s="29">
        <f t="shared" si="14"/>
        <v>16830.148636467198</v>
      </c>
      <c r="Q40" s="29"/>
      <c r="R40" s="66">
        <f>(-83855+3354+6440+5925)*0.08</f>
        <v>-5450.88</v>
      </c>
      <c r="S40" s="23" t="s">
        <v>63</v>
      </c>
    </row>
    <row r="41" spans="1:19" s="23" customFormat="1" ht="12.75" x14ac:dyDescent="0.2">
      <c r="A41" s="25">
        <v>45</v>
      </c>
      <c r="B41" s="29">
        <f t="shared" si="16"/>
        <v>119.41884999999999</v>
      </c>
      <c r="C41" s="29"/>
      <c r="D41" s="29"/>
      <c r="E41" s="13"/>
      <c r="F41" s="29"/>
      <c r="G41" s="29">
        <f t="shared" si="10"/>
        <v>119.41884999999999</v>
      </c>
      <c r="H41" s="29"/>
      <c r="I41" s="29">
        <f t="shared" si="9"/>
        <v>0</v>
      </c>
      <c r="J41" s="29">
        <f t="shared" si="11"/>
        <v>0</v>
      </c>
      <c r="K41" s="29">
        <f t="shared" si="12"/>
        <v>0</v>
      </c>
      <c r="L41" s="62">
        <v>45</v>
      </c>
      <c r="M41" s="29">
        <v>0</v>
      </c>
      <c r="N41" s="29">
        <v>0</v>
      </c>
      <c r="O41" s="12">
        <f t="shared" si="13"/>
        <v>54</v>
      </c>
      <c r="P41" s="29">
        <f t="shared" si="14"/>
        <v>65.418849999999992</v>
      </c>
      <c r="Q41" s="29"/>
      <c r="R41" s="66">
        <v>8839</v>
      </c>
      <c r="S41" s="23" t="s">
        <v>94</v>
      </c>
    </row>
    <row r="42" spans="1:19" s="23" customFormat="1" ht="13.5" thickBot="1" x14ac:dyDescent="0.25">
      <c r="A42" s="25">
        <v>46</v>
      </c>
      <c r="B42" s="29">
        <f t="shared" si="16"/>
        <v>16334.174939999997</v>
      </c>
      <c r="C42" s="29"/>
      <c r="D42" s="29"/>
      <c r="E42" s="13"/>
      <c r="F42" s="29"/>
      <c r="G42" s="29">
        <f t="shared" si="10"/>
        <v>16334.174939999997</v>
      </c>
      <c r="H42" s="29"/>
      <c r="I42" s="29">
        <f t="shared" si="9"/>
        <v>0</v>
      </c>
      <c r="J42" s="29">
        <f t="shared" si="11"/>
        <v>0</v>
      </c>
      <c r="K42" s="29">
        <f t="shared" si="12"/>
        <v>0</v>
      </c>
      <c r="L42" s="62">
        <v>30</v>
      </c>
      <c r="M42" s="29">
        <v>0</v>
      </c>
      <c r="N42" s="29">
        <v>0</v>
      </c>
      <c r="O42" s="12">
        <f t="shared" si="13"/>
        <v>4900</v>
      </c>
      <c r="P42" s="29">
        <f t="shared" si="14"/>
        <v>11434.174939999997</v>
      </c>
      <c r="Q42" s="29"/>
      <c r="R42" s="54">
        <f>SUM(R34:R41)</f>
        <v>6861447.9199999999</v>
      </c>
      <c r="S42" s="23" t="s">
        <v>49</v>
      </c>
    </row>
    <row r="43" spans="1:19" s="23" customFormat="1" ht="13.5" thickTop="1" x14ac:dyDescent="0.2">
      <c r="A43" s="25" t="s">
        <v>59</v>
      </c>
      <c r="B43" s="29">
        <f t="shared" si="16"/>
        <v>863012.01970465388</v>
      </c>
      <c r="C43" s="29"/>
      <c r="D43" s="29"/>
      <c r="E43" s="29"/>
      <c r="F43" s="29">
        <v>-20280</v>
      </c>
      <c r="G43" s="29">
        <f t="shared" si="10"/>
        <v>842732.01970465388</v>
      </c>
      <c r="H43" s="29">
        <v>-20280</v>
      </c>
      <c r="I43" s="29">
        <f t="shared" si="9"/>
        <v>0</v>
      </c>
      <c r="J43" s="29">
        <f t="shared" si="11"/>
        <v>0</v>
      </c>
      <c r="K43" s="29">
        <f t="shared" si="12"/>
        <v>0</v>
      </c>
      <c r="L43" s="62">
        <v>7</v>
      </c>
      <c r="M43" s="29">
        <v>0</v>
      </c>
      <c r="N43" s="29">
        <v>0</v>
      </c>
      <c r="O43" s="12">
        <f>ROUND((G43+J43-K43)*L43/100,0)</f>
        <v>58991</v>
      </c>
      <c r="P43" s="29">
        <f t="shared" si="14"/>
        <v>783741.01970465388</v>
      </c>
      <c r="Q43" s="29"/>
    </row>
    <row r="44" spans="1:19" s="23" customFormat="1" ht="12.75" x14ac:dyDescent="0.2">
      <c r="A44" s="25">
        <v>47</v>
      </c>
      <c r="B44" s="29">
        <f t="shared" si="16"/>
        <v>28692820.934095152</v>
      </c>
      <c r="C44" s="29">
        <v>5774763</v>
      </c>
      <c r="D44" s="34">
        <v>5774763</v>
      </c>
      <c r="E44" s="13"/>
      <c r="F44" s="34">
        <v>-85444</v>
      </c>
      <c r="G44" s="29">
        <f t="shared" si="10"/>
        <v>34382139.934095152</v>
      </c>
      <c r="H44" s="29">
        <v>-85444</v>
      </c>
      <c r="I44" s="29">
        <f t="shared" si="9"/>
        <v>5689319</v>
      </c>
      <c r="J44" s="29">
        <f t="shared" si="11"/>
        <v>2844660</v>
      </c>
      <c r="K44" s="29">
        <f t="shared" si="12"/>
        <v>0</v>
      </c>
      <c r="L44" s="63">
        <v>8</v>
      </c>
      <c r="M44" s="29">
        <v>0</v>
      </c>
      <c r="N44" s="29">
        <v>0</v>
      </c>
      <c r="O44" s="12">
        <f t="shared" si="13"/>
        <v>2978144</v>
      </c>
      <c r="P44" s="29">
        <f t="shared" si="14"/>
        <v>31403995.934095152</v>
      </c>
      <c r="Q44" s="29"/>
    </row>
    <row r="45" spans="1:19" s="23" customFormat="1" ht="12.75" x14ac:dyDescent="0.2">
      <c r="A45" s="25">
        <v>50</v>
      </c>
      <c r="B45" s="29">
        <f t="shared" si="16"/>
        <v>588485.9943207812</v>
      </c>
      <c r="C45" s="29">
        <v>1381706</v>
      </c>
      <c r="D45" s="34">
        <v>1381706</v>
      </c>
      <c r="E45" s="34"/>
      <c r="F45" s="34"/>
      <c r="G45" s="29">
        <f t="shared" si="10"/>
        <v>1970191.9943207812</v>
      </c>
      <c r="H45" s="29"/>
      <c r="I45" s="29">
        <f t="shared" si="9"/>
        <v>1381706</v>
      </c>
      <c r="J45" s="29">
        <f t="shared" si="11"/>
        <v>690853</v>
      </c>
      <c r="K45" s="29">
        <f t="shared" si="12"/>
        <v>0</v>
      </c>
      <c r="L45" s="63">
        <v>55</v>
      </c>
      <c r="M45" s="29">
        <v>0</v>
      </c>
      <c r="N45" s="29">
        <v>0</v>
      </c>
      <c r="O45" s="12">
        <f t="shared" si="13"/>
        <v>1463575</v>
      </c>
      <c r="P45" s="29">
        <f t="shared" si="14"/>
        <v>506616.9943207812</v>
      </c>
      <c r="Q45" s="29"/>
      <c r="R45" s="74"/>
    </row>
    <row r="46" spans="1:19" s="23" customFormat="1" ht="12.75" x14ac:dyDescent="0.2">
      <c r="A46" s="25">
        <v>95</v>
      </c>
      <c r="B46" s="29">
        <f t="shared" si="16"/>
        <v>1420322</v>
      </c>
      <c r="C46" s="29">
        <v>1393645</v>
      </c>
      <c r="D46" s="38">
        <v>1393645</v>
      </c>
      <c r="E46" s="38"/>
      <c r="F46" s="38">
        <v>-1420322</v>
      </c>
      <c r="G46" s="29">
        <f t="shared" si="10"/>
        <v>1393645</v>
      </c>
      <c r="H46" s="29">
        <v>-1420322</v>
      </c>
      <c r="I46" s="29">
        <f t="shared" si="9"/>
        <v>0</v>
      </c>
      <c r="J46" s="29">
        <f t="shared" si="11"/>
        <v>0</v>
      </c>
      <c r="K46" s="29">
        <f t="shared" si="12"/>
        <v>0</v>
      </c>
      <c r="L46" s="64">
        <v>0</v>
      </c>
      <c r="M46" s="29">
        <v>0</v>
      </c>
      <c r="N46" s="29">
        <v>0</v>
      </c>
      <c r="O46" s="12">
        <f t="shared" si="13"/>
        <v>0</v>
      </c>
      <c r="P46" s="29">
        <f t="shared" si="14"/>
        <v>1393645</v>
      </c>
      <c r="Q46" s="29"/>
      <c r="R46" s="22"/>
    </row>
    <row r="47" spans="1:19" s="23" customFormat="1" ht="13.5" thickBot="1" x14ac:dyDescent="0.25">
      <c r="B47" s="40">
        <f t="shared" ref="B47:G47" si="17">SUM(B32:B46)</f>
        <v>54867981.861317858</v>
      </c>
      <c r="C47" s="40">
        <f t="shared" si="17"/>
        <v>10182398</v>
      </c>
      <c r="D47" s="40">
        <f t="shared" si="17"/>
        <v>10182398</v>
      </c>
      <c r="E47" s="40">
        <f t="shared" si="17"/>
        <v>0</v>
      </c>
      <c r="F47" s="40">
        <f t="shared" si="17"/>
        <v>-1651996</v>
      </c>
      <c r="G47" s="40">
        <f t="shared" si="17"/>
        <v>63398383.861317858</v>
      </c>
      <c r="H47" s="40">
        <f t="shared" ref="H47" si="18">SUM(H32:H46)</f>
        <v>-1651996</v>
      </c>
      <c r="I47" s="40">
        <f t="shared" ref="I47" si="19">SUM(I32:I46)</f>
        <v>8577359</v>
      </c>
      <c r="J47" s="40">
        <f t="shared" ref="J47" si="20">SUM(J32:J46)</f>
        <v>4120564</v>
      </c>
      <c r="K47" s="40">
        <f t="shared" ref="K47" si="21">SUM(K32:K46)</f>
        <v>0</v>
      </c>
      <c r="L47" s="40">
        <v>0</v>
      </c>
      <c r="M47" s="40">
        <f>SUM(M32:M46)</f>
        <v>0</v>
      </c>
      <c r="N47" s="40">
        <f>SUM(N32:N46)</f>
        <v>0</v>
      </c>
      <c r="O47" s="53">
        <f>SUM(O32:O46)</f>
        <v>6861449</v>
      </c>
      <c r="P47" s="40">
        <f>SUM(P32:P46)</f>
        <v>56536934.861317858</v>
      </c>
      <c r="R47" s="22"/>
    </row>
    <row r="48" spans="1:19" ht="15.75" thickTop="1" x14ac:dyDescent="0.25">
      <c r="R48" s="1"/>
    </row>
    <row r="49" spans="1:20" x14ac:dyDescent="0.25">
      <c r="A49" s="6" t="s">
        <v>83</v>
      </c>
      <c r="B49" s="23"/>
      <c r="C49" s="23"/>
      <c r="D49" s="24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2"/>
      <c r="S49" s="23"/>
    </row>
    <row r="50" spans="1:20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52" t="s">
        <v>16</v>
      </c>
      <c r="S50" s="23"/>
    </row>
    <row r="51" spans="1:20" x14ac:dyDescent="0.25">
      <c r="A51" s="25">
        <v>1</v>
      </c>
      <c r="B51" s="29">
        <f t="shared" ref="B51:B57" si="22">+P32</f>
        <v>11663801.683073331</v>
      </c>
      <c r="C51" s="29"/>
      <c r="D51" s="23"/>
      <c r="E51" s="29"/>
      <c r="F51" s="29"/>
      <c r="G51" s="29">
        <f>+B51+C51+E51+F51</f>
        <v>11663801.683073331</v>
      </c>
      <c r="H51" s="29"/>
      <c r="I51" s="29">
        <f t="shared" ref="I51:I67" si="23">IF((+D51+H51)&gt;0,D51+H51,0)</f>
        <v>0</v>
      </c>
      <c r="J51" s="29">
        <f>ROUND(I51*0.5,0)</f>
        <v>0</v>
      </c>
      <c r="K51" s="29">
        <f>ROUND(IF((C51-D51+F51)*0.5&gt;0,(C51-D51+F51)*0.5,0),0)</f>
        <v>0</v>
      </c>
      <c r="L51" s="61">
        <v>4</v>
      </c>
      <c r="M51" s="29">
        <v>0</v>
      </c>
      <c r="N51" s="29">
        <v>0</v>
      </c>
      <c r="O51" s="12">
        <f>ROUND((G51+J51-K51)*L51/100,0)</f>
        <v>466552</v>
      </c>
      <c r="P51" s="29">
        <f>+G51-O51</f>
        <v>11197249.683073331</v>
      </c>
      <c r="Q51" s="29"/>
      <c r="R51" s="52" t="s">
        <v>84</v>
      </c>
      <c r="S51" s="23"/>
    </row>
    <row r="52" spans="1:20" x14ac:dyDescent="0.25">
      <c r="A52" s="25" t="s">
        <v>30</v>
      </c>
      <c r="B52" s="29">
        <f t="shared" si="22"/>
        <v>2884519.8945306861</v>
      </c>
      <c r="C52" s="29">
        <v>231963</v>
      </c>
      <c r="D52" s="29">
        <v>231963</v>
      </c>
      <c r="E52" s="29"/>
      <c r="F52" s="29"/>
      <c r="G52" s="29">
        <f t="shared" ref="G52:G67" si="24">+B52+C52+E52+F52</f>
        <v>3116482.8945306861</v>
      </c>
      <c r="H52" s="29"/>
      <c r="I52" s="29">
        <f t="shared" si="23"/>
        <v>231963</v>
      </c>
      <c r="J52" s="29">
        <f t="shared" ref="J52:J55" si="25">ROUND(I52*0.5,0)</f>
        <v>115982</v>
      </c>
      <c r="K52" s="29">
        <f t="shared" ref="K52:K67" si="26">ROUND(IF((C52-D52+F52)*0.5&gt;0,(C52-D52+F52)*0.5,0),0)</f>
        <v>0</v>
      </c>
      <c r="L52" s="61">
        <v>6</v>
      </c>
      <c r="M52" s="29">
        <v>0</v>
      </c>
      <c r="N52" s="29">
        <v>0</v>
      </c>
      <c r="O52" s="12">
        <f t="shared" ref="O52:O63" si="27">ROUND((G52+J52-K52)*L52/100,0)</f>
        <v>193948</v>
      </c>
      <c r="P52" s="29">
        <f t="shared" ref="P52:P67" si="28">+G52-O52</f>
        <v>2922534.8945306861</v>
      </c>
      <c r="Q52" s="29"/>
      <c r="R52" s="22"/>
      <c r="S52" s="23"/>
    </row>
    <row r="53" spans="1:20" x14ac:dyDescent="0.25">
      <c r="A53" s="25">
        <v>2</v>
      </c>
      <c r="B53" s="29">
        <f t="shared" si="22"/>
        <v>5658656.0015117889</v>
      </c>
      <c r="C53" s="29"/>
      <c r="D53" s="30"/>
      <c r="E53" s="29"/>
      <c r="F53" s="29"/>
      <c r="G53" s="29">
        <f t="shared" si="24"/>
        <v>5658656.0015117889</v>
      </c>
      <c r="H53" s="29"/>
      <c r="I53" s="29">
        <f t="shared" si="23"/>
        <v>0</v>
      </c>
      <c r="J53" s="29">
        <f t="shared" si="25"/>
        <v>0</v>
      </c>
      <c r="K53" s="29">
        <f t="shared" si="26"/>
        <v>0</v>
      </c>
      <c r="L53" s="62">
        <v>6</v>
      </c>
      <c r="M53" s="29">
        <v>0</v>
      </c>
      <c r="N53" s="29">
        <v>0</v>
      </c>
      <c r="O53" s="12">
        <f t="shared" si="27"/>
        <v>339519</v>
      </c>
      <c r="P53" s="29">
        <f t="shared" si="28"/>
        <v>5319137.0015117889</v>
      </c>
      <c r="Q53" s="29"/>
      <c r="R53" s="22">
        <v>6281969</v>
      </c>
      <c r="S53" s="23" t="s">
        <v>43</v>
      </c>
    </row>
    <row r="54" spans="1:20" x14ac:dyDescent="0.25">
      <c r="A54" s="76">
        <v>8</v>
      </c>
      <c r="B54" s="29">
        <f t="shared" si="22"/>
        <v>913558.52335999999</v>
      </c>
      <c r="C54" s="29">
        <v>196300</v>
      </c>
      <c r="D54" s="34">
        <v>196300</v>
      </c>
      <c r="E54" s="56"/>
      <c r="F54" s="29"/>
      <c r="G54" s="29">
        <f t="shared" si="24"/>
        <v>1109858.52336</v>
      </c>
      <c r="H54" s="29"/>
      <c r="I54" s="29">
        <f t="shared" si="23"/>
        <v>196300</v>
      </c>
      <c r="J54" s="29">
        <f t="shared" si="25"/>
        <v>98150</v>
      </c>
      <c r="K54" s="29">
        <f t="shared" si="26"/>
        <v>0</v>
      </c>
      <c r="L54" s="62">
        <v>20</v>
      </c>
      <c r="M54" s="29">
        <v>0</v>
      </c>
      <c r="N54" s="29">
        <v>0</v>
      </c>
      <c r="O54" s="12">
        <f t="shared" si="27"/>
        <v>241602</v>
      </c>
      <c r="P54" s="29">
        <f t="shared" si="28"/>
        <v>868256.52335999999</v>
      </c>
      <c r="Q54" s="29"/>
      <c r="R54" s="66">
        <v>470244</v>
      </c>
      <c r="S54" s="23" t="s">
        <v>95</v>
      </c>
      <c r="T54" s="29"/>
    </row>
    <row r="55" spans="1:20" x14ac:dyDescent="0.25">
      <c r="A55" s="76">
        <v>10</v>
      </c>
      <c r="B55" s="29">
        <f t="shared" si="22"/>
        <v>1268374.0682950001</v>
      </c>
      <c r="C55" s="29">
        <v>320912</v>
      </c>
      <c r="D55" s="29">
        <v>320912</v>
      </c>
      <c r="E55" s="77"/>
      <c r="F55" s="29">
        <v>-6825</v>
      </c>
      <c r="G55" s="29">
        <f t="shared" si="24"/>
        <v>1582461.0682950001</v>
      </c>
      <c r="H55" s="29">
        <v>-6825</v>
      </c>
      <c r="I55" s="29">
        <f t="shared" si="23"/>
        <v>314087</v>
      </c>
      <c r="J55" s="29">
        <f t="shared" si="25"/>
        <v>157044</v>
      </c>
      <c r="K55" s="29">
        <f t="shared" si="26"/>
        <v>0</v>
      </c>
      <c r="L55" s="62">
        <v>30</v>
      </c>
      <c r="M55" s="29">
        <v>0</v>
      </c>
      <c r="N55" s="29">
        <v>0</v>
      </c>
      <c r="O55" s="12">
        <f t="shared" si="27"/>
        <v>521852</v>
      </c>
      <c r="P55" s="29">
        <f t="shared" si="28"/>
        <v>1060609.0682950001</v>
      </c>
      <c r="Q55" s="29"/>
      <c r="S55" s="75" t="s">
        <v>96</v>
      </c>
    </row>
    <row r="56" spans="1:20" x14ac:dyDescent="0.25">
      <c r="A56" s="76">
        <v>10.1</v>
      </c>
      <c r="B56" s="29">
        <f t="shared" si="22"/>
        <v>13051</v>
      </c>
      <c r="C56" s="29"/>
      <c r="D56" s="29"/>
      <c r="E56" s="77"/>
      <c r="F56" s="29"/>
      <c r="G56" s="29">
        <f t="shared" si="24"/>
        <v>13051</v>
      </c>
      <c r="H56" s="29"/>
      <c r="I56" s="29">
        <f t="shared" si="23"/>
        <v>0</v>
      </c>
      <c r="J56" s="29">
        <f>ROUND(D56*0.5,0)</f>
        <v>0</v>
      </c>
      <c r="K56" s="29">
        <f t="shared" si="26"/>
        <v>0</v>
      </c>
      <c r="L56" s="62">
        <v>30</v>
      </c>
      <c r="M56" s="65" t="s">
        <v>80</v>
      </c>
      <c r="N56" s="65" t="s">
        <v>80</v>
      </c>
      <c r="O56" s="12">
        <f t="shared" si="27"/>
        <v>3915</v>
      </c>
      <c r="P56" s="29">
        <f t="shared" si="28"/>
        <v>9136</v>
      </c>
      <c r="Q56" s="29"/>
      <c r="R56" s="66">
        <v>-71123</v>
      </c>
      <c r="S56" s="23" t="s">
        <v>97</v>
      </c>
    </row>
    <row r="57" spans="1:20" x14ac:dyDescent="0.25">
      <c r="A57" s="76">
        <v>10.1</v>
      </c>
      <c r="B57" s="29">
        <f t="shared" si="22"/>
        <v>18645</v>
      </c>
      <c r="C57" s="29"/>
      <c r="D57" s="29"/>
      <c r="E57" s="77"/>
      <c r="F57" s="29"/>
      <c r="G57" s="29">
        <f t="shared" si="24"/>
        <v>18645</v>
      </c>
      <c r="H57" s="29"/>
      <c r="I57" s="29">
        <f t="shared" si="23"/>
        <v>0</v>
      </c>
      <c r="J57" s="29">
        <f>ROUND(D57*0.5,0)</f>
        <v>0</v>
      </c>
      <c r="K57" s="29">
        <f t="shared" si="26"/>
        <v>0</v>
      </c>
      <c r="L57" s="62">
        <v>30</v>
      </c>
      <c r="M57" s="65" t="s">
        <v>80</v>
      </c>
      <c r="N57" s="65" t="s">
        <v>80</v>
      </c>
      <c r="O57" s="12">
        <f t="shared" si="27"/>
        <v>5594</v>
      </c>
      <c r="P57" s="29">
        <f t="shared" si="28"/>
        <v>13051</v>
      </c>
      <c r="Q57" s="29"/>
      <c r="R57" s="66">
        <v>5073</v>
      </c>
      <c r="S57" s="23" t="s">
        <v>85</v>
      </c>
    </row>
    <row r="58" spans="1:20" x14ac:dyDescent="0.25">
      <c r="A58" s="76">
        <v>10.1</v>
      </c>
      <c r="B58" s="29">
        <v>0</v>
      </c>
      <c r="C58" s="29">
        <v>33900</v>
      </c>
      <c r="D58" s="29">
        <v>33900</v>
      </c>
      <c r="E58" s="77"/>
      <c r="F58" s="29"/>
      <c r="G58" s="29">
        <f t="shared" si="24"/>
        <v>33900</v>
      </c>
      <c r="H58" s="29"/>
      <c r="I58" s="29">
        <f t="shared" ref="I58:I59" si="29">IF((+D58+H58)&gt;0,D58+H58,0)</f>
        <v>33900</v>
      </c>
      <c r="J58" s="29">
        <f t="shared" ref="J58:J59" si="30">ROUND(D58*0.5,0)</f>
        <v>16950</v>
      </c>
      <c r="K58" s="29">
        <f t="shared" ref="K58:K59" si="31">ROUND(IF((C58-D58+F58)*0.5&gt;0,(C58-D58+F58)*0.5,0),0)</f>
        <v>0</v>
      </c>
      <c r="L58" s="62">
        <v>30</v>
      </c>
      <c r="M58" s="65" t="s">
        <v>80</v>
      </c>
      <c r="N58" s="65" t="s">
        <v>80</v>
      </c>
      <c r="O58" s="12">
        <f t="shared" ref="O58:O59" si="32">ROUND((G58+J58-K58)*L58/100,0)</f>
        <v>15255</v>
      </c>
      <c r="P58" s="29">
        <f t="shared" ref="P58:P59" si="33">+G58-O58</f>
        <v>18645</v>
      </c>
      <c r="Q58" s="29"/>
      <c r="R58" s="66">
        <f>ROUND((83855-12578-21383-14968-10478)*0.3,0)</f>
        <v>7334</v>
      </c>
      <c r="S58" s="23" t="s">
        <v>62</v>
      </c>
    </row>
    <row r="59" spans="1:20" x14ac:dyDescent="0.25">
      <c r="A59" s="76">
        <v>10.1</v>
      </c>
      <c r="B59" s="29">
        <v>0</v>
      </c>
      <c r="C59" s="29">
        <v>33900</v>
      </c>
      <c r="D59" s="29">
        <v>33900</v>
      </c>
      <c r="E59" s="77"/>
      <c r="F59" s="29"/>
      <c r="G59" s="29">
        <f t="shared" si="24"/>
        <v>33900</v>
      </c>
      <c r="H59" s="29"/>
      <c r="I59" s="29">
        <f t="shared" si="29"/>
        <v>33900</v>
      </c>
      <c r="J59" s="29">
        <f t="shared" si="30"/>
        <v>16950</v>
      </c>
      <c r="K59" s="29">
        <f t="shared" si="31"/>
        <v>0</v>
      </c>
      <c r="L59" s="62">
        <v>30</v>
      </c>
      <c r="M59" s="65" t="s">
        <v>80</v>
      </c>
      <c r="N59" s="65" t="s">
        <v>80</v>
      </c>
      <c r="O59" s="12">
        <f t="shared" si="32"/>
        <v>15255</v>
      </c>
      <c r="P59" s="29">
        <f t="shared" si="33"/>
        <v>18645</v>
      </c>
      <c r="Q59" s="29"/>
      <c r="R59" s="66">
        <f>(-83855+3354+6440+5925+5451)*0.08</f>
        <v>-5014.8</v>
      </c>
      <c r="S59" s="23" t="s">
        <v>63</v>
      </c>
    </row>
    <row r="60" spans="1:20" x14ac:dyDescent="0.25">
      <c r="A60" s="76">
        <v>12</v>
      </c>
      <c r="B60" s="29">
        <f t="shared" ref="B60:B67" si="34">+P39</f>
        <v>0</v>
      </c>
      <c r="C60" s="29">
        <v>472224</v>
      </c>
      <c r="D60" s="29">
        <v>472224</v>
      </c>
      <c r="E60" s="77"/>
      <c r="F60" s="29"/>
      <c r="G60" s="29">
        <f t="shared" si="24"/>
        <v>472224</v>
      </c>
      <c r="H60" s="29"/>
      <c r="I60" s="29">
        <f t="shared" si="23"/>
        <v>472224</v>
      </c>
      <c r="J60" s="29">
        <f>ROUND(I60*0,0)</f>
        <v>0</v>
      </c>
      <c r="K60" s="29">
        <f t="shared" si="26"/>
        <v>0</v>
      </c>
      <c r="L60" s="62">
        <v>100</v>
      </c>
      <c r="M60" s="29">
        <v>0</v>
      </c>
      <c r="N60" s="29">
        <v>0</v>
      </c>
      <c r="O60" s="12">
        <f t="shared" si="27"/>
        <v>472224</v>
      </c>
      <c r="P60" s="29">
        <f t="shared" si="28"/>
        <v>0</v>
      </c>
      <c r="Q60" s="29"/>
      <c r="R60" s="66">
        <v>6746</v>
      </c>
      <c r="S60" s="23" t="s">
        <v>94</v>
      </c>
    </row>
    <row r="61" spans="1:20" ht="15.75" thickBot="1" x14ac:dyDescent="0.3">
      <c r="A61" s="76">
        <v>17</v>
      </c>
      <c r="B61" s="29">
        <f t="shared" si="34"/>
        <v>16830.148636467198</v>
      </c>
      <c r="C61" s="29"/>
      <c r="D61" s="29"/>
      <c r="E61" s="77"/>
      <c r="F61" s="29"/>
      <c r="G61" s="29">
        <f t="shared" si="24"/>
        <v>16830.148636467198</v>
      </c>
      <c r="H61" s="29"/>
      <c r="I61" s="29">
        <f t="shared" si="23"/>
        <v>0</v>
      </c>
      <c r="J61" s="29">
        <f t="shared" ref="J61:J67" si="35">ROUND(I61*0.5,0)</f>
        <v>0</v>
      </c>
      <c r="K61" s="29">
        <f t="shared" si="26"/>
        <v>0</v>
      </c>
      <c r="L61" s="62">
        <v>8</v>
      </c>
      <c r="M61" s="29">
        <v>0</v>
      </c>
      <c r="N61" s="29">
        <v>0</v>
      </c>
      <c r="O61" s="12">
        <f t="shared" si="27"/>
        <v>1346</v>
      </c>
      <c r="P61" s="29">
        <f t="shared" si="28"/>
        <v>15484.148636467198</v>
      </c>
      <c r="Q61" s="29"/>
      <c r="R61" s="54">
        <f>SUM(R53:R60)</f>
        <v>6695228.2000000002</v>
      </c>
      <c r="S61" s="23" t="s">
        <v>49</v>
      </c>
    </row>
    <row r="62" spans="1:20" ht="15.75" thickTop="1" x14ac:dyDescent="0.25">
      <c r="A62" s="76">
        <v>45</v>
      </c>
      <c r="B62" s="29">
        <f t="shared" si="34"/>
        <v>65.418849999999992</v>
      </c>
      <c r="C62" s="29"/>
      <c r="D62" s="29"/>
      <c r="E62" s="77"/>
      <c r="F62" s="29"/>
      <c r="G62" s="29">
        <f t="shared" si="24"/>
        <v>65.418849999999992</v>
      </c>
      <c r="H62" s="29"/>
      <c r="I62" s="29">
        <f t="shared" si="23"/>
        <v>0</v>
      </c>
      <c r="J62" s="29">
        <f t="shared" si="35"/>
        <v>0</v>
      </c>
      <c r="K62" s="29">
        <f t="shared" si="26"/>
        <v>0</v>
      </c>
      <c r="L62" s="62">
        <v>45</v>
      </c>
      <c r="M62" s="29">
        <v>0</v>
      </c>
      <c r="N62" s="29">
        <v>0</v>
      </c>
      <c r="O62" s="12">
        <f t="shared" si="27"/>
        <v>29</v>
      </c>
      <c r="P62" s="29">
        <f t="shared" si="28"/>
        <v>36.418849999999992</v>
      </c>
      <c r="Q62" s="29"/>
    </row>
    <row r="63" spans="1:20" x14ac:dyDescent="0.25">
      <c r="A63" s="76">
        <v>46</v>
      </c>
      <c r="B63" s="29">
        <f t="shared" si="34"/>
        <v>11434.174939999997</v>
      </c>
      <c r="C63" s="29"/>
      <c r="D63" s="29"/>
      <c r="E63" s="77"/>
      <c r="F63" s="29"/>
      <c r="G63" s="29">
        <f t="shared" si="24"/>
        <v>11434.174939999997</v>
      </c>
      <c r="H63" s="29"/>
      <c r="I63" s="29">
        <f t="shared" si="23"/>
        <v>0</v>
      </c>
      <c r="J63" s="29">
        <f t="shared" si="35"/>
        <v>0</v>
      </c>
      <c r="K63" s="29">
        <f t="shared" si="26"/>
        <v>0</v>
      </c>
      <c r="L63" s="62">
        <v>30</v>
      </c>
      <c r="M63" s="29">
        <v>0</v>
      </c>
      <c r="N63" s="29">
        <v>0</v>
      </c>
      <c r="O63" s="12">
        <f t="shared" si="27"/>
        <v>3430</v>
      </c>
      <c r="P63" s="29">
        <f t="shared" si="28"/>
        <v>8004.1749399999972</v>
      </c>
      <c r="Q63" s="29"/>
      <c r="R63" s="66"/>
      <c r="S63" s="23"/>
    </row>
    <row r="64" spans="1:20" x14ac:dyDescent="0.25">
      <c r="A64" s="76" t="s">
        <v>59</v>
      </c>
      <c r="B64" s="29">
        <f t="shared" si="34"/>
        <v>783741.01970465388</v>
      </c>
      <c r="C64" s="29"/>
      <c r="D64" s="29"/>
      <c r="E64" s="29"/>
      <c r="F64" s="29"/>
      <c r="G64" s="29">
        <f t="shared" si="24"/>
        <v>783741.01970465388</v>
      </c>
      <c r="H64" s="29"/>
      <c r="I64" s="29">
        <f t="shared" si="23"/>
        <v>0</v>
      </c>
      <c r="J64" s="29">
        <f t="shared" si="35"/>
        <v>0</v>
      </c>
      <c r="K64" s="29">
        <f t="shared" si="26"/>
        <v>0</v>
      </c>
      <c r="L64" s="62">
        <v>7</v>
      </c>
      <c r="M64" s="29">
        <v>0</v>
      </c>
      <c r="N64" s="29">
        <v>0</v>
      </c>
      <c r="O64" s="12">
        <f>ROUND((G64+J64-K64)*L64/100,0)</f>
        <v>54862</v>
      </c>
      <c r="P64" s="29">
        <f t="shared" si="28"/>
        <v>728879.01970465388</v>
      </c>
      <c r="Q64" s="29"/>
    </row>
    <row r="65" spans="1:19" x14ac:dyDescent="0.25">
      <c r="A65" s="76">
        <v>47</v>
      </c>
      <c r="B65" s="29">
        <f t="shared" si="34"/>
        <v>31403995.934095152</v>
      </c>
      <c r="C65" s="29">
        <v>5596333</v>
      </c>
      <c r="D65" s="34">
        <v>5596333</v>
      </c>
      <c r="E65" s="77"/>
      <c r="F65" s="34">
        <v>-68212</v>
      </c>
      <c r="G65" s="29">
        <f t="shared" si="24"/>
        <v>36932116.934095152</v>
      </c>
      <c r="H65" s="29">
        <v>-68212</v>
      </c>
      <c r="I65" s="29">
        <f t="shared" si="23"/>
        <v>5528121</v>
      </c>
      <c r="J65" s="29">
        <f t="shared" si="35"/>
        <v>2764061</v>
      </c>
      <c r="K65" s="29">
        <f t="shared" si="26"/>
        <v>0</v>
      </c>
      <c r="L65" s="63">
        <v>8</v>
      </c>
      <c r="M65" s="29">
        <v>0</v>
      </c>
      <c r="N65" s="29">
        <v>0</v>
      </c>
      <c r="O65" s="12">
        <f t="shared" ref="O65:O67" si="36">ROUND((G65+J65-K65)*L65/100,0)</f>
        <v>3175694</v>
      </c>
      <c r="P65" s="29">
        <f t="shared" si="28"/>
        <v>33756422.934095152</v>
      </c>
      <c r="Q65" s="29"/>
    </row>
    <row r="66" spans="1:19" x14ac:dyDescent="0.25">
      <c r="A66" s="76">
        <v>50</v>
      </c>
      <c r="B66" s="29">
        <f t="shared" si="34"/>
        <v>506616.9943207812</v>
      </c>
      <c r="C66" s="29">
        <v>1097589</v>
      </c>
      <c r="D66" s="34">
        <v>1097589</v>
      </c>
      <c r="E66" s="34"/>
      <c r="F66" s="34"/>
      <c r="G66" s="29">
        <f t="shared" si="24"/>
        <v>1604205.9943207812</v>
      </c>
      <c r="H66" s="29"/>
      <c r="I66" s="29">
        <f t="shared" si="23"/>
        <v>1097589</v>
      </c>
      <c r="J66" s="29">
        <f t="shared" si="35"/>
        <v>548795</v>
      </c>
      <c r="K66" s="29">
        <f t="shared" si="26"/>
        <v>0</v>
      </c>
      <c r="L66" s="63">
        <v>55</v>
      </c>
      <c r="M66" s="29">
        <v>0</v>
      </c>
      <c r="N66" s="29">
        <v>0</v>
      </c>
      <c r="O66" s="12">
        <f t="shared" si="36"/>
        <v>1184151</v>
      </c>
      <c r="P66" s="29">
        <f t="shared" si="28"/>
        <v>420054.9943207812</v>
      </c>
      <c r="Q66" s="29"/>
      <c r="R66" s="69"/>
    </row>
    <row r="67" spans="1:19" x14ac:dyDescent="0.25">
      <c r="A67" s="25">
        <v>95</v>
      </c>
      <c r="B67" s="29">
        <f t="shared" si="34"/>
        <v>1393645</v>
      </c>
      <c r="C67" s="29">
        <v>1531411</v>
      </c>
      <c r="D67" s="38">
        <v>1531411</v>
      </c>
      <c r="E67" s="38"/>
      <c r="F67" s="38">
        <v>-1393645</v>
      </c>
      <c r="G67" s="29">
        <f t="shared" si="24"/>
        <v>1531411</v>
      </c>
      <c r="H67" s="29">
        <v>-1393645</v>
      </c>
      <c r="I67" s="29">
        <f t="shared" si="23"/>
        <v>137766</v>
      </c>
      <c r="J67" s="29">
        <f t="shared" si="35"/>
        <v>68883</v>
      </c>
      <c r="K67" s="29">
        <f t="shared" si="26"/>
        <v>0</v>
      </c>
      <c r="L67" s="64">
        <v>0</v>
      </c>
      <c r="M67" s="29">
        <v>0</v>
      </c>
      <c r="N67" s="29">
        <v>0</v>
      </c>
      <c r="O67" s="12">
        <f t="shared" si="36"/>
        <v>0</v>
      </c>
      <c r="P67" s="29">
        <f t="shared" si="28"/>
        <v>1531411</v>
      </c>
      <c r="Q67" s="29"/>
      <c r="R67" s="22"/>
      <c r="S67" s="23"/>
    </row>
    <row r="68" spans="1:19" ht="15.75" thickBot="1" x14ac:dyDescent="0.3">
      <c r="A68" s="23"/>
      <c r="B68" s="40">
        <f t="shared" ref="B68:K68" si="37">SUM(B51:B67)</f>
        <v>56536934.861317858</v>
      </c>
      <c r="C68" s="40">
        <f t="shared" si="37"/>
        <v>9514532</v>
      </c>
      <c r="D68" s="40">
        <f t="shared" si="37"/>
        <v>9514532</v>
      </c>
      <c r="E68" s="40">
        <f t="shared" si="37"/>
        <v>0</v>
      </c>
      <c r="F68" s="40">
        <f t="shared" si="37"/>
        <v>-1468682</v>
      </c>
      <c r="G68" s="40">
        <f t="shared" si="37"/>
        <v>64582784.861317858</v>
      </c>
      <c r="H68" s="40">
        <f t="shared" si="37"/>
        <v>-1468682</v>
      </c>
      <c r="I68" s="40">
        <f t="shared" si="37"/>
        <v>8045850</v>
      </c>
      <c r="J68" s="40">
        <f t="shared" si="37"/>
        <v>3786815</v>
      </c>
      <c r="K68" s="40">
        <f t="shared" si="37"/>
        <v>0</v>
      </c>
      <c r="L68" s="40">
        <v>0</v>
      </c>
      <c r="M68" s="40">
        <f>SUM(M51:M67)</f>
        <v>0</v>
      </c>
      <c r="N68" s="40">
        <f>SUM(N51:N67)</f>
        <v>0</v>
      </c>
      <c r="O68" s="53">
        <f>SUM(O51:O67)</f>
        <v>6695228</v>
      </c>
      <c r="P68" s="40">
        <f>SUM(P51:P67)</f>
        <v>57887556.861317858</v>
      </c>
      <c r="Q68" s="23"/>
      <c r="R68" s="22"/>
      <c r="S68" s="23"/>
    </row>
    <row r="69" spans="1:19" ht="15.75" thickTop="1" x14ac:dyDescent="0.25">
      <c r="R69" s="68"/>
    </row>
    <row r="70" spans="1:19" x14ac:dyDescent="0.25">
      <c r="A70" s="6" t="s">
        <v>86</v>
      </c>
      <c r="B70" s="23"/>
      <c r="C70" s="23"/>
      <c r="D70" s="24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2"/>
      <c r="S70" s="23"/>
    </row>
    <row r="71" spans="1:19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2"/>
      <c r="S71" s="23"/>
    </row>
    <row r="72" spans="1:19" x14ac:dyDescent="0.25">
      <c r="A72" s="25">
        <v>1</v>
      </c>
      <c r="B72" s="29">
        <f t="shared" ref="B72:B75" si="38">+P51</f>
        <v>11197249.683073331</v>
      </c>
      <c r="C72" s="29"/>
      <c r="D72" s="24">
        <f>+C72</f>
        <v>0</v>
      </c>
      <c r="E72" s="29"/>
      <c r="F72" s="29"/>
      <c r="G72" s="29">
        <f>+B72+C72+E72+F72</f>
        <v>11197249.683073331</v>
      </c>
      <c r="H72" s="29"/>
      <c r="I72" s="29">
        <f t="shared" ref="I72:I90" si="39">IF((+D72+H72)&gt;0,D72+H72,0)</f>
        <v>0</v>
      </c>
      <c r="J72" s="29">
        <f>ROUND(I72*0.5,0)</f>
        <v>0</v>
      </c>
      <c r="K72" s="29">
        <f>ROUND(IF((C72-D72+F72)*0.5&gt;0,(C72-D72+F72)*0.5,0),0)</f>
        <v>0</v>
      </c>
      <c r="L72" s="61">
        <v>4</v>
      </c>
      <c r="M72" s="29">
        <v>0</v>
      </c>
      <c r="N72" s="29">
        <v>0</v>
      </c>
      <c r="O72" s="12">
        <f>ROUND((G72+J72-K72)*L72/100,0)</f>
        <v>447890</v>
      </c>
      <c r="P72" s="29">
        <f>+G72-O72</f>
        <v>10749359.683073331</v>
      </c>
      <c r="Q72" s="29"/>
      <c r="R72" s="22"/>
      <c r="S72" s="23"/>
    </row>
    <row r="73" spans="1:19" x14ac:dyDescent="0.25">
      <c r="A73" s="25" t="s">
        <v>30</v>
      </c>
      <c r="B73" s="29">
        <f t="shared" si="38"/>
        <v>2922534.8945306861</v>
      </c>
      <c r="C73" s="29">
        <v>148500</v>
      </c>
      <c r="D73" s="24">
        <f t="shared" ref="D73:D90" si="40">+C73</f>
        <v>148500</v>
      </c>
      <c r="E73" s="29"/>
      <c r="F73" s="29"/>
      <c r="G73" s="29">
        <f t="shared" ref="G73:G90" si="41">+B73+C73+E73+F73</f>
        <v>3071034.8945306861</v>
      </c>
      <c r="H73" s="29"/>
      <c r="I73" s="29">
        <f t="shared" si="39"/>
        <v>148500</v>
      </c>
      <c r="J73" s="29">
        <f t="shared" ref="J73:J76" si="42">ROUND(I73*0.5,0)</f>
        <v>74250</v>
      </c>
      <c r="K73" s="29">
        <f t="shared" ref="K73:K90" si="43">ROUND(IF((C73-D73+F73)*0.5&gt;0,(C73-D73+F73)*0.5,0),0)</f>
        <v>0</v>
      </c>
      <c r="L73" s="61">
        <v>6</v>
      </c>
      <c r="M73" s="29">
        <v>0</v>
      </c>
      <c r="N73" s="29">
        <v>0</v>
      </c>
      <c r="O73" s="12">
        <f t="shared" ref="O73:O85" si="44">ROUND((G73+J73-K73)*L73/100,0)</f>
        <v>188717</v>
      </c>
      <c r="P73" s="29">
        <f t="shared" ref="P73:P90" si="45">+G73-O73</f>
        <v>2882317.8945306861</v>
      </c>
      <c r="Q73" s="29"/>
      <c r="R73" s="22"/>
      <c r="S73" s="23"/>
    </row>
    <row r="74" spans="1:19" x14ac:dyDescent="0.25">
      <c r="A74" s="25">
        <v>2</v>
      </c>
      <c r="B74" s="29">
        <f t="shared" si="38"/>
        <v>5319137.0015117889</v>
      </c>
      <c r="C74" s="29"/>
      <c r="D74" s="24">
        <f t="shared" si="40"/>
        <v>0</v>
      </c>
      <c r="E74" s="29"/>
      <c r="F74" s="29"/>
      <c r="G74" s="29">
        <f t="shared" si="41"/>
        <v>5319137.0015117889</v>
      </c>
      <c r="H74" s="29"/>
      <c r="I74" s="29">
        <f t="shared" si="39"/>
        <v>0</v>
      </c>
      <c r="J74" s="29">
        <f t="shared" si="42"/>
        <v>0</v>
      </c>
      <c r="K74" s="29">
        <f t="shared" si="43"/>
        <v>0</v>
      </c>
      <c r="L74" s="62">
        <v>6</v>
      </c>
      <c r="M74" s="29">
        <v>0</v>
      </c>
      <c r="N74" s="29">
        <v>0</v>
      </c>
      <c r="O74" s="12">
        <f t="shared" si="44"/>
        <v>319148</v>
      </c>
      <c r="P74" s="29">
        <f t="shared" si="45"/>
        <v>4999989.0015117889</v>
      </c>
      <c r="Q74" s="29"/>
      <c r="R74" s="22"/>
      <c r="S74" s="23"/>
    </row>
    <row r="75" spans="1:19" x14ac:dyDescent="0.25">
      <c r="A75" s="76">
        <v>8</v>
      </c>
      <c r="B75" s="29">
        <f t="shared" si="38"/>
        <v>868256.52335999999</v>
      </c>
      <c r="C75" s="29">
        <v>234100</v>
      </c>
      <c r="D75" s="56">
        <f t="shared" si="40"/>
        <v>234100</v>
      </c>
      <c r="E75" s="56"/>
      <c r="F75" s="29"/>
      <c r="G75" s="29">
        <f t="shared" si="41"/>
        <v>1102356.52336</v>
      </c>
      <c r="H75" s="29"/>
      <c r="I75" s="29">
        <f t="shared" si="39"/>
        <v>234100</v>
      </c>
      <c r="J75" s="29">
        <f t="shared" si="42"/>
        <v>117050</v>
      </c>
      <c r="K75" s="29">
        <f t="shared" si="43"/>
        <v>0</v>
      </c>
      <c r="L75" s="62">
        <v>20</v>
      </c>
      <c r="M75" s="29">
        <v>0</v>
      </c>
      <c r="N75" s="29">
        <v>0</v>
      </c>
      <c r="O75" s="12">
        <f t="shared" si="44"/>
        <v>243881</v>
      </c>
      <c r="P75" s="29">
        <f t="shared" si="45"/>
        <v>858475.52335999999</v>
      </c>
      <c r="Q75" s="29"/>
      <c r="R75" s="22"/>
      <c r="S75" s="23"/>
    </row>
    <row r="76" spans="1:19" x14ac:dyDescent="0.25">
      <c r="A76" s="76">
        <v>10</v>
      </c>
      <c r="B76" s="29">
        <f>+P55</f>
        <v>1060609.0682950001</v>
      </c>
      <c r="C76" s="29">
        <v>687000</v>
      </c>
      <c r="D76" s="56">
        <f t="shared" si="40"/>
        <v>687000</v>
      </c>
      <c r="E76" s="77"/>
      <c r="F76" s="29"/>
      <c r="G76" s="29">
        <f t="shared" si="41"/>
        <v>1747609.0682950001</v>
      </c>
      <c r="H76" s="29"/>
      <c r="I76" s="29">
        <f t="shared" si="39"/>
        <v>687000</v>
      </c>
      <c r="J76" s="29">
        <f t="shared" si="42"/>
        <v>343500</v>
      </c>
      <c r="K76" s="29">
        <f t="shared" si="43"/>
        <v>0</v>
      </c>
      <c r="L76" s="62">
        <v>30</v>
      </c>
      <c r="M76" s="29">
        <v>0</v>
      </c>
      <c r="N76" s="29">
        <v>0</v>
      </c>
      <c r="O76" s="12">
        <f t="shared" si="44"/>
        <v>627333</v>
      </c>
      <c r="P76" s="29">
        <f t="shared" si="45"/>
        <v>1120276.0682950001</v>
      </c>
      <c r="Q76" s="29"/>
      <c r="R76" s="22"/>
      <c r="S76" s="23"/>
    </row>
    <row r="77" spans="1:19" x14ac:dyDescent="0.25">
      <c r="A77" s="76">
        <v>10.1</v>
      </c>
      <c r="B77" s="29">
        <f>+P56</f>
        <v>9136</v>
      </c>
      <c r="C77" s="29"/>
      <c r="D77" s="56">
        <f t="shared" si="40"/>
        <v>0</v>
      </c>
      <c r="E77" s="77"/>
      <c r="F77" s="29"/>
      <c r="G77" s="29">
        <f t="shared" si="41"/>
        <v>9136</v>
      </c>
      <c r="H77" s="29"/>
      <c r="I77" s="29">
        <f t="shared" si="39"/>
        <v>0</v>
      </c>
      <c r="J77" s="29">
        <f>ROUND(D77*0.5,0)</f>
        <v>0</v>
      </c>
      <c r="K77" s="29">
        <f t="shared" si="43"/>
        <v>0</v>
      </c>
      <c r="L77" s="62">
        <v>30</v>
      </c>
      <c r="M77" s="65" t="s">
        <v>80</v>
      </c>
      <c r="N77" s="65" t="s">
        <v>80</v>
      </c>
      <c r="O77" s="12">
        <f t="shared" si="44"/>
        <v>2741</v>
      </c>
      <c r="P77" s="29">
        <f t="shared" si="45"/>
        <v>6395</v>
      </c>
      <c r="Q77" s="29"/>
      <c r="R77" s="22"/>
    </row>
    <row r="78" spans="1:19" x14ac:dyDescent="0.25">
      <c r="A78" s="76">
        <v>10.1</v>
      </c>
      <c r="B78" s="29">
        <f>+P57</f>
        <v>13051</v>
      </c>
      <c r="C78" s="29"/>
      <c r="D78" s="56">
        <f t="shared" si="40"/>
        <v>0</v>
      </c>
      <c r="E78" s="77"/>
      <c r="F78" s="29"/>
      <c r="G78" s="29">
        <f t="shared" si="41"/>
        <v>13051</v>
      </c>
      <c r="H78" s="29"/>
      <c r="I78" s="29">
        <f t="shared" si="39"/>
        <v>0</v>
      </c>
      <c r="J78" s="29">
        <f>ROUND(D78*0.5,0)</f>
        <v>0</v>
      </c>
      <c r="K78" s="29">
        <f t="shared" si="43"/>
        <v>0</v>
      </c>
      <c r="L78" s="62">
        <v>30</v>
      </c>
      <c r="M78" s="65" t="s">
        <v>80</v>
      </c>
      <c r="N78" s="65" t="s">
        <v>80</v>
      </c>
      <c r="O78" s="12">
        <f t="shared" si="44"/>
        <v>3915</v>
      </c>
      <c r="P78" s="29">
        <f t="shared" si="45"/>
        <v>9136</v>
      </c>
      <c r="Q78" s="29"/>
      <c r="R78" s="22"/>
      <c r="S78" s="23"/>
    </row>
    <row r="79" spans="1:19" x14ac:dyDescent="0.25">
      <c r="A79" s="76">
        <v>10.1</v>
      </c>
      <c r="B79" s="29">
        <f>+P58</f>
        <v>18645</v>
      </c>
      <c r="C79" s="29"/>
      <c r="D79" s="56">
        <f t="shared" si="40"/>
        <v>0</v>
      </c>
      <c r="E79" s="77"/>
      <c r="F79" s="29"/>
      <c r="G79" s="29">
        <f t="shared" si="41"/>
        <v>18645</v>
      </c>
      <c r="H79" s="29"/>
      <c r="I79" s="29">
        <f t="shared" si="39"/>
        <v>0</v>
      </c>
      <c r="J79" s="29">
        <f t="shared" ref="J79:J80" si="46">ROUND(D79*0.5,0)</f>
        <v>0</v>
      </c>
      <c r="K79" s="29">
        <f t="shared" si="43"/>
        <v>0</v>
      </c>
      <c r="L79" s="62">
        <v>30</v>
      </c>
      <c r="M79" s="65" t="s">
        <v>80</v>
      </c>
      <c r="N79" s="65" t="s">
        <v>80</v>
      </c>
      <c r="O79" s="12">
        <f t="shared" si="44"/>
        <v>5594</v>
      </c>
      <c r="P79" s="29">
        <f t="shared" si="45"/>
        <v>13051</v>
      </c>
      <c r="Q79" s="29"/>
      <c r="R79" s="22"/>
      <c r="S79" s="23"/>
    </row>
    <row r="80" spans="1:19" x14ac:dyDescent="0.25">
      <c r="A80" s="76">
        <v>10.1</v>
      </c>
      <c r="B80" s="29">
        <f>+P59</f>
        <v>18645</v>
      </c>
      <c r="C80" s="29"/>
      <c r="D80" s="56">
        <f t="shared" si="40"/>
        <v>0</v>
      </c>
      <c r="E80" s="77"/>
      <c r="F80" s="29"/>
      <c r="G80" s="29">
        <f t="shared" si="41"/>
        <v>18645</v>
      </c>
      <c r="H80" s="29"/>
      <c r="I80" s="29">
        <f t="shared" si="39"/>
        <v>0</v>
      </c>
      <c r="J80" s="29">
        <f t="shared" si="46"/>
        <v>0</v>
      </c>
      <c r="K80" s="29">
        <f t="shared" si="43"/>
        <v>0</v>
      </c>
      <c r="L80" s="62">
        <v>30</v>
      </c>
      <c r="M80" s="65" t="s">
        <v>80</v>
      </c>
      <c r="N80" s="65" t="s">
        <v>80</v>
      </c>
      <c r="O80" s="12">
        <f t="shared" si="44"/>
        <v>5594</v>
      </c>
      <c r="P80" s="29">
        <f t="shared" si="45"/>
        <v>13051</v>
      </c>
      <c r="Q80" s="29"/>
      <c r="R80" s="22"/>
      <c r="S80" s="23"/>
    </row>
    <row r="81" spans="1:19" x14ac:dyDescent="0.25">
      <c r="A81" s="76">
        <v>10.1</v>
      </c>
      <c r="B81" s="29">
        <v>0</v>
      </c>
      <c r="C81" s="29">
        <v>33900</v>
      </c>
      <c r="D81" s="56">
        <v>33900</v>
      </c>
      <c r="E81" s="77"/>
      <c r="F81" s="29"/>
      <c r="G81" s="29">
        <f t="shared" si="41"/>
        <v>33900</v>
      </c>
      <c r="H81" s="29"/>
      <c r="I81" s="29">
        <f t="shared" ref="I81" si="47">IF((+D81+H81)&gt;0,D81+H81,0)</f>
        <v>33900</v>
      </c>
      <c r="J81" s="29">
        <f t="shared" ref="J81" si="48">ROUND(D81*0.5,0)</f>
        <v>16950</v>
      </c>
      <c r="K81" s="29">
        <f t="shared" si="43"/>
        <v>0</v>
      </c>
      <c r="L81" s="62">
        <v>30</v>
      </c>
      <c r="M81" s="65" t="s">
        <v>80</v>
      </c>
      <c r="N81" s="65" t="s">
        <v>80</v>
      </c>
      <c r="O81" s="12">
        <f t="shared" ref="O81" si="49">ROUND((G81+J81-K81)*L81/100,0)</f>
        <v>15255</v>
      </c>
      <c r="P81" s="29">
        <f t="shared" ref="P81" si="50">+G81-O81</f>
        <v>18645</v>
      </c>
      <c r="Q81" s="29"/>
      <c r="R81" s="22"/>
      <c r="S81" s="23"/>
    </row>
    <row r="82" spans="1:19" x14ac:dyDescent="0.25">
      <c r="A82" s="76">
        <v>12</v>
      </c>
      <c r="B82" s="29">
        <f t="shared" ref="B82:B87" si="51">+P60</f>
        <v>0</v>
      </c>
      <c r="C82" s="29">
        <v>1270000</v>
      </c>
      <c r="D82" s="56">
        <f t="shared" si="40"/>
        <v>1270000</v>
      </c>
      <c r="E82" s="77"/>
      <c r="F82" s="29"/>
      <c r="G82" s="29">
        <f t="shared" si="41"/>
        <v>1270000</v>
      </c>
      <c r="H82" s="29"/>
      <c r="I82" s="29">
        <f t="shared" si="39"/>
        <v>1270000</v>
      </c>
      <c r="J82" s="29">
        <f>ROUND(I82*0,0)</f>
        <v>0</v>
      </c>
      <c r="K82" s="29">
        <f t="shared" si="43"/>
        <v>0</v>
      </c>
      <c r="L82" s="62">
        <v>100</v>
      </c>
      <c r="M82" s="29">
        <v>0</v>
      </c>
      <c r="N82" s="29">
        <v>0</v>
      </c>
      <c r="O82" s="12">
        <f t="shared" si="44"/>
        <v>1270000</v>
      </c>
      <c r="P82" s="29">
        <f t="shared" si="45"/>
        <v>0</v>
      </c>
      <c r="Q82" s="29"/>
      <c r="R82" s="22"/>
      <c r="S82" s="23"/>
    </row>
    <row r="83" spans="1:19" x14ac:dyDescent="0.25">
      <c r="A83" s="76">
        <v>17</v>
      </c>
      <c r="B83" s="29">
        <f t="shared" si="51"/>
        <v>15484.148636467198</v>
      </c>
      <c r="C83" s="29"/>
      <c r="D83" s="56">
        <f t="shared" si="40"/>
        <v>0</v>
      </c>
      <c r="E83" s="77"/>
      <c r="F83" s="29"/>
      <c r="G83" s="29">
        <f t="shared" si="41"/>
        <v>15484.148636467198</v>
      </c>
      <c r="H83" s="29"/>
      <c r="I83" s="29">
        <f t="shared" si="39"/>
        <v>0</v>
      </c>
      <c r="J83" s="29">
        <f t="shared" ref="J83:J90" si="52">ROUND(I83*0.5,0)</f>
        <v>0</v>
      </c>
      <c r="K83" s="29">
        <f t="shared" si="43"/>
        <v>0</v>
      </c>
      <c r="L83" s="62">
        <v>8</v>
      </c>
      <c r="M83" s="29">
        <v>0</v>
      </c>
      <c r="N83" s="29">
        <v>0</v>
      </c>
      <c r="O83" s="12">
        <f t="shared" si="44"/>
        <v>1239</v>
      </c>
      <c r="P83" s="29">
        <f t="shared" si="45"/>
        <v>14245.148636467198</v>
      </c>
      <c r="Q83" s="29"/>
      <c r="R83" s="22"/>
      <c r="S83" s="23"/>
    </row>
    <row r="84" spans="1:19" x14ac:dyDescent="0.25">
      <c r="A84" s="76">
        <v>45</v>
      </c>
      <c r="B84" s="29">
        <f t="shared" si="51"/>
        <v>36.418849999999992</v>
      </c>
      <c r="C84" s="29"/>
      <c r="D84" s="56">
        <f t="shared" si="40"/>
        <v>0</v>
      </c>
      <c r="E84" s="77"/>
      <c r="F84" s="29"/>
      <c r="G84" s="29">
        <f t="shared" si="41"/>
        <v>36.418849999999992</v>
      </c>
      <c r="H84" s="29"/>
      <c r="I84" s="29">
        <f t="shared" si="39"/>
        <v>0</v>
      </c>
      <c r="J84" s="29">
        <f t="shared" si="52"/>
        <v>0</v>
      </c>
      <c r="K84" s="29">
        <f t="shared" si="43"/>
        <v>0</v>
      </c>
      <c r="L84" s="62">
        <v>45</v>
      </c>
      <c r="M84" s="29">
        <v>0</v>
      </c>
      <c r="N84" s="29">
        <v>0</v>
      </c>
      <c r="O84" s="12">
        <f t="shared" si="44"/>
        <v>16</v>
      </c>
      <c r="P84" s="29">
        <f t="shared" si="45"/>
        <v>20.418849999999992</v>
      </c>
      <c r="Q84" s="29"/>
      <c r="R84" s="22"/>
      <c r="S84" s="23"/>
    </row>
    <row r="85" spans="1:19" x14ac:dyDescent="0.25">
      <c r="A85" s="76">
        <v>46</v>
      </c>
      <c r="B85" s="29">
        <f t="shared" si="51"/>
        <v>8004.1749399999972</v>
      </c>
      <c r="C85" s="29"/>
      <c r="D85" s="56">
        <f t="shared" si="40"/>
        <v>0</v>
      </c>
      <c r="E85" s="77"/>
      <c r="F85" s="29"/>
      <c r="G85" s="29">
        <f t="shared" si="41"/>
        <v>8004.1749399999972</v>
      </c>
      <c r="H85" s="29"/>
      <c r="I85" s="29">
        <f t="shared" si="39"/>
        <v>0</v>
      </c>
      <c r="J85" s="29">
        <f t="shared" si="52"/>
        <v>0</v>
      </c>
      <c r="K85" s="29">
        <f t="shared" si="43"/>
        <v>0</v>
      </c>
      <c r="L85" s="62">
        <v>30</v>
      </c>
      <c r="M85" s="29">
        <v>0</v>
      </c>
      <c r="N85" s="29">
        <v>0</v>
      </c>
      <c r="O85" s="12">
        <f t="shared" si="44"/>
        <v>2401</v>
      </c>
      <c r="P85" s="29">
        <f t="shared" si="45"/>
        <v>5603.1749399999972</v>
      </c>
      <c r="Q85" s="29"/>
      <c r="R85" s="22"/>
      <c r="S85" s="23"/>
    </row>
    <row r="86" spans="1:19" x14ac:dyDescent="0.25">
      <c r="A86" s="76" t="s">
        <v>59</v>
      </c>
      <c r="B86" s="29">
        <f t="shared" si="51"/>
        <v>728879.01970465388</v>
      </c>
      <c r="C86" s="29"/>
      <c r="D86" s="56">
        <f t="shared" si="40"/>
        <v>0</v>
      </c>
      <c r="E86" s="29"/>
      <c r="F86" s="29"/>
      <c r="G86" s="29">
        <f t="shared" si="41"/>
        <v>728879.01970465388</v>
      </c>
      <c r="H86" s="29"/>
      <c r="I86" s="29">
        <f t="shared" si="39"/>
        <v>0</v>
      </c>
      <c r="J86" s="29">
        <f t="shared" si="52"/>
        <v>0</v>
      </c>
      <c r="K86" s="29">
        <f t="shared" si="43"/>
        <v>0</v>
      </c>
      <c r="L86" s="62">
        <v>7</v>
      </c>
      <c r="M86" s="29">
        <v>0</v>
      </c>
      <c r="N86" s="29">
        <v>0</v>
      </c>
      <c r="O86" s="12">
        <f>ROUND((G86+J86-K86)*L86/100,0)</f>
        <v>51022</v>
      </c>
      <c r="P86" s="29">
        <f t="shared" si="45"/>
        <v>677857.01970465388</v>
      </c>
      <c r="Q86" s="29"/>
      <c r="R86" s="22"/>
      <c r="S86" s="23"/>
    </row>
    <row r="87" spans="1:19" x14ac:dyDescent="0.25">
      <c r="A87" s="76">
        <v>47</v>
      </c>
      <c r="B87" s="29">
        <f t="shared" si="51"/>
        <v>33756422.934095152</v>
      </c>
      <c r="C87" s="29">
        <f>8204500-1000000-350000</f>
        <v>6854500</v>
      </c>
      <c r="D87" s="56">
        <f t="shared" si="40"/>
        <v>6854500</v>
      </c>
      <c r="E87" s="77"/>
      <c r="F87" s="34">
        <v>-40000</v>
      </c>
      <c r="G87" s="29">
        <f t="shared" si="41"/>
        <v>40570922.934095152</v>
      </c>
      <c r="H87" s="29">
        <f>+F87</f>
        <v>-40000</v>
      </c>
      <c r="I87" s="29">
        <f t="shared" si="39"/>
        <v>6814500</v>
      </c>
      <c r="J87" s="29">
        <f t="shared" si="52"/>
        <v>3407250</v>
      </c>
      <c r="K87" s="29">
        <f t="shared" si="43"/>
        <v>0</v>
      </c>
      <c r="L87" s="63">
        <v>8</v>
      </c>
      <c r="M87" s="29">
        <v>0</v>
      </c>
      <c r="N87" s="29">
        <v>0</v>
      </c>
      <c r="O87" s="12">
        <f t="shared" ref="O87:O90" si="53">ROUND((G87+J87-K87)*L87/100,0)</f>
        <v>3518254</v>
      </c>
      <c r="P87" s="29">
        <f t="shared" si="45"/>
        <v>37052668.934095152</v>
      </c>
      <c r="Q87" s="29"/>
      <c r="R87" s="22"/>
      <c r="S87" s="23"/>
    </row>
    <row r="88" spans="1:19" x14ac:dyDescent="0.25">
      <c r="A88" s="76" t="s">
        <v>92</v>
      </c>
      <c r="B88" s="29">
        <v>0</v>
      </c>
      <c r="C88" s="29"/>
      <c r="D88" s="56"/>
      <c r="E88" s="56">
        <v>33542</v>
      </c>
      <c r="F88" s="34"/>
      <c r="G88" s="29">
        <f>+B88+C88+E88+F88</f>
        <v>33542</v>
      </c>
      <c r="H88" s="29"/>
      <c r="I88" s="29">
        <f>IF((+D88+H88)&gt;0,D88+H88,0)</f>
        <v>0</v>
      </c>
      <c r="J88" s="29">
        <f>ROUND(I88*0.5,0)</f>
        <v>0</v>
      </c>
      <c r="K88" s="29">
        <f>ROUND(IF((C88-D88+F88)*0.5&gt;0,(C88-D88+F88)*0.5,0),0)</f>
        <v>0</v>
      </c>
      <c r="L88" s="63"/>
      <c r="M88" s="29">
        <v>0</v>
      </c>
      <c r="N88" s="29">
        <v>0</v>
      </c>
      <c r="O88" s="12">
        <f t="shared" ref="O88" si="54">ROUND((G88+J88-K88)*L88/100,0)</f>
        <v>0</v>
      </c>
      <c r="P88" s="29">
        <f t="shared" ref="P88" si="55">+G88-O88</f>
        <v>33542</v>
      </c>
      <c r="Q88" s="29"/>
      <c r="R88" s="22"/>
      <c r="S88" s="23"/>
    </row>
    <row r="89" spans="1:19" x14ac:dyDescent="0.25">
      <c r="A89" s="76">
        <v>50</v>
      </c>
      <c r="B89" s="29">
        <f>+P66</f>
        <v>420054.9943207812</v>
      </c>
      <c r="C89" s="29">
        <v>646900</v>
      </c>
      <c r="D89" s="56">
        <f t="shared" si="40"/>
        <v>646900</v>
      </c>
      <c r="E89" s="34"/>
      <c r="F89" s="34"/>
      <c r="G89" s="29">
        <f t="shared" si="41"/>
        <v>1066954.9943207812</v>
      </c>
      <c r="H89" s="29"/>
      <c r="I89" s="29">
        <f t="shared" si="39"/>
        <v>646900</v>
      </c>
      <c r="J89" s="29">
        <f t="shared" si="52"/>
        <v>323450</v>
      </c>
      <c r="K89" s="29">
        <f t="shared" si="43"/>
        <v>0</v>
      </c>
      <c r="L89" s="63">
        <v>55</v>
      </c>
      <c r="M89" s="29">
        <v>0</v>
      </c>
      <c r="N89" s="29">
        <v>0</v>
      </c>
      <c r="O89" s="12">
        <f t="shared" si="53"/>
        <v>764723</v>
      </c>
      <c r="P89" s="29">
        <f t="shared" si="45"/>
        <v>302231.9943207812</v>
      </c>
      <c r="Q89" s="29"/>
      <c r="R89" s="69"/>
    </row>
    <row r="90" spans="1:19" x14ac:dyDescent="0.25">
      <c r="A90" s="25">
        <v>95</v>
      </c>
      <c r="B90" s="29">
        <f>+P67</f>
        <v>1531411</v>
      </c>
      <c r="C90" s="29"/>
      <c r="D90" s="24">
        <f t="shared" si="40"/>
        <v>0</v>
      </c>
      <c r="E90" s="38"/>
      <c r="F90" s="38">
        <f>-B90</f>
        <v>-1531411</v>
      </c>
      <c r="G90" s="29">
        <f t="shared" si="41"/>
        <v>0</v>
      </c>
      <c r="H90" s="29">
        <f>+F90</f>
        <v>-1531411</v>
      </c>
      <c r="I90" s="29">
        <f t="shared" si="39"/>
        <v>0</v>
      </c>
      <c r="J90" s="29">
        <f t="shared" si="52"/>
        <v>0</v>
      </c>
      <c r="K90" s="29">
        <f t="shared" si="43"/>
        <v>0</v>
      </c>
      <c r="L90" s="64">
        <v>0</v>
      </c>
      <c r="M90" s="29">
        <v>0</v>
      </c>
      <c r="N90" s="29">
        <v>0</v>
      </c>
      <c r="O90" s="12">
        <f t="shared" si="53"/>
        <v>0</v>
      </c>
      <c r="P90" s="29">
        <f t="shared" si="45"/>
        <v>0</v>
      </c>
      <c r="Q90" s="29"/>
      <c r="R90" s="22"/>
      <c r="S90" s="23"/>
    </row>
    <row r="91" spans="1:19" ht="15.75" thickBot="1" x14ac:dyDescent="0.3">
      <c r="A91" s="23"/>
      <c r="B91" s="40">
        <f t="shared" ref="B91:K91" si="56">SUM(B72:B90)</f>
        <v>57887556.861317858</v>
      </c>
      <c r="C91" s="40">
        <f t="shared" si="56"/>
        <v>9874900</v>
      </c>
      <c r="D91" s="40">
        <f t="shared" si="56"/>
        <v>9874900</v>
      </c>
      <c r="E91" s="40">
        <f t="shared" si="56"/>
        <v>33542</v>
      </c>
      <c r="F91" s="40">
        <f t="shared" si="56"/>
        <v>-1571411</v>
      </c>
      <c r="G91" s="40">
        <f t="shared" si="56"/>
        <v>66224587.861317858</v>
      </c>
      <c r="H91" s="40">
        <f t="shared" si="56"/>
        <v>-1571411</v>
      </c>
      <c r="I91" s="40">
        <f t="shared" si="56"/>
        <v>9834900</v>
      </c>
      <c r="J91" s="40">
        <f t="shared" si="56"/>
        <v>4282450</v>
      </c>
      <c r="K91" s="40">
        <f t="shared" si="56"/>
        <v>0</v>
      </c>
      <c r="L91" s="40">
        <v>0</v>
      </c>
      <c r="M91" s="40">
        <f>SUM(M72:M90)</f>
        <v>0</v>
      </c>
      <c r="N91" s="40">
        <f>SUM(N72:N90)</f>
        <v>0</v>
      </c>
      <c r="O91" s="53">
        <f>SUM(O72:O90)</f>
        <v>7467723</v>
      </c>
      <c r="P91" s="40">
        <f>SUM(P72:P90)</f>
        <v>58756864.861317858</v>
      </c>
      <c r="Q91" s="23"/>
      <c r="R91" s="22"/>
      <c r="S91" s="23"/>
    </row>
    <row r="92" spans="1:19" ht="15.75" thickTop="1" x14ac:dyDescent="0.25">
      <c r="A92" s="23"/>
      <c r="B92" s="34"/>
      <c r="C92" s="34">
        <f>61000-C81</f>
        <v>27100</v>
      </c>
      <c r="D92" s="70" t="s">
        <v>88</v>
      </c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23"/>
      <c r="R92" s="22"/>
      <c r="S92" s="23"/>
    </row>
    <row r="93" spans="1:19" x14ac:dyDescent="0.25">
      <c r="A93" s="23"/>
      <c r="B93" s="34"/>
      <c r="C93" s="34">
        <v>900000</v>
      </c>
      <c r="D93" s="70" t="s">
        <v>91</v>
      </c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23"/>
      <c r="R93" s="22"/>
      <c r="S93" s="23"/>
    </row>
    <row r="94" spans="1:19" x14ac:dyDescent="0.25">
      <c r="A94" s="23"/>
      <c r="B94" s="34"/>
      <c r="C94" s="34">
        <v>350000</v>
      </c>
      <c r="D94" s="70" t="s">
        <v>93</v>
      </c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23"/>
      <c r="R94" s="22"/>
      <c r="S94" s="23"/>
    </row>
    <row r="95" spans="1:19" ht="15.75" thickBot="1" x14ac:dyDescent="0.3">
      <c r="A95" s="23"/>
      <c r="B95" s="34"/>
      <c r="C95" s="40">
        <f>SUM(C91:C94)</f>
        <v>11152000</v>
      </c>
      <c r="D95" s="70" t="s">
        <v>99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23"/>
      <c r="R95" s="22"/>
      <c r="S95" s="23"/>
    </row>
    <row r="96" spans="1:19" ht="15.75" thickTop="1" x14ac:dyDescent="0.25">
      <c r="A96" s="23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23"/>
      <c r="R96" s="22"/>
      <c r="S96" s="23"/>
    </row>
    <row r="98" spans="1:20" x14ac:dyDescent="0.25">
      <c r="A98" s="6" t="s">
        <v>87</v>
      </c>
      <c r="B98" s="23"/>
      <c r="C98" s="23"/>
      <c r="D98" s="24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S98" s="23"/>
    </row>
    <row r="99" spans="1:20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S99" s="23"/>
    </row>
    <row r="100" spans="1:20" x14ac:dyDescent="0.25">
      <c r="A100" s="25">
        <v>1</v>
      </c>
      <c r="B100" s="29">
        <f>+P72</f>
        <v>10749359.683073331</v>
      </c>
      <c r="C100" s="29"/>
      <c r="D100" s="24">
        <f>+C100</f>
        <v>0</v>
      </c>
      <c r="E100" s="29"/>
      <c r="F100" s="29"/>
      <c r="G100" s="29">
        <f>+B100+C100+E100+F100</f>
        <v>10749359.683073331</v>
      </c>
      <c r="H100" s="29"/>
      <c r="I100" s="29">
        <f t="shared" ref="I100:I120" si="57">IF((+D100+H100)&gt;0,D100+H100,0)</f>
        <v>0</v>
      </c>
      <c r="J100" s="29">
        <f>ROUND(I100*0.5,0)</f>
        <v>0</v>
      </c>
      <c r="K100" s="29">
        <f>ROUND(IF((C100-D100+F100)*0.5&gt;0,(C100-D100+F100)*0.5,0),0)</f>
        <v>0</v>
      </c>
      <c r="L100" s="61">
        <v>4</v>
      </c>
      <c r="M100" s="29">
        <v>0</v>
      </c>
      <c r="N100" s="29">
        <v>0</v>
      </c>
      <c r="O100" s="12">
        <f>ROUND((G100+J100-K100)*L100/100,0)</f>
        <v>429974</v>
      </c>
      <c r="P100" s="29">
        <f>+G100-O100</f>
        <v>10319385.683073331</v>
      </c>
      <c r="Q100" s="29"/>
      <c r="S100" s="23"/>
    </row>
    <row r="101" spans="1:20" x14ac:dyDescent="0.25">
      <c r="A101" s="25" t="s">
        <v>30</v>
      </c>
      <c r="B101" s="29">
        <f>+P73</f>
        <v>2882317.8945306861</v>
      </c>
      <c r="C101" s="29">
        <v>122400</v>
      </c>
      <c r="D101" s="24">
        <f t="shared" ref="D101:D120" si="58">+C101</f>
        <v>122400</v>
      </c>
      <c r="E101" s="29"/>
      <c r="F101" s="29"/>
      <c r="G101" s="29">
        <f t="shared" ref="G101:G120" si="59">+B101+C101+E101+F101</f>
        <v>3004717.8945306861</v>
      </c>
      <c r="H101" s="29"/>
      <c r="I101" s="29">
        <f t="shared" si="57"/>
        <v>122400</v>
      </c>
      <c r="J101" s="29">
        <f t="shared" ref="J101:J104" si="60">ROUND(I101*0.5,0)</f>
        <v>61200</v>
      </c>
      <c r="K101" s="29">
        <f t="shared" ref="K101:K120" si="61">ROUND(IF((C101-D101+F101)*0.5&gt;0,(C101-D101+F101)*0.5,0),0)</f>
        <v>0</v>
      </c>
      <c r="L101" s="61">
        <v>6</v>
      </c>
      <c r="M101" s="29">
        <v>0</v>
      </c>
      <c r="N101" s="29">
        <v>0</v>
      </c>
      <c r="O101" s="12">
        <f t="shared" ref="O101:O115" si="62">ROUND((G101+J101-K101)*L101/100,0)</f>
        <v>183955</v>
      </c>
      <c r="P101" s="29">
        <f t="shared" ref="P101:P120" si="63">+G101-O101</f>
        <v>2820762.8945306861</v>
      </c>
      <c r="Q101" s="29"/>
      <c r="S101" s="23"/>
    </row>
    <row r="102" spans="1:20" x14ac:dyDescent="0.25">
      <c r="A102" s="25">
        <v>2</v>
      </c>
      <c r="B102" s="29">
        <f>+P74</f>
        <v>4999989.0015117889</v>
      </c>
      <c r="C102" s="29"/>
      <c r="D102" s="24">
        <f t="shared" si="58"/>
        <v>0</v>
      </c>
      <c r="E102" s="29"/>
      <c r="F102" s="29"/>
      <c r="G102" s="29">
        <f t="shared" si="59"/>
        <v>4999989.0015117889</v>
      </c>
      <c r="H102" s="29"/>
      <c r="I102" s="29">
        <f t="shared" si="57"/>
        <v>0</v>
      </c>
      <c r="J102" s="29">
        <f t="shared" si="60"/>
        <v>0</v>
      </c>
      <c r="K102" s="29">
        <f t="shared" si="61"/>
        <v>0</v>
      </c>
      <c r="L102" s="62">
        <v>6</v>
      </c>
      <c r="M102" s="29">
        <v>0</v>
      </c>
      <c r="N102" s="29">
        <v>0</v>
      </c>
      <c r="O102" s="12">
        <f t="shared" si="62"/>
        <v>299999</v>
      </c>
      <c r="P102" s="29">
        <f t="shared" si="63"/>
        <v>4699990.0015117889</v>
      </c>
      <c r="Q102" s="29"/>
      <c r="S102" s="23"/>
    </row>
    <row r="103" spans="1:20" x14ac:dyDescent="0.25">
      <c r="A103" s="76">
        <v>8</v>
      </c>
      <c r="B103" s="29">
        <f>+P75</f>
        <v>858475.52335999999</v>
      </c>
      <c r="C103" s="29">
        <v>594660</v>
      </c>
      <c r="D103" s="56">
        <f t="shared" si="58"/>
        <v>594660</v>
      </c>
      <c r="E103" s="56"/>
      <c r="F103" s="29"/>
      <c r="G103" s="29">
        <f t="shared" si="59"/>
        <v>1453135.52336</v>
      </c>
      <c r="H103" s="29"/>
      <c r="I103" s="29">
        <f t="shared" si="57"/>
        <v>594660</v>
      </c>
      <c r="J103" s="29">
        <f t="shared" si="60"/>
        <v>297330</v>
      </c>
      <c r="K103" s="29">
        <f t="shared" si="61"/>
        <v>0</v>
      </c>
      <c r="L103" s="62">
        <v>20</v>
      </c>
      <c r="M103" s="29">
        <v>0</v>
      </c>
      <c r="N103" s="29">
        <v>0</v>
      </c>
      <c r="O103" s="12">
        <f t="shared" si="62"/>
        <v>350093</v>
      </c>
      <c r="P103" s="29">
        <f t="shared" si="63"/>
        <v>1103042.52336</v>
      </c>
      <c r="Q103" s="29"/>
      <c r="S103" s="23"/>
      <c r="T103" s="29"/>
    </row>
    <row r="104" spans="1:20" x14ac:dyDescent="0.25">
      <c r="A104" s="76">
        <v>10</v>
      </c>
      <c r="B104" s="29">
        <f t="shared" ref="B104:B109" si="64">+P76</f>
        <v>1120276.0682950001</v>
      </c>
      <c r="C104" s="29">
        <v>165750</v>
      </c>
      <c r="D104" s="56">
        <f t="shared" si="58"/>
        <v>165750</v>
      </c>
      <c r="E104" s="77"/>
      <c r="F104" s="29"/>
      <c r="G104" s="29">
        <f t="shared" si="59"/>
        <v>1286026.0682950001</v>
      </c>
      <c r="H104" s="29"/>
      <c r="I104" s="29">
        <f t="shared" si="57"/>
        <v>165750</v>
      </c>
      <c r="J104" s="29">
        <f t="shared" si="60"/>
        <v>82875</v>
      </c>
      <c r="K104" s="29">
        <f t="shared" si="61"/>
        <v>0</v>
      </c>
      <c r="L104" s="62">
        <v>30</v>
      </c>
      <c r="M104" s="29">
        <v>0</v>
      </c>
      <c r="N104" s="29">
        <v>0</v>
      </c>
      <c r="O104" s="12">
        <f t="shared" si="62"/>
        <v>410670</v>
      </c>
      <c r="P104" s="29">
        <f t="shared" si="63"/>
        <v>875356.06829500012</v>
      </c>
      <c r="Q104" s="29"/>
      <c r="S104" s="23"/>
    </row>
    <row r="105" spans="1:20" x14ac:dyDescent="0.25">
      <c r="A105" s="76">
        <v>10.1</v>
      </c>
      <c r="B105" s="29">
        <f t="shared" si="64"/>
        <v>6395</v>
      </c>
      <c r="C105" s="29"/>
      <c r="D105" s="56">
        <f t="shared" si="58"/>
        <v>0</v>
      </c>
      <c r="E105" s="77"/>
      <c r="F105" s="29"/>
      <c r="G105" s="29">
        <f t="shared" si="59"/>
        <v>6395</v>
      </c>
      <c r="H105" s="29"/>
      <c r="I105" s="29">
        <f t="shared" si="57"/>
        <v>0</v>
      </c>
      <c r="J105" s="29">
        <f>ROUND(D105*0.5,0)</f>
        <v>0</v>
      </c>
      <c r="K105" s="29">
        <f t="shared" si="61"/>
        <v>0</v>
      </c>
      <c r="L105" s="62">
        <v>30</v>
      </c>
      <c r="M105" s="65" t="s">
        <v>80</v>
      </c>
      <c r="N105" s="65" t="s">
        <v>80</v>
      </c>
      <c r="O105" s="12">
        <f t="shared" si="62"/>
        <v>1919</v>
      </c>
      <c r="P105" s="29">
        <f t="shared" si="63"/>
        <v>4476</v>
      </c>
      <c r="Q105" s="29"/>
      <c r="S105" s="23"/>
    </row>
    <row r="106" spans="1:20" x14ac:dyDescent="0.25">
      <c r="A106" s="76">
        <v>10.1</v>
      </c>
      <c r="B106" s="29">
        <f t="shared" si="64"/>
        <v>9136</v>
      </c>
      <c r="C106" s="29"/>
      <c r="D106" s="56">
        <f t="shared" si="58"/>
        <v>0</v>
      </c>
      <c r="E106" s="77"/>
      <c r="F106" s="29"/>
      <c r="G106" s="29">
        <f t="shared" si="59"/>
        <v>9136</v>
      </c>
      <c r="H106" s="29"/>
      <c r="I106" s="29">
        <f t="shared" si="57"/>
        <v>0</v>
      </c>
      <c r="J106" s="29">
        <f>ROUND(D106*0.5,0)</f>
        <v>0</v>
      </c>
      <c r="K106" s="29">
        <f t="shared" si="61"/>
        <v>0</v>
      </c>
      <c r="L106" s="62">
        <v>30</v>
      </c>
      <c r="M106" s="65" t="s">
        <v>80</v>
      </c>
      <c r="N106" s="65" t="s">
        <v>80</v>
      </c>
      <c r="O106" s="12">
        <f t="shared" si="62"/>
        <v>2741</v>
      </c>
      <c r="P106" s="29">
        <f t="shared" si="63"/>
        <v>6395</v>
      </c>
      <c r="Q106" s="29"/>
      <c r="S106" s="23"/>
    </row>
    <row r="107" spans="1:20" x14ac:dyDescent="0.25">
      <c r="A107" s="76">
        <v>10.1</v>
      </c>
      <c r="B107" s="29">
        <f t="shared" si="64"/>
        <v>13051</v>
      </c>
      <c r="C107" s="29"/>
      <c r="D107" s="56">
        <f t="shared" si="58"/>
        <v>0</v>
      </c>
      <c r="E107" s="77"/>
      <c r="F107" s="29"/>
      <c r="G107" s="29">
        <f t="shared" si="59"/>
        <v>13051</v>
      </c>
      <c r="H107" s="29"/>
      <c r="I107" s="29">
        <f t="shared" si="57"/>
        <v>0</v>
      </c>
      <c r="J107" s="29">
        <f t="shared" ref="J107:J108" si="65">ROUND(D107*0.5,0)</f>
        <v>0</v>
      </c>
      <c r="K107" s="29">
        <f t="shared" si="61"/>
        <v>0</v>
      </c>
      <c r="L107" s="62">
        <v>30</v>
      </c>
      <c r="M107" s="65" t="s">
        <v>80</v>
      </c>
      <c r="N107" s="65" t="s">
        <v>80</v>
      </c>
      <c r="O107" s="12">
        <f t="shared" si="62"/>
        <v>3915</v>
      </c>
      <c r="P107" s="29">
        <f t="shared" si="63"/>
        <v>9136</v>
      </c>
      <c r="Q107" s="29"/>
      <c r="S107" s="23"/>
    </row>
    <row r="108" spans="1:20" x14ac:dyDescent="0.25">
      <c r="A108" s="76">
        <v>10.1</v>
      </c>
      <c r="B108" s="29">
        <f t="shared" si="64"/>
        <v>13051</v>
      </c>
      <c r="C108" s="29"/>
      <c r="D108" s="56">
        <f t="shared" si="58"/>
        <v>0</v>
      </c>
      <c r="E108" s="77"/>
      <c r="F108" s="29"/>
      <c r="G108" s="29">
        <f t="shared" si="59"/>
        <v>13051</v>
      </c>
      <c r="H108" s="29"/>
      <c r="I108" s="29">
        <f t="shared" si="57"/>
        <v>0</v>
      </c>
      <c r="J108" s="29">
        <f t="shared" si="65"/>
        <v>0</v>
      </c>
      <c r="K108" s="29">
        <f t="shared" si="61"/>
        <v>0</v>
      </c>
      <c r="L108" s="62">
        <v>30</v>
      </c>
      <c r="M108" s="65" t="s">
        <v>80</v>
      </c>
      <c r="N108" s="65" t="s">
        <v>80</v>
      </c>
      <c r="O108" s="12">
        <f t="shared" si="62"/>
        <v>3915</v>
      </c>
      <c r="P108" s="29">
        <f t="shared" si="63"/>
        <v>9136</v>
      </c>
      <c r="Q108" s="29"/>
      <c r="S108" s="23"/>
    </row>
    <row r="109" spans="1:20" x14ac:dyDescent="0.25">
      <c r="A109" s="76">
        <v>10.1</v>
      </c>
      <c r="B109" s="29">
        <f t="shared" si="64"/>
        <v>18645</v>
      </c>
      <c r="C109" s="29"/>
      <c r="D109" s="56">
        <f t="shared" si="58"/>
        <v>0</v>
      </c>
      <c r="E109" s="77"/>
      <c r="F109" s="29"/>
      <c r="G109" s="29">
        <f t="shared" si="59"/>
        <v>18645</v>
      </c>
      <c r="H109" s="29"/>
      <c r="I109" s="29">
        <f t="shared" ref="I109:I111" si="66">IF((+D109+H109)&gt;0,D109+H109,0)</f>
        <v>0</v>
      </c>
      <c r="J109" s="29">
        <f t="shared" ref="J109:J111" si="67">ROUND(D109*0.5,0)</f>
        <v>0</v>
      </c>
      <c r="K109" s="29">
        <f t="shared" si="61"/>
        <v>0</v>
      </c>
      <c r="L109" s="62">
        <v>30</v>
      </c>
      <c r="M109" s="65" t="s">
        <v>80</v>
      </c>
      <c r="N109" s="65" t="s">
        <v>80</v>
      </c>
      <c r="O109" s="12">
        <f t="shared" ref="O109:O111" si="68">ROUND((G109+J109-K109)*L109/100,0)</f>
        <v>5594</v>
      </c>
      <c r="P109" s="29">
        <f t="shared" ref="P109:P111" si="69">+G109-O109</f>
        <v>13051</v>
      </c>
      <c r="Q109" s="29"/>
      <c r="S109" s="23"/>
    </row>
    <row r="110" spans="1:20" x14ac:dyDescent="0.25">
      <c r="A110" s="76">
        <v>10.1</v>
      </c>
      <c r="B110" s="29">
        <v>0</v>
      </c>
      <c r="C110" s="29">
        <v>33900</v>
      </c>
      <c r="D110" s="56">
        <v>33900</v>
      </c>
      <c r="E110" s="77"/>
      <c r="F110" s="29"/>
      <c r="G110" s="29">
        <f t="shared" si="59"/>
        <v>33900</v>
      </c>
      <c r="H110" s="29"/>
      <c r="I110" s="29">
        <f t="shared" si="66"/>
        <v>33900</v>
      </c>
      <c r="J110" s="29">
        <f t="shared" si="67"/>
        <v>16950</v>
      </c>
      <c r="K110" s="29">
        <f t="shared" si="61"/>
        <v>0</v>
      </c>
      <c r="L110" s="62">
        <v>30</v>
      </c>
      <c r="M110" s="65" t="s">
        <v>80</v>
      </c>
      <c r="N110" s="65" t="s">
        <v>80</v>
      </c>
      <c r="O110" s="12">
        <f t="shared" si="68"/>
        <v>15255</v>
      </c>
      <c r="P110" s="29">
        <f t="shared" si="69"/>
        <v>18645</v>
      </c>
      <c r="Q110" s="29"/>
      <c r="S110" s="23"/>
    </row>
    <row r="111" spans="1:20" x14ac:dyDescent="0.25">
      <c r="A111" s="76">
        <v>10.1</v>
      </c>
      <c r="B111" s="29">
        <v>0</v>
      </c>
      <c r="C111" s="29">
        <v>33900</v>
      </c>
      <c r="D111" s="56">
        <v>33900</v>
      </c>
      <c r="E111" s="77"/>
      <c r="F111" s="29"/>
      <c r="G111" s="29">
        <f t="shared" si="59"/>
        <v>33900</v>
      </c>
      <c r="H111" s="29"/>
      <c r="I111" s="29">
        <f t="shared" si="66"/>
        <v>33900</v>
      </c>
      <c r="J111" s="29">
        <f t="shared" si="67"/>
        <v>16950</v>
      </c>
      <c r="K111" s="29">
        <f t="shared" si="61"/>
        <v>0</v>
      </c>
      <c r="L111" s="62">
        <v>30</v>
      </c>
      <c r="M111" s="65" t="s">
        <v>80</v>
      </c>
      <c r="N111" s="65" t="s">
        <v>80</v>
      </c>
      <c r="O111" s="12">
        <f t="shared" si="68"/>
        <v>15255</v>
      </c>
      <c r="P111" s="29">
        <f t="shared" si="69"/>
        <v>18645</v>
      </c>
      <c r="Q111" s="29"/>
      <c r="S111" s="23"/>
    </row>
    <row r="112" spans="1:20" x14ac:dyDescent="0.25">
      <c r="A112" s="76">
        <v>12</v>
      </c>
      <c r="B112" s="29">
        <f t="shared" ref="B112:B117" si="70">+P82</f>
        <v>0</v>
      </c>
      <c r="C112" s="29">
        <v>1490000</v>
      </c>
      <c r="D112" s="56">
        <f t="shared" si="58"/>
        <v>1490000</v>
      </c>
      <c r="E112" s="77"/>
      <c r="F112" s="29"/>
      <c r="G112" s="29">
        <f t="shared" si="59"/>
        <v>1490000</v>
      </c>
      <c r="H112" s="29"/>
      <c r="I112" s="29">
        <f t="shared" si="57"/>
        <v>1490000</v>
      </c>
      <c r="J112" s="29">
        <f>ROUND(I112*0,0)</f>
        <v>0</v>
      </c>
      <c r="K112" s="29">
        <f t="shared" si="61"/>
        <v>0</v>
      </c>
      <c r="L112" s="62">
        <v>100</v>
      </c>
      <c r="M112" s="29">
        <v>0</v>
      </c>
      <c r="N112" s="29">
        <v>0</v>
      </c>
      <c r="O112" s="12">
        <f t="shared" si="62"/>
        <v>1490000</v>
      </c>
      <c r="P112" s="29">
        <f t="shared" si="63"/>
        <v>0</v>
      </c>
      <c r="Q112" s="29"/>
      <c r="S112" s="23"/>
    </row>
    <row r="113" spans="1:19" x14ac:dyDescent="0.25">
      <c r="A113" s="76">
        <v>17</v>
      </c>
      <c r="B113" s="29">
        <f t="shared" si="70"/>
        <v>14245.148636467198</v>
      </c>
      <c r="C113" s="29"/>
      <c r="D113" s="56">
        <f t="shared" si="58"/>
        <v>0</v>
      </c>
      <c r="E113" s="77"/>
      <c r="F113" s="29"/>
      <c r="G113" s="29">
        <f t="shared" si="59"/>
        <v>14245.148636467198</v>
      </c>
      <c r="H113" s="29"/>
      <c r="I113" s="29">
        <f t="shared" si="57"/>
        <v>0</v>
      </c>
      <c r="J113" s="29">
        <f t="shared" ref="J113:J120" si="71">ROUND(I113*0.5,0)</f>
        <v>0</v>
      </c>
      <c r="K113" s="29">
        <f t="shared" si="61"/>
        <v>0</v>
      </c>
      <c r="L113" s="62">
        <v>8</v>
      </c>
      <c r="M113" s="29">
        <v>0</v>
      </c>
      <c r="N113" s="29">
        <v>0</v>
      </c>
      <c r="O113" s="12">
        <f t="shared" si="62"/>
        <v>1140</v>
      </c>
      <c r="P113" s="29">
        <f t="shared" si="63"/>
        <v>13105.148636467198</v>
      </c>
      <c r="Q113" s="29"/>
      <c r="S113" s="23"/>
    </row>
    <row r="114" spans="1:19" x14ac:dyDescent="0.25">
      <c r="A114" s="76">
        <v>45</v>
      </c>
      <c r="B114" s="29">
        <f t="shared" si="70"/>
        <v>20.418849999999992</v>
      </c>
      <c r="C114" s="29"/>
      <c r="D114" s="56">
        <f t="shared" si="58"/>
        <v>0</v>
      </c>
      <c r="E114" s="77"/>
      <c r="F114" s="29"/>
      <c r="G114" s="29">
        <f t="shared" si="59"/>
        <v>20.418849999999992</v>
      </c>
      <c r="H114" s="29"/>
      <c r="I114" s="29">
        <f t="shared" si="57"/>
        <v>0</v>
      </c>
      <c r="J114" s="29">
        <f t="shared" si="71"/>
        <v>0</v>
      </c>
      <c r="K114" s="29">
        <f t="shared" si="61"/>
        <v>0</v>
      </c>
      <c r="L114" s="62">
        <v>45</v>
      </c>
      <c r="M114" s="29">
        <v>0</v>
      </c>
      <c r="N114" s="29">
        <v>0</v>
      </c>
      <c r="O114" s="12">
        <f t="shared" si="62"/>
        <v>9</v>
      </c>
      <c r="P114" s="29">
        <f t="shared" si="63"/>
        <v>11.418849999999992</v>
      </c>
      <c r="Q114" s="29"/>
      <c r="S114" s="23"/>
    </row>
    <row r="115" spans="1:19" x14ac:dyDescent="0.25">
      <c r="A115" s="76">
        <v>46</v>
      </c>
      <c r="B115" s="29">
        <f t="shared" si="70"/>
        <v>5603.1749399999972</v>
      </c>
      <c r="C115" s="29"/>
      <c r="D115" s="56">
        <f t="shared" si="58"/>
        <v>0</v>
      </c>
      <c r="E115" s="77"/>
      <c r="F115" s="29"/>
      <c r="G115" s="29">
        <f t="shared" si="59"/>
        <v>5603.1749399999972</v>
      </c>
      <c r="H115" s="29"/>
      <c r="I115" s="29">
        <f t="shared" si="57"/>
        <v>0</v>
      </c>
      <c r="J115" s="29">
        <f t="shared" si="71"/>
        <v>0</v>
      </c>
      <c r="K115" s="29">
        <f t="shared" si="61"/>
        <v>0</v>
      </c>
      <c r="L115" s="62">
        <v>30</v>
      </c>
      <c r="M115" s="29">
        <v>0</v>
      </c>
      <c r="N115" s="29">
        <v>0</v>
      </c>
      <c r="O115" s="12">
        <f t="shared" si="62"/>
        <v>1681</v>
      </c>
      <c r="P115" s="29">
        <f t="shared" si="63"/>
        <v>3922.1749399999972</v>
      </c>
      <c r="Q115" s="29"/>
      <c r="S115" s="23"/>
    </row>
    <row r="116" spans="1:19" x14ac:dyDescent="0.25">
      <c r="A116" s="76" t="s">
        <v>59</v>
      </c>
      <c r="B116" s="29">
        <f t="shared" si="70"/>
        <v>677857.01970465388</v>
      </c>
      <c r="C116" s="29"/>
      <c r="D116" s="56">
        <f t="shared" si="58"/>
        <v>0</v>
      </c>
      <c r="E116" s="29"/>
      <c r="F116" s="29"/>
      <c r="G116" s="29">
        <f t="shared" si="59"/>
        <v>677857.01970465388</v>
      </c>
      <c r="H116" s="29"/>
      <c r="I116" s="29">
        <f t="shared" si="57"/>
        <v>0</v>
      </c>
      <c r="J116" s="29">
        <f t="shared" si="71"/>
        <v>0</v>
      </c>
      <c r="K116" s="29">
        <f t="shared" si="61"/>
        <v>0</v>
      </c>
      <c r="L116" s="62">
        <v>7</v>
      </c>
      <c r="M116" s="29">
        <v>0</v>
      </c>
      <c r="N116" s="29">
        <v>0</v>
      </c>
      <c r="O116" s="12">
        <f>ROUND((G116+J116-K116)*L116/100,0)</f>
        <v>47450</v>
      </c>
      <c r="P116" s="29">
        <f t="shared" si="63"/>
        <v>630407.01970465388</v>
      </c>
      <c r="Q116" s="29"/>
      <c r="S116" s="23"/>
    </row>
    <row r="117" spans="1:19" x14ac:dyDescent="0.25">
      <c r="A117" s="76">
        <v>47</v>
      </c>
      <c r="B117" s="29">
        <f t="shared" si="70"/>
        <v>37052668.934095152</v>
      </c>
      <c r="C117" s="29">
        <f>9328700-1000000-385000</f>
        <v>7943700</v>
      </c>
      <c r="D117" s="56">
        <f t="shared" si="58"/>
        <v>7943700</v>
      </c>
      <c r="E117" s="77"/>
      <c r="F117" s="34">
        <v>-40000</v>
      </c>
      <c r="G117" s="29">
        <f t="shared" si="59"/>
        <v>44956368.934095152</v>
      </c>
      <c r="H117" s="29">
        <f>+F117</f>
        <v>-40000</v>
      </c>
      <c r="I117" s="29">
        <f t="shared" si="57"/>
        <v>7903700</v>
      </c>
      <c r="J117" s="29">
        <f t="shared" si="71"/>
        <v>3951850</v>
      </c>
      <c r="K117" s="29">
        <f t="shared" si="61"/>
        <v>0</v>
      </c>
      <c r="L117" s="63">
        <v>8</v>
      </c>
      <c r="M117" s="29">
        <v>0</v>
      </c>
      <c r="N117" s="29">
        <v>0</v>
      </c>
      <c r="O117" s="12">
        <f t="shared" ref="O117:O120" si="72">ROUND((G117+J117-K117)*L117/100,0)</f>
        <v>3912658</v>
      </c>
      <c r="P117" s="29">
        <f t="shared" si="63"/>
        <v>41043710.934095152</v>
      </c>
      <c r="Q117" s="29"/>
      <c r="S117" s="23"/>
    </row>
    <row r="118" spans="1:19" x14ac:dyDescent="0.25">
      <c r="A118" s="76" t="s">
        <v>92</v>
      </c>
      <c r="B118" s="29">
        <v>33542</v>
      </c>
      <c r="C118" s="29"/>
      <c r="D118" s="56"/>
      <c r="E118" s="77"/>
      <c r="F118" s="34"/>
      <c r="G118" s="29">
        <f>+B118+C118+E118+F118</f>
        <v>33542</v>
      </c>
      <c r="H118" s="29"/>
      <c r="I118" s="29">
        <f>IF((+D118+H118)&gt;0,D118+H118,0)</f>
        <v>0</v>
      </c>
      <c r="J118" s="29">
        <f>ROUND(I118*0.5,0)</f>
        <v>0</v>
      </c>
      <c r="K118" s="29">
        <f>ROUND(IF((C118-D118+F118)*0.5&gt;0,(C118-D118+F118)*0.5,0),0)</f>
        <v>0</v>
      </c>
      <c r="L118" s="63">
        <v>8</v>
      </c>
      <c r="M118" s="29">
        <v>0</v>
      </c>
      <c r="N118" s="29">
        <v>0</v>
      </c>
      <c r="O118" s="12">
        <f t="shared" ref="O118" si="73">ROUND((G118+J118-K118)*L118/100,0)</f>
        <v>2683</v>
      </c>
      <c r="P118" s="29">
        <f t="shared" ref="P118" si="74">+G118-O118</f>
        <v>30859</v>
      </c>
      <c r="Q118" s="29"/>
      <c r="S118" s="23"/>
    </row>
    <row r="119" spans="1:19" x14ac:dyDescent="0.25">
      <c r="A119" s="76">
        <v>50</v>
      </c>
      <c r="B119" s="29">
        <f>+P89</f>
        <v>302231.9943207812</v>
      </c>
      <c r="C119" s="29">
        <v>550590</v>
      </c>
      <c r="D119" s="56">
        <f t="shared" si="58"/>
        <v>550590</v>
      </c>
      <c r="E119" s="34"/>
      <c r="F119" s="34"/>
      <c r="G119" s="29">
        <f t="shared" si="59"/>
        <v>852821.9943207812</v>
      </c>
      <c r="H119" s="29"/>
      <c r="I119" s="29">
        <f t="shared" si="57"/>
        <v>550590</v>
      </c>
      <c r="J119" s="29">
        <f t="shared" si="71"/>
        <v>275295</v>
      </c>
      <c r="K119" s="29">
        <f t="shared" si="61"/>
        <v>0</v>
      </c>
      <c r="L119" s="63">
        <v>55</v>
      </c>
      <c r="M119" s="29">
        <v>0</v>
      </c>
      <c r="N119" s="29">
        <v>0</v>
      </c>
      <c r="O119" s="12">
        <f t="shared" si="72"/>
        <v>620464</v>
      </c>
      <c r="P119" s="29">
        <f t="shared" si="63"/>
        <v>232357.9943207812</v>
      </c>
      <c r="Q119" s="29"/>
    </row>
    <row r="120" spans="1:19" x14ac:dyDescent="0.25">
      <c r="A120" s="25">
        <v>95</v>
      </c>
      <c r="B120" s="29">
        <f>+P90</f>
        <v>0</v>
      </c>
      <c r="C120" s="29"/>
      <c r="D120" s="24">
        <f t="shared" si="58"/>
        <v>0</v>
      </c>
      <c r="E120" s="38"/>
      <c r="F120" s="38">
        <f>-B120</f>
        <v>0</v>
      </c>
      <c r="G120" s="29">
        <f t="shared" si="59"/>
        <v>0</v>
      </c>
      <c r="H120" s="29">
        <f>+F120</f>
        <v>0</v>
      </c>
      <c r="I120" s="29">
        <f t="shared" si="57"/>
        <v>0</v>
      </c>
      <c r="J120" s="29">
        <f t="shared" si="71"/>
        <v>0</v>
      </c>
      <c r="K120" s="29">
        <f t="shared" si="61"/>
        <v>0</v>
      </c>
      <c r="L120" s="64">
        <v>0</v>
      </c>
      <c r="M120" s="29">
        <v>0</v>
      </c>
      <c r="N120" s="29">
        <v>0</v>
      </c>
      <c r="O120" s="12">
        <f t="shared" si="72"/>
        <v>0</v>
      </c>
      <c r="P120" s="29">
        <f t="shared" si="63"/>
        <v>0</v>
      </c>
      <c r="Q120" s="29"/>
      <c r="S120" s="23"/>
    </row>
    <row r="121" spans="1:19" ht="15.75" thickBot="1" x14ac:dyDescent="0.3">
      <c r="A121" s="23"/>
      <c r="B121" s="40">
        <f t="shared" ref="B121:K121" si="75">SUM(B100:B120)</f>
        <v>58756864.861317858</v>
      </c>
      <c r="C121" s="40">
        <f t="shared" si="75"/>
        <v>10934900</v>
      </c>
      <c r="D121" s="40">
        <f t="shared" si="75"/>
        <v>10934900</v>
      </c>
      <c r="E121" s="40">
        <f t="shared" si="75"/>
        <v>0</v>
      </c>
      <c r="F121" s="40">
        <f t="shared" si="75"/>
        <v>-40000</v>
      </c>
      <c r="G121" s="40">
        <f t="shared" si="75"/>
        <v>69651764.861317858</v>
      </c>
      <c r="H121" s="40">
        <f t="shared" si="75"/>
        <v>-40000</v>
      </c>
      <c r="I121" s="40">
        <f t="shared" si="75"/>
        <v>10894900</v>
      </c>
      <c r="J121" s="40">
        <f t="shared" si="75"/>
        <v>4702450</v>
      </c>
      <c r="K121" s="40">
        <f t="shared" si="75"/>
        <v>0</v>
      </c>
      <c r="L121" s="40">
        <v>0</v>
      </c>
      <c r="M121" s="40">
        <f>SUM(M100:M120)</f>
        <v>0</v>
      </c>
      <c r="N121" s="40">
        <f>SUM(N100:N120)</f>
        <v>0</v>
      </c>
      <c r="O121" s="53">
        <f>SUM(O100:O120)</f>
        <v>7799370</v>
      </c>
      <c r="P121" s="40">
        <f>SUM(P100:P120)</f>
        <v>61852394.861317858</v>
      </c>
      <c r="Q121" s="23"/>
      <c r="S121" s="23"/>
    </row>
    <row r="122" spans="1:19" ht="15.75" thickTop="1" x14ac:dyDescent="0.25">
      <c r="C122" s="34">
        <f>120000-C110-C111</f>
        <v>52200</v>
      </c>
      <c r="D122" s="70" t="s">
        <v>88</v>
      </c>
      <c r="O122" s="1"/>
      <c r="P122" s="1"/>
    </row>
    <row r="123" spans="1:19" x14ac:dyDescent="0.25">
      <c r="C123" s="34">
        <v>385000</v>
      </c>
      <c r="D123" s="70" t="s">
        <v>93</v>
      </c>
      <c r="O123" s="1"/>
    </row>
    <row r="124" spans="1:19" ht="15.75" thickBot="1" x14ac:dyDescent="0.3">
      <c r="C124" s="40">
        <f>SUM(C121:C123)</f>
        <v>11372100</v>
      </c>
      <c r="D124" s="70" t="s">
        <v>99</v>
      </c>
    </row>
    <row r="125" spans="1:19" ht="15.75" thickTop="1" x14ac:dyDescent="0.25"/>
    <row r="126" spans="1:19" x14ac:dyDescent="0.25">
      <c r="O126" s="1"/>
      <c r="P126" s="1"/>
    </row>
  </sheetData>
  <pageMargins left="0.70866141732283472" right="0.70866141732283472" top="0.74803149606299213" bottom="0.74803149606299213" header="0.31496062992125984" footer="0.31496062992125984"/>
  <pageSetup scale="53" fitToHeight="4" orientation="landscape" r:id="rId1"/>
  <rowBreaks count="1" manualBreakCount="1">
    <brk id="69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Sch 8 - 2014 to 2018</vt:lpstr>
      <vt:lpstr>Sch 8 - 2019 to 2023</vt:lpstr>
      <vt:lpstr>'Sch 8 - 2014 to 2018'!Print_Area</vt:lpstr>
      <vt:lpstr>'Sch 8 - 2019 to 2023'!Print_Area</vt:lpstr>
      <vt:lpstr>'Sch 8 - 2014 to 2018'!Print_Titles</vt:lpstr>
      <vt:lpstr>'Sch 8 - 2019 to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Sauve, Steve M</dc:creator>
  <cp:lastModifiedBy>Emma Nicholson</cp:lastModifiedBy>
  <cp:lastPrinted>2022-08-05T19:03:20Z</cp:lastPrinted>
  <dcterms:created xsi:type="dcterms:W3CDTF">2021-03-24T13:57:03Z</dcterms:created>
  <dcterms:modified xsi:type="dcterms:W3CDTF">2022-11-18T15:26:25Z</dcterms:modified>
</cp:coreProperties>
</file>