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HERCULES\Finance\Accounting\Terry Debbie (FINANCE MGT)\1 regulatory affairs\2 Rate Applications\2023 PUC COS Application\Interrogatories\Models\Models for Filing\"/>
    </mc:Choice>
  </mc:AlternateContent>
  <xr:revisionPtr revIDLastSave="0" documentId="13_ncr:1_{3B305402-0AAC-42D0-8AC2-C9B4571BD666}" xr6:coauthVersionLast="47" xr6:coauthVersionMax="47" xr10:uidLastSave="{00000000-0000-0000-0000-000000000000}"/>
  <bookViews>
    <workbookView xWindow="-120" yWindow="-120" windowWidth="29040" windowHeight="15840" tabRatio="845" xr2:uid="{00000000-000D-0000-FFFF-FFFF00000000}"/>
  </bookViews>
  <sheets>
    <sheet name="Exhibit 3 Tables" sheetId="60" r:id="rId1"/>
    <sheet name="Summary" sheetId="11" r:id="rId2"/>
    <sheet name="Regressions" sheetId="43" r:id="rId3"/>
    <sheet name="Purchased Power Model" sheetId="7" r:id="rId4"/>
    <sheet name="Purchased Power Model WN tk" sheetId="52" r:id="rId5"/>
    <sheet name="Rate Class Energy Model" sheetId="9" r:id="rId6"/>
    <sheet name="COVID analysis" sheetId="61" r:id="rId7"/>
    <sheet name="Rate Class Customer Model" sheetId="17" r:id="rId8"/>
    <sheet name="Rate Class Load Model" sheetId="18" r:id="rId9"/>
    <sheet name="Weather Analysis " sheetId="32" r:id="rId10"/>
    <sheet name="2022 COP Forecast" sheetId="56" r:id="rId11"/>
    <sheet name="2023 COP Forecast" sheetId="5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CAP1000" localSheetId="10">#REF!</definedName>
    <definedName name="__CAP1000" localSheetId="11">#REF!</definedName>
    <definedName name="__CAP1000" localSheetId="0">#REF!</definedName>
    <definedName name="__CAP1000">#REF!</definedName>
    <definedName name="__OP1000" localSheetId="10">#REF!</definedName>
    <definedName name="__OP1000" localSheetId="11">#REF!</definedName>
    <definedName name="__OP1000" localSheetId="0">#REF!</definedName>
    <definedName name="__OP1000">#REF!</definedName>
    <definedName name="_110" localSheetId="10">#REF!</definedName>
    <definedName name="_110" localSheetId="11">#REF!</definedName>
    <definedName name="_110" localSheetId="0">#REF!</definedName>
    <definedName name="_110">#REF!</definedName>
    <definedName name="_110INPT" localSheetId="10">#REF!</definedName>
    <definedName name="_110INPT" localSheetId="11">#REF!</definedName>
    <definedName name="_110INPT">#REF!</definedName>
    <definedName name="_115" localSheetId="10">#REF!</definedName>
    <definedName name="_115" localSheetId="11">#REF!</definedName>
    <definedName name="_115">#REF!</definedName>
    <definedName name="_115INPT" localSheetId="10">#REF!</definedName>
    <definedName name="_115INPT" localSheetId="11">#REF!</definedName>
    <definedName name="_115INPT">#REF!</definedName>
    <definedName name="_120" localSheetId="10">#REF!</definedName>
    <definedName name="_120" localSheetId="11">#REF!</definedName>
    <definedName name="_120">#REF!</definedName>
    <definedName name="_140" localSheetId="10">#REF!</definedName>
    <definedName name="_140" localSheetId="11">#REF!</definedName>
    <definedName name="_140">#REF!</definedName>
    <definedName name="_140INPT" localSheetId="10">#REF!</definedName>
    <definedName name="_140INPT" localSheetId="11">#REF!</definedName>
    <definedName name="_140INPT">#REF!</definedName>
    <definedName name="_CAP1000" localSheetId="10">#REF!</definedName>
    <definedName name="_CAP1000" localSheetId="11">#REF!</definedName>
    <definedName name="_CAP1000">#REF!</definedName>
    <definedName name="_Fill" localSheetId="10" hidden="1">'[1]Old MEA Statistics'!$B$250</definedName>
    <definedName name="_Fill" localSheetId="11" hidden="1">'[1]Old MEA Statistics'!$B$250</definedName>
    <definedName name="_Fill" localSheetId="0" hidden="1">'[2]Old MEA Statistics'!$B$250</definedName>
    <definedName name="_Fill" hidden="1">'[3]Old MEA Statistics'!$B$250</definedName>
    <definedName name="_OP1000" localSheetId="10">#REF!</definedName>
    <definedName name="_OP1000" localSheetId="11">#REF!</definedName>
    <definedName name="_OP1000" localSheetId="0">#REF!</definedName>
    <definedName name="_OP1000">#REF!</definedName>
    <definedName name="_Order1" hidden="1">255</definedName>
    <definedName name="_Order2" hidden="1">0</definedName>
    <definedName name="_Sort" localSheetId="10" hidden="1">[4]Sheet1!$G$40:$K$40</definedName>
    <definedName name="_Sort" localSheetId="11" hidden="1">[4]Sheet1!$G$40:$K$40</definedName>
    <definedName name="_Sort" localSheetId="0" hidden="1">[5]Sheet1!$G$40:$K$40</definedName>
    <definedName name="_Sort" localSheetId="9" hidden="1">[6]Sheet1!$G$40:$K$40</definedName>
    <definedName name="_Sort" hidden="1">[7]Sheet1!$G$40:$K$40</definedName>
    <definedName name="ALL" localSheetId="10">#REF!</definedName>
    <definedName name="ALL" localSheetId="11">#REF!</definedName>
    <definedName name="ALL" localSheetId="0">#REF!</definedName>
    <definedName name="ALL">#REF!</definedName>
    <definedName name="ApprovedYr" localSheetId="10">'[8]Z1.ModelVariables'!$C$12</definedName>
    <definedName name="ApprovedYr" localSheetId="11">'[8]Z1.ModelVariables'!$C$12</definedName>
    <definedName name="ApprovedYr" localSheetId="0">'[8]Z1.ModelVariables'!$C$12</definedName>
    <definedName name="ApprovedYr">'[9]Z1.ModelVariables'!$C$12</definedName>
    <definedName name="CAfile" localSheetId="10">[10]Refs!$B$2</definedName>
    <definedName name="CAfile" localSheetId="11">[10]Refs!$B$2</definedName>
    <definedName name="CAfile" localSheetId="0">[11]Refs!$B$2</definedName>
    <definedName name="CAfile">[12]Refs!$B$2</definedName>
    <definedName name="CAPCOSTS" localSheetId="10">#REF!</definedName>
    <definedName name="CAPCOSTS" localSheetId="11">#REF!</definedName>
    <definedName name="CAPCOSTS" localSheetId="0">#REF!</definedName>
    <definedName name="CAPCOSTS">#REF!</definedName>
    <definedName name="CAPITAL" localSheetId="10">#REF!</definedName>
    <definedName name="CAPITAL" localSheetId="11">#REF!</definedName>
    <definedName name="CAPITAL" localSheetId="0">#REF!</definedName>
    <definedName name="CAPITAL">#REF!</definedName>
    <definedName name="CapitalExpListing" localSheetId="10">#REF!</definedName>
    <definedName name="CapitalExpListing" localSheetId="11">#REF!</definedName>
    <definedName name="CapitalExpListing" localSheetId="0">#REF!</definedName>
    <definedName name="CapitalExpListing">#REF!</definedName>
    <definedName name="CArevReq" localSheetId="10">[10]Refs!$B$6</definedName>
    <definedName name="CArevReq" localSheetId="11">[10]Refs!$B$6</definedName>
    <definedName name="CArevReq" localSheetId="0">[11]Refs!$B$6</definedName>
    <definedName name="CArevReq">[12]Refs!$B$6</definedName>
    <definedName name="CASHFLOW" localSheetId="10">#REF!</definedName>
    <definedName name="CASHFLOW" localSheetId="11">#REF!</definedName>
    <definedName name="CASHFLOW" localSheetId="0">#REF!</definedName>
    <definedName name="CASHFLOW">#REF!</definedName>
    <definedName name="cc" localSheetId="10">#REF!</definedName>
    <definedName name="cc" localSheetId="11">#REF!</definedName>
    <definedName name="cc" localSheetId="0">#REF!</definedName>
    <definedName name="cc">#REF!</definedName>
    <definedName name="ClassRange1" localSheetId="10">[10]Refs!$B$3</definedName>
    <definedName name="ClassRange1" localSheetId="11">[10]Refs!$B$3</definedName>
    <definedName name="ClassRange1" localSheetId="0">[11]Refs!$B$3</definedName>
    <definedName name="ClassRange1">[12]Refs!$B$3</definedName>
    <definedName name="ClassRange2" localSheetId="10">[10]Refs!$B$4</definedName>
    <definedName name="ClassRange2" localSheetId="11">[10]Refs!$B$4</definedName>
    <definedName name="ClassRange2" localSheetId="0">[11]Refs!$B$4</definedName>
    <definedName name="ClassRange2">[12]Refs!$B$4</definedName>
    <definedName name="contactf" localSheetId="10">#REF!</definedName>
    <definedName name="contactf" localSheetId="11">#REF!</definedName>
    <definedName name="contactf" localSheetId="0">#REF!</definedName>
    <definedName name="contactf">#REF!</definedName>
    <definedName name="_xlnm.Criteria" localSheetId="10">#REF!</definedName>
    <definedName name="_xlnm.Criteria" localSheetId="11">#REF!</definedName>
    <definedName name="_xlnm.Criteria" localSheetId="0">#REF!</definedName>
    <definedName name="_xlnm.Criteria">#REF!</definedName>
    <definedName name="CRLF" localSheetId="10">'[8]Z1.ModelVariables'!$C$10</definedName>
    <definedName name="CRLF" localSheetId="11">'[8]Z1.ModelVariables'!$C$10</definedName>
    <definedName name="CRLF" localSheetId="0">'[8]Z1.ModelVariables'!$C$10</definedName>
    <definedName name="CRLF">'[9]Z1.ModelVariables'!$C$10</definedName>
    <definedName name="_xlnm.Database" localSheetId="10">#REF!</definedName>
    <definedName name="_xlnm.Database" localSheetId="11">#REF!</definedName>
    <definedName name="_xlnm.Database" localSheetId="0">#REF!</definedName>
    <definedName name="_xlnm.Database">#REF!</definedName>
    <definedName name="DaysInPreviousYear">'[13]Distribution Revenue by Source'!$B$22</definedName>
    <definedName name="DaysInYear">'[13]Distribution Revenue by Source'!$B$21</definedName>
    <definedName name="DEBTREPAY" localSheetId="10">#REF!</definedName>
    <definedName name="DEBTREPAY" localSheetId="11">#REF!</definedName>
    <definedName name="DEBTREPAY" localSheetId="0">#REF!</definedName>
    <definedName name="DEBTREPAY">#REF!</definedName>
    <definedName name="DeptDiv" localSheetId="10">#REF!</definedName>
    <definedName name="DeptDiv" localSheetId="11">#REF!</definedName>
    <definedName name="DeptDiv" localSheetId="0">#REF!</definedName>
    <definedName name="DeptDiv">#REF!</definedName>
    <definedName name="ExpenseAccountListing" localSheetId="10">#REF!</definedName>
    <definedName name="ExpenseAccountListing" localSheetId="11">#REF!</definedName>
    <definedName name="ExpenseAccountListing" localSheetId="0">#REF!</definedName>
    <definedName name="ExpenseAccountListing">#REF!</definedName>
    <definedName name="_xlnm.Extract" localSheetId="10">#REF!</definedName>
    <definedName name="_xlnm.Extract" localSheetId="11">#REF!</definedName>
    <definedName name="_xlnm.Extract">#REF!</definedName>
    <definedName name="FakeBlank" localSheetId="10">'[8]Z1.ModelVariables'!$C$14</definedName>
    <definedName name="FakeBlank" localSheetId="11">'[8]Z1.ModelVariables'!$C$14</definedName>
    <definedName name="FakeBlank" localSheetId="0">'[8]Z1.ModelVariables'!$C$14</definedName>
    <definedName name="FakeBlank">'[9]Z1.ModelVariables'!$C$14</definedName>
    <definedName name="FolderPath" localSheetId="10">[10]Menu!$C$8</definedName>
    <definedName name="FolderPath" localSheetId="11">[10]Menu!$C$8</definedName>
    <definedName name="FolderPath" localSheetId="0">[11]Menu!$C$8</definedName>
    <definedName name="FolderPath">[12]Menu!$C$8</definedName>
    <definedName name="histdate">[14]Financials!$E$76</definedName>
    <definedName name="Incr2000" localSheetId="10">#REF!</definedName>
    <definedName name="Incr2000" localSheetId="11">#REF!</definedName>
    <definedName name="Incr2000" localSheetId="0">#REF!</definedName>
    <definedName name="Incr2000">#REF!</definedName>
    <definedName name="INTERIM" localSheetId="10">#REF!</definedName>
    <definedName name="INTERIM" localSheetId="11">#REF!</definedName>
    <definedName name="INTERIM" localSheetId="0">#REF!</definedName>
    <definedName name="INTERIM">#REF!</definedName>
    <definedName name="LIMIT" localSheetId="10">#REF!</definedName>
    <definedName name="LIMIT" localSheetId="11">#REF!</definedName>
    <definedName name="LIMIT" localSheetId="0">#REF!</definedName>
    <definedName name="LIMIT">#REF!</definedName>
    <definedName name="man_beg_bud" localSheetId="10">#REF!</definedName>
    <definedName name="man_beg_bud" localSheetId="11">#REF!</definedName>
    <definedName name="man_beg_bud">#REF!</definedName>
    <definedName name="man_end_bud" localSheetId="10">#REF!</definedName>
    <definedName name="man_end_bud" localSheetId="11">#REF!</definedName>
    <definedName name="man_end_bud">#REF!</definedName>
    <definedName name="man12ACT" localSheetId="10">#REF!</definedName>
    <definedName name="man12ACT" localSheetId="11">#REF!</definedName>
    <definedName name="man12ACT">#REF!</definedName>
    <definedName name="MANBUD" localSheetId="10">#REF!</definedName>
    <definedName name="MANBUD" localSheetId="11">#REF!</definedName>
    <definedName name="MANBUD">#REF!</definedName>
    <definedName name="manCYACT" localSheetId="10">#REF!</definedName>
    <definedName name="manCYACT" localSheetId="11">#REF!</definedName>
    <definedName name="manCYACT">#REF!</definedName>
    <definedName name="manCYBUD" localSheetId="10">#REF!</definedName>
    <definedName name="manCYBUD" localSheetId="11">#REF!</definedName>
    <definedName name="manCYBUD">#REF!</definedName>
    <definedName name="manCYF" localSheetId="10">#REF!</definedName>
    <definedName name="manCYF" localSheetId="11">#REF!</definedName>
    <definedName name="manCYF">#REF!</definedName>
    <definedName name="MANEND" localSheetId="10">#REF!</definedName>
    <definedName name="MANEND" localSheetId="11">#REF!</definedName>
    <definedName name="MANEND">#REF!</definedName>
    <definedName name="manNYbud" localSheetId="10">#REF!</definedName>
    <definedName name="manNYbud" localSheetId="11">#REF!</definedName>
    <definedName name="manNYbud">#REF!</definedName>
    <definedName name="manpower_costs" localSheetId="10">#REF!</definedName>
    <definedName name="manpower_costs" localSheetId="11">#REF!</definedName>
    <definedName name="manpower_costs">#REF!</definedName>
    <definedName name="manPYACT" localSheetId="10">#REF!</definedName>
    <definedName name="manPYACT" localSheetId="11">#REF!</definedName>
    <definedName name="manPYACT">#REF!</definedName>
    <definedName name="MANSTART" localSheetId="10">#REF!</definedName>
    <definedName name="MANSTART" localSheetId="11">#REF!</definedName>
    <definedName name="MANSTART">#REF!</definedName>
    <definedName name="mat_beg_bud" localSheetId="10">#REF!</definedName>
    <definedName name="mat_beg_bud" localSheetId="11">#REF!</definedName>
    <definedName name="mat_beg_bud">#REF!</definedName>
    <definedName name="mat_end_bud" localSheetId="10">#REF!</definedName>
    <definedName name="mat_end_bud" localSheetId="11">#REF!</definedName>
    <definedName name="mat_end_bud">#REF!</definedName>
    <definedName name="mat12ACT" localSheetId="10">#REF!</definedName>
    <definedName name="mat12ACT" localSheetId="11">#REF!</definedName>
    <definedName name="mat12ACT">#REF!</definedName>
    <definedName name="MATBUD" localSheetId="10">#REF!</definedName>
    <definedName name="MATBUD" localSheetId="11">#REF!</definedName>
    <definedName name="MATBUD">#REF!</definedName>
    <definedName name="matCYACT" localSheetId="10">#REF!</definedName>
    <definedName name="matCYACT" localSheetId="11">#REF!</definedName>
    <definedName name="matCYACT">#REF!</definedName>
    <definedName name="matCYBUD" localSheetId="10">#REF!</definedName>
    <definedName name="matCYBUD" localSheetId="11">#REF!</definedName>
    <definedName name="matCYBUD">#REF!</definedName>
    <definedName name="matCYF" localSheetId="10">#REF!</definedName>
    <definedName name="matCYF" localSheetId="11">#REF!</definedName>
    <definedName name="matCYF">#REF!</definedName>
    <definedName name="MATEND" localSheetId="10">#REF!</definedName>
    <definedName name="MATEND" localSheetId="11">#REF!</definedName>
    <definedName name="MATEND">#REF!</definedName>
    <definedName name="material_costs" localSheetId="10">#REF!</definedName>
    <definedName name="material_costs" localSheetId="11">#REF!</definedName>
    <definedName name="material_costs">#REF!</definedName>
    <definedName name="matNYbud" localSheetId="10">#REF!</definedName>
    <definedName name="matNYbud" localSheetId="11">#REF!</definedName>
    <definedName name="matNYbud">#REF!</definedName>
    <definedName name="matPYACT" localSheetId="10">#REF!</definedName>
    <definedName name="matPYACT" localSheetId="11">#REF!</definedName>
    <definedName name="matPYACT">#REF!</definedName>
    <definedName name="MATSTART" localSheetId="10">#REF!</definedName>
    <definedName name="MATSTART" localSheetId="11">#REF!</definedName>
    <definedName name="MATSTART">#REF!</definedName>
    <definedName name="mea" localSheetId="10">#REF!</definedName>
    <definedName name="mea" localSheetId="11">#REF!</definedName>
    <definedName name="mea">#REF!</definedName>
    <definedName name="MEABAL" localSheetId="10">#REF!</definedName>
    <definedName name="MEABAL" localSheetId="11">#REF!</definedName>
    <definedName name="MEABAL">#REF!</definedName>
    <definedName name="MEACASH" localSheetId="10">#REF!</definedName>
    <definedName name="MEACASH" localSheetId="11">#REF!</definedName>
    <definedName name="MEACASH">#REF!</definedName>
    <definedName name="MEAEQITY" localSheetId="10">#REF!</definedName>
    <definedName name="MEAEQITY" localSheetId="11">#REF!</definedName>
    <definedName name="MEAEQITY">#REF!</definedName>
    <definedName name="MEAOP" localSheetId="10">#REF!</definedName>
    <definedName name="MEAOP" localSheetId="11">#REF!</definedName>
    <definedName name="MEAOP">#REF!</definedName>
    <definedName name="MofF" localSheetId="10">#REF!</definedName>
    <definedName name="MofF" localSheetId="11">#REF!</definedName>
    <definedName name="MofF">#REF!</definedName>
    <definedName name="NewRevReq" localSheetId="10">[10]Refs!$B$8</definedName>
    <definedName name="NewRevReq" localSheetId="11">[10]Refs!$B$8</definedName>
    <definedName name="NewRevReq" localSheetId="0">[11]Refs!$B$8</definedName>
    <definedName name="NewRevReq">[12]Refs!$B$8</definedName>
    <definedName name="NOTES" localSheetId="10">#REF!</definedName>
    <definedName name="NOTES" localSheetId="11">#REF!</definedName>
    <definedName name="NOTES" localSheetId="0">#REF!</definedName>
    <definedName name="NOTES">#REF!</definedName>
    <definedName name="OPERATING" localSheetId="10">#REF!</definedName>
    <definedName name="OPERATING" localSheetId="11">#REF!</definedName>
    <definedName name="OPERATING" localSheetId="0">#REF!</definedName>
    <definedName name="OPERATING">#REF!</definedName>
    <definedName name="oth_beg_bud" localSheetId="10">#REF!</definedName>
    <definedName name="oth_beg_bud" localSheetId="11">#REF!</definedName>
    <definedName name="oth_beg_bud" localSheetId="0">#REF!</definedName>
    <definedName name="oth_beg_bud">#REF!</definedName>
    <definedName name="oth_end_bud" localSheetId="10">#REF!</definedName>
    <definedName name="oth_end_bud" localSheetId="11">#REF!</definedName>
    <definedName name="oth_end_bud">#REF!</definedName>
    <definedName name="oth12ACT" localSheetId="10">#REF!</definedName>
    <definedName name="oth12ACT" localSheetId="11">#REF!</definedName>
    <definedName name="oth12ACT">#REF!</definedName>
    <definedName name="othCYACT" localSheetId="10">#REF!</definedName>
    <definedName name="othCYACT" localSheetId="11">#REF!</definedName>
    <definedName name="othCYACT">#REF!</definedName>
    <definedName name="othCYBUD" localSheetId="10">#REF!</definedName>
    <definedName name="othCYBUD" localSheetId="11">#REF!</definedName>
    <definedName name="othCYBUD">#REF!</definedName>
    <definedName name="othCYF" localSheetId="10">#REF!</definedName>
    <definedName name="othCYF" localSheetId="11">#REF!</definedName>
    <definedName name="othCYF">#REF!</definedName>
    <definedName name="OTHEND" localSheetId="10">#REF!</definedName>
    <definedName name="OTHEND" localSheetId="11">#REF!</definedName>
    <definedName name="OTHEND">#REF!</definedName>
    <definedName name="other_costs" localSheetId="10">#REF!</definedName>
    <definedName name="other_costs" localSheetId="11">#REF!</definedName>
    <definedName name="other_costs">#REF!</definedName>
    <definedName name="OTHERBUD" localSheetId="10">#REF!</definedName>
    <definedName name="OTHERBUD" localSheetId="11">#REF!</definedName>
    <definedName name="OTHERBUD">#REF!</definedName>
    <definedName name="othNYbud" localSheetId="10">#REF!</definedName>
    <definedName name="othNYbud" localSheetId="11">#REF!</definedName>
    <definedName name="othNYbud">#REF!</definedName>
    <definedName name="othPYACT" localSheetId="10">#REF!</definedName>
    <definedName name="othPYACT" localSheetId="11">#REF!</definedName>
    <definedName name="othPYACT">#REF!</definedName>
    <definedName name="OTHSTART" localSheetId="10">#REF!</definedName>
    <definedName name="OTHSTART" localSheetId="11">#REF!</definedName>
    <definedName name="OTHSTART">#REF!</definedName>
    <definedName name="PAGE11" localSheetId="10">#REF!</definedName>
    <definedName name="PAGE11" localSheetId="11">#REF!</definedName>
    <definedName name="PAGE11" localSheetId="0">#REF!</definedName>
    <definedName name="PAGE11" localSheetId="9">#REF!</definedName>
    <definedName name="PAGE11">#REF!</definedName>
    <definedName name="PAGE2" localSheetId="10">[4]Sheet1!$A$1:$I$40</definedName>
    <definedName name="PAGE2" localSheetId="11">[4]Sheet1!$A$1:$I$40</definedName>
    <definedName name="PAGE2" localSheetId="0">[5]Sheet1!$A$1:$I$40</definedName>
    <definedName name="PAGE2" localSheetId="9">[6]Sheet1!$A$1:$I$40</definedName>
    <definedName name="PAGE2">[7]Sheet1!$A$1:$I$40</definedName>
    <definedName name="PAGE3" localSheetId="10">#REF!</definedName>
    <definedName name="PAGE3" localSheetId="11">#REF!</definedName>
    <definedName name="PAGE3" localSheetId="0">#REF!</definedName>
    <definedName name="PAGE3" localSheetId="9">#REF!</definedName>
    <definedName name="PAGE3">#REF!</definedName>
    <definedName name="PAGE4" localSheetId="10">#REF!</definedName>
    <definedName name="PAGE4" localSheetId="11">#REF!</definedName>
    <definedName name="PAGE4" localSheetId="0">#REF!</definedName>
    <definedName name="PAGE4" localSheetId="9">#REF!</definedName>
    <definedName name="PAGE4">#REF!</definedName>
    <definedName name="PAGE7" localSheetId="10">#REF!</definedName>
    <definedName name="PAGE7" localSheetId="11">#REF!</definedName>
    <definedName name="PAGE7" localSheetId="0">#REF!</definedName>
    <definedName name="PAGE7" localSheetId="9">#REF!</definedName>
    <definedName name="PAGE7">#REF!</definedName>
    <definedName name="PAGE9" localSheetId="10">#REF!</definedName>
    <definedName name="PAGE9" localSheetId="11">#REF!</definedName>
    <definedName name="PAGE9" localSheetId="0">#REF!</definedName>
    <definedName name="PAGE9" localSheetId="9">#REF!</definedName>
    <definedName name="PAGE9">#REF!</definedName>
    <definedName name="PageOne" localSheetId="10">#REF!</definedName>
    <definedName name="PageOne" localSheetId="11">#REF!</definedName>
    <definedName name="PageOne">#REF!</definedName>
    <definedName name="PR" localSheetId="10">#REF!</definedName>
    <definedName name="PR" localSheetId="11">#REF!</definedName>
    <definedName name="PR">#REF!</definedName>
    <definedName name="_xlnm.Print_Area" localSheetId="3">'Purchased Power Model'!$A$1:$U$181</definedName>
    <definedName name="_xlnm.Print_Area" localSheetId="4">'Purchased Power Model WN tk'!$A$1:$U$181</definedName>
    <definedName name="_xlnm.Print_Area" localSheetId="7">'Rate Class Customer Model'!$A$1:$H$39</definedName>
    <definedName name="_xlnm.Print_Area" localSheetId="5">'Rate Class Energy Model'!$A$1:$M$70</definedName>
    <definedName name="_xlnm.Print_Area" localSheetId="8">'Rate Class Load Model'!$A$1:$E$29</definedName>
    <definedName name="Print_Area_MI" localSheetId="10">#REF!</definedName>
    <definedName name="Print_Area_MI" localSheetId="11">#REF!</definedName>
    <definedName name="Print_Area_MI" localSheetId="0">#REF!</definedName>
    <definedName name="Print_Area_MI">#REF!</definedName>
    <definedName name="print_end" localSheetId="10">#REF!</definedName>
    <definedName name="print_end" localSheetId="11">#REF!</definedName>
    <definedName name="print_end" localSheetId="0">#REF!</definedName>
    <definedName name="print_end">#REF!</definedName>
    <definedName name="_xlnm.Print_Titles" localSheetId="3">'Purchased Power Model'!$A:$U,'Purchased Power Model'!$1:$2</definedName>
    <definedName name="_xlnm.Print_Titles" localSheetId="4">'Purchased Power Model WN tk'!$A:$U,'Purchased Power Model WN tk'!$1:$2</definedName>
    <definedName name="PRIOR" localSheetId="10">#REF!</definedName>
    <definedName name="PRIOR" localSheetId="11">#REF!</definedName>
    <definedName name="PRIOR" localSheetId="0">#REF!</definedName>
    <definedName name="PRIOR">#REF!</definedName>
    <definedName name="Ratebase">'[13]Distribution Revenue by Source'!$C$25</definedName>
    <definedName name="RevReqLookupKey" localSheetId="10">[10]Refs!$B$5</definedName>
    <definedName name="RevReqLookupKey" localSheetId="11">[10]Refs!$B$5</definedName>
    <definedName name="RevReqLookupKey" localSheetId="0">[11]Refs!$B$5</definedName>
    <definedName name="RevReqLookupKey">[12]Refs!$B$5</definedName>
    <definedName name="RevReqRange" localSheetId="10">[10]Refs!$B$7</definedName>
    <definedName name="RevReqRange" localSheetId="11">[10]Refs!$B$7</definedName>
    <definedName name="RevReqRange" localSheetId="0">[11]Refs!$B$7</definedName>
    <definedName name="RevReqRange">[12]Refs!$B$7</definedName>
    <definedName name="RVCASHPR" localSheetId="10">#REF!</definedName>
    <definedName name="RVCASHPR" localSheetId="11">#REF!</definedName>
    <definedName name="RVCASHPR" localSheetId="0">#REF!</definedName>
    <definedName name="RVCASHPR">#REF!</definedName>
    <definedName name="SALBENF" localSheetId="10">#REF!</definedName>
    <definedName name="SALBENF" localSheetId="11">#REF!</definedName>
    <definedName name="SALBENF" localSheetId="0">#REF!</definedName>
    <definedName name="SALBENF">#REF!</definedName>
    <definedName name="salreg" localSheetId="10">#REF!</definedName>
    <definedName name="salreg" localSheetId="11">#REF!</definedName>
    <definedName name="salreg" localSheetId="0">#REF!</definedName>
    <definedName name="salreg">#REF!</definedName>
    <definedName name="SALREGF" localSheetId="10">#REF!</definedName>
    <definedName name="SALREGF" localSheetId="11">#REF!</definedName>
    <definedName name="SALREGF">#REF!</definedName>
    <definedName name="solver_eng" localSheetId="3" hidden="1">1</definedName>
    <definedName name="solver_neg" localSheetId="3" hidden="1">1</definedName>
    <definedName name="solver_num" localSheetId="3" hidden="1">0</definedName>
    <definedName name="solver_opt" localSheetId="3" hidden="1">'Purchased Power Model'!$P$19</definedName>
    <definedName name="solver_typ" localSheetId="3" hidden="1">1</definedName>
    <definedName name="solver_val" localSheetId="3" hidden="1">0</definedName>
    <definedName name="solver_ver" localSheetId="3" hidden="1">3</definedName>
    <definedName name="SOURCEAPP" localSheetId="10">#REF!</definedName>
    <definedName name="SOURCEAPP" localSheetId="11">#REF!</definedName>
    <definedName name="SOURCEAPP">#REF!</definedName>
    <definedName name="STATS1" localSheetId="10">#REF!</definedName>
    <definedName name="STATS1" localSheetId="11">#REF!</definedName>
    <definedName name="STATS1">#REF!</definedName>
    <definedName name="STATS2" localSheetId="10">#REF!</definedName>
    <definedName name="STATS2" localSheetId="11">#REF!</definedName>
    <definedName name="STATS2">#REF!</definedName>
    <definedName name="Surtax" localSheetId="10">#REF!</definedName>
    <definedName name="Surtax" localSheetId="11">#REF!</definedName>
    <definedName name="Surtax">#REF!</definedName>
    <definedName name="TEMPA" localSheetId="10">#REF!</definedName>
    <definedName name="TEMPA" localSheetId="11">#REF!</definedName>
    <definedName name="TEMPA">#REF!</definedName>
    <definedName name="TestYr" localSheetId="10">'[8]A1.Admin'!$C$13</definedName>
    <definedName name="TestYr" localSheetId="11">'[8]A1.Admin'!$C$13</definedName>
    <definedName name="TestYr" localSheetId="0">'[8]A1.Admin'!$C$13</definedName>
    <definedName name="TestYr">'[9]A1.Admin'!$C$13</definedName>
    <definedName name="TestYrPL" localSheetId="10">'[15]Revenue Requirement'!$B$10</definedName>
    <definedName name="TestYrPL" localSheetId="11">'[15]Revenue Requirement'!$B$10</definedName>
    <definedName name="TestYrPL" localSheetId="0">'[15]Revenue Requirement'!$B$10</definedName>
    <definedName name="TestYrPL">'[16]Revenue Requirement'!$B$10</definedName>
    <definedName name="total_dept" localSheetId="10">#REF!</definedName>
    <definedName name="total_dept" localSheetId="11">#REF!</definedName>
    <definedName name="total_dept" localSheetId="0">#REF!</definedName>
    <definedName name="total_dept">#REF!</definedName>
    <definedName name="total_manpower" localSheetId="10">#REF!</definedName>
    <definedName name="total_manpower" localSheetId="11">#REF!</definedName>
    <definedName name="total_manpower" localSheetId="0">#REF!</definedName>
    <definedName name="total_manpower">#REF!</definedName>
    <definedName name="total_material" localSheetId="10">#REF!</definedName>
    <definedName name="total_material" localSheetId="11">#REF!</definedName>
    <definedName name="total_material" localSheetId="0">#REF!</definedName>
    <definedName name="total_material">#REF!</definedName>
    <definedName name="total_other" localSheetId="10">#REF!</definedName>
    <definedName name="total_other" localSheetId="11">#REF!</definedName>
    <definedName name="total_other">#REF!</definedName>
    <definedName name="total_transportation" localSheetId="10">#REF!</definedName>
    <definedName name="total_transportation" localSheetId="11">#REF!</definedName>
    <definedName name="total_transportation">#REF!</definedName>
    <definedName name="TOTCAPADDITIONS" localSheetId="10">#REF!</definedName>
    <definedName name="TOTCAPADDITIONS" localSheetId="11">#REF!</definedName>
    <definedName name="TOTCAPADDITIONS">#REF!</definedName>
    <definedName name="TRANBUD" localSheetId="10">#REF!</definedName>
    <definedName name="TRANBUD" localSheetId="11">#REF!</definedName>
    <definedName name="TRANBUD">#REF!</definedName>
    <definedName name="TRANEND" localSheetId="10">#REF!</definedName>
    <definedName name="TRANEND" localSheetId="11">#REF!</definedName>
    <definedName name="TRANEND">#REF!</definedName>
    <definedName name="TRANSCAP" localSheetId="10">#REF!</definedName>
    <definedName name="TRANSCAP" localSheetId="11">#REF!</definedName>
    <definedName name="TRANSCAP">#REF!</definedName>
    <definedName name="TRANSFER" localSheetId="10">#REF!</definedName>
    <definedName name="TRANSFER" localSheetId="11">#REF!</definedName>
    <definedName name="TRANSFER">#REF!</definedName>
    <definedName name="transportation_costs" localSheetId="10">#REF!</definedName>
    <definedName name="transportation_costs" localSheetId="11">#REF!</definedName>
    <definedName name="transportation_costs">#REF!</definedName>
    <definedName name="TRANSTART" localSheetId="10">#REF!</definedName>
    <definedName name="TRANSTART" localSheetId="11">#REF!</definedName>
    <definedName name="TRANSTART">#REF!</definedName>
    <definedName name="trn_beg_bud" localSheetId="10">#REF!</definedName>
    <definedName name="trn_beg_bud" localSheetId="11">#REF!</definedName>
    <definedName name="trn_beg_bud">#REF!</definedName>
    <definedName name="trn_end_bud" localSheetId="10">#REF!</definedName>
    <definedName name="trn_end_bud" localSheetId="11">#REF!</definedName>
    <definedName name="trn_end_bud">#REF!</definedName>
    <definedName name="trn12ACT" localSheetId="10">#REF!</definedName>
    <definedName name="trn12ACT" localSheetId="11">#REF!</definedName>
    <definedName name="trn12ACT">#REF!</definedName>
    <definedName name="trnCYACT" localSheetId="10">#REF!</definedName>
    <definedName name="trnCYACT" localSheetId="11">#REF!</definedName>
    <definedName name="trnCYACT">#REF!</definedName>
    <definedName name="trnCYBUD" localSheetId="10">#REF!</definedName>
    <definedName name="trnCYBUD" localSheetId="11">#REF!</definedName>
    <definedName name="trnCYBUD">#REF!</definedName>
    <definedName name="trnCYF" localSheetId="10">#REF!</definedName>
    <definedName name="trnCYF" localSheetId="11">#REF!</definedName>
    <definedName name="trnCYF">#REF!</definedName>
    <definedName name="trnNYbud" localSheetId="10">#REF!</definedName>
    <definedName name="trnNYbud" localSheetId="11">#REF!</definedName>
    <definedName name="trnNYbud">#REF!</definedName>
    <definedName name="trnPYACT" localSheetId="10">#REF!</definedName>
    <definedName name="trnPYACT" localSheetId="11">#REF!</definedName>
    <definedName name="trnPYACT">#REF!</definedName>
    <definedName name="Utility">[14]Financials!$A$1</definedName>
    <definedName name="utitliy1">[17]Financials!$A$1</definedName>
    <definedName name="WAGBENF" localSheetId="10">#REF!</definedName>
    <definedName name="WAGBENF" localSheetId="11">#REF!</definedName>
    <definedName name="WAGBENF" localSheetId="0">#REF!</definedName>
    <definedName name="WAGBENF">#REF!</definedName>
    <definedName name="wagdob" localSheetId="10">#REF!</definedName>
    <definedName name="wagdob" localSheetId="11">#REF!</definedName>
    <definedName name="wagdob" localSheetId="0">#REF!</definedName>
    <definedName name="wagdob">#REF!</definedName>
    <definedName name="wagdobf" localSheetId="10">#REF!</definedName>
    <definedName name="wagdobf" localSheetId="11">#REF!</definedName>
    <definedName name="wagdobf" localSheetId="0">#REF!</definedName>
    <definedName name="wagdobf">#REF!</definedName>
    <definedName name="wagreg" localSheetId="10">#REF!</definedName>
    <definedName name="wagreg" localSheetId="11">#REF!</definedName>
    <definedName name="wagreg">#REF!</definedName>
    <definedName name="wagregf" localSheetId="10">#REF!</definedName>
    <definedName name="wagregf" localSheetId="11">#REF!</definedName>
    <definedName name="wagreg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6" i="11" l="1"/>
  <c r="AH12" i="11" l="1"/>
  <c r="O8" i="11" l="1"/>
  <c r="Q52" i="11"/>
  <c r="S7" i="11"/>
  <c r="R7" i="11"/>
  <c r="Q7" i="11"/>
  <c r="D434" i="60" l="1"/>
  <c r="D433" i="60"/>
  <c r="C434" i="60"/>
  <c r="C433" i="60"/>
  <c r="B433" i="60"/>
  <c r="D74" i="61" l="1"/>
  <c r="D73" i="61"/>
  <c r="Q124" i="7" l="1"/>
  <c r="Q125" i="7"/>
  <c r="Q126" i="7"/>
  <c r="Q127" i="7"/>
  <c r="Q128" i="7"/>
  <c r="Q129" i="7"/>
  <c r="Q130" i="7"/>
  <c r="Q131" i="7"/>
  <c r="Q132" i="7"/>
  <c r="Q133" i="7"/>
  <c r="Q123" i="7"/>
  <c r="Q134" i="7"/>
  <c r="N606" i="60" l="1"/>
  <c r="C586" i="60"/>
  <c r="D586" i="60"/>
  <c r="E586" i="60"/>
  <c r="F586" i="60"/>
  <c r="G586" i="60"/>
  <c r="H586" i="60"/>
  <c r="C587" i="60"/>
  <c r="D587" i="60"/>
  <c r="E587" i="60"/>
  <c r="F587" i="60"/>
  <c r="G587" i="60"/>
  <c r="C588" i="60"/>
  <c r="D588" i="60"/>
  <c r="E588" i="60"/>
  <c r="F588" i="60"/>
  <c r="G588" i="60"/>
  <c r="B587" i="60"/>
  <c r="B588" i="60"/>
  <c r="B586" i="60"/>
  <c r="C582" i="60"/>
  <c r="D582" i="60"/>
  <c r="E582" i="60"/>
  <c r="F582" i="60"/>
  <c r="G582" i="60"/>
  <c r="H582" i="60"/>
  <c r="C583" i="60"/>
  <c r="D583" i="60"/>
  <c r="E583" i="60"/>
  <c r="F583" i="60"/>
  <c r="G583" i="60"/>
  <c r="H583" i="60"/>
  <c r="B583" i="60"/>
  <c r="B582" i="60"/>
  <c r="C577" i="60"/>
  <c r="D577" i="60"/>
  <c r="E577" i="60"/>
  <c r="F577" i="60"/>
  <c r="G577" i="60"/>
  <c r="H577" i="60"/>
  <c r="C578" i="60"/>
  <c r="D578" i="60"/>
  <c r="E578" i="60"/>
  <c r="F578" i="60"/>
  <c r="G578" i="60"/>
  <c r="H578" i="60"/>
  <c r="C579" i="60"/>
  <c r="D579" i="60"/>
  <c r="E579" i="60"/>
  <c r="F579" i="60"/>
  <c r="G579" i="60"/>
  <c r="H579" i="60"/>
  <c r="B578" i="60"/>
  <c r="B579" i="60"/>
  <c r="B577" i="60"/>
  <c r="C572" i="60"/>
  <c r="D572" i="60"/>
  <c r="E572" i="60"/>
  <c r="F572" i="60"/>
  <c r="G572" i="60"/>
  <c r="H572" i="60"/>
  <c r="C573" i="60"/>
  <c r="D573" i="60"/>
  <c r="E573" i="60"/>
  <c r="F573" i="60"/>
  <c r="G573" i="60"/>
  <c r="H573" i="60"/>
  <c r="C574" i="60"/>
  <c r="D574" i="60"/>
  <c r="E574" i="60"/>
  <c r="F574" i="60"/>
  <c r="G574" i="60"/>
  <c r="H574" i="60"/>
  <c r="B573" i="60"/>
  <c r="B574" i="60"/>
  <c r="B572" i="60"/>
  <c r="C567" i="60"/>
  <c r="D567" i="60"/>
  <c r="G567" i="60"/>
  <c r="H567" i="60"/>
  <c r="C568" i="60"/>
  <c r="D568" i="60"/>
  <c r="G568" i="60"/>
  <c r="C569" i="60"/>
  <c r="D569" i="60"/>
  <c r="E569" i="60"/>
  <c r="F569" i="60"/>
  <c r="G569" i="60"/>
  <c r="B568" i="60"/>
  <c r="B569" i="60"/>
  <c r="B567" i="60"/>
  <c r="C563" i="60"/>
  <c r="D563" i="60"/>
  <c r="G563" i="60"/>
  <c r="H563" i="60"/>
  <c r="C564" i="60"/>
  <c r="D564" i="60"/>
  <c r="G564" i="60"/>
  <c r="B564" i="60"/>
  <c r="B563" i="60"/>
  <c r="F559" i="60"/>
  <c r="G559" i="60"/>
  <c r="H559" i="60"/>
  <c r="F560" i="60"/>
  <c r="G560" i="60"/>
  <c r="E559" i="60"/>
  <c r="E560" i="60"/>
  <c r="D559" i="60"/>
  <c r="D560" i="60"/>
  <c r="C559" i="60"/>
  <c r="C560" i="60"/>
  <c r="B560" i="60"/>
  <c r="B559" i="60"/>
  <c r="B549" i="60"/>
  <c r="C311" i="60" l="1"/>
  <c r="D311" i="60"/>
  <c r="E311" i="60"/>
  <c r="F311" i="60"/>
  <c r="G311" i="60"/>
  <c r="C312" i="60"/>
  <c r="D312" i="60"/>
  <c r="E312" i="60"/>
  <c r="F312" i="60"/>
  <c r="G312" i="60"/>
  <c r="B312" i="60"/>
  <c r="B311" i="60"/>
  <c r="G8" i="60" l="1"/>
  <c r="H4" i="60"/>
  <c r="G4" i="60"/>
  <c r="G7" i="60"/>
  <c r="G9" i="60"/>
  <c r="X36" i="58" l="1"/>
  <c r="K35" i="58" l="1"/>
  <c r="K37" i="58"/>
  <c r="K40" i="58"/>
  <c r="K41" i="58"/>
  <c r="Q122" i="7" l="1"/>
  <c r="Q121" i="7"/>
  <c r="Q120" i="7"/>
  <c r="Q119" i="7"/>
  <c r="Q118" i="7"/>
  <c r="Q117" i="7"/>
  <c r="Q116" i="7"/>
  <c r="Q115" i="7"/>
  <c r="Q114" i="7"/>
  <c r="Q113" i="7"/>
  <c r="Q112" i="7"/>
  <c r="Q111" i="7"/>
  <c r="Q110" i="7"/>
  <c r="Q109" i="7"/>
  <c r="Q108" i="7"/>
  <c r="Q107" i="7"/>
  <c r="Q106" i="7"/>
  <c r="Q105" i="7"/>
  <c r="Q104" i="7"/>
  <c r="Q103" i="7"/>
  <c r="Q102" i="7"/>
  <c r="Q101" i="7"/>
  <c r="Q100" i="7"/>
  <c r="Q99"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C62" i="61" l="1"/>
  <c r="C58" i="61"/>
  <c r="B62" i="61"/>
  <c r="B58" i="61"/>
  <c r="E54" i="61"/>
  <c r="E53" i="61"/>
  <c r="C47" i="61"/>
  <c r="B47" i="61"/>
  <c r="C43" i="61"/>
  <c r="B43" i="61"/>
  <c r="K7" i="61"/>
  <c r="K27" i="61" s="1"/>
  <c r="K8" i="61"/>
  <c r="K28" i="61" s="1"/>
  <c r="K9" i="61"/>
  <c r="K29" i="61" s="1"/>
  <c r="K10" i="61"/>
  <c r="K30" i="61" s="1"/>
  <c r="K11" i="61"/>
  <c r="K12" i="61"/>
  <c r="K32" i="61" s="1"/>
  <c r="K13" i="61"/>
  <c r="K33" i="61" s="1"/>
  <c r="K14" i="61"/>
  <c r="K34" i="61" s="1"/>
  <c r="K15" i="61"/>
  <c r="K35" i="61" s="1"/>
  <c r="K16" i="61"/>
  <c r="K36" i="61" s="1"/>
  <c r="K17" i="61"/>
  <c r="K37" i="61" s="1"/>
  <c r="K18" i="61"/>
  <c r="K38" i="61" s="1"/>
  <c r="K6" i="61"/>
  <c r="K26" i="61" s="1"/>
  <c r="L24" i="61"/>
  <c r="K31" i="61"/>
  <c r="L22" i="61"/>
  <c r="M22" i="61"/>
  <c r="N22" i="61"/>
  <c r="O22" i="61"/>
  <c r="P22" i="61"/>
  <c r="Q22" i="61"/>
  <c r="R22" i="61"/>
  <c r="S22" i="61"/>
  <c r="T22" i="61"/>
  <c r="U22" i="61"/>
  <c r="V22" i="61"/>
  <c r="W22" i="61"/>
  <c r="C54" i="61"/>
  <c r="C53" i="61"/>
  <c r="F30" i="61"/>
  <c r="F29" i="61"/>
  <c r="F28" i="61"/>
  <c r="F27" i="61"/>
  <c r="F26" i="61"/>
  <c r="F25" i="61"/>
  <c r="F24" i="61"/>
  <c r="F23" i="61"/>
  <c r="F22" i="61"/>
  <c r="F21" i="61"/>
  <c r="C30" i="61"/>
  <c r="C29" i="61"/>
  <c r="C28" i="61"/>
  <c r="C27" i="61"/>
  <c r="C26" i="61"/>
  <c r="C25" i="61"/>
  <c r="C24" i="61"/>
  <c r="C23" i="61"/>
  <c r="C22" i="61"/>
  <c r="C21" i="61"/>
  <c r="F13" i="61"/>
  <c r="F12" i="61"/>
  <c r="F11" i="61"/>
  <c r="F10" i="61"/>
  <c r="F9" i="61"/>
  <c r="F8" i="61"/>
  <c r="F7" i="61"/>
  <c r="F6" i="61"/>
  <c r="F5" i="61"/>
  <c r="F4" i="61"/>
  <c r="C5" i="61"/>
  <c r="C6" i="61"/>
  <c r="C7" i="61"/>
  <c r="C8" i="61"/>
  <c r="C9" i="61"/>
  <c r="C10" i="61"/>
  <c r="C11" i="61"/>
  <c r="C12" i="61"/>
  <c r="C13" i="61"/>
  <c r="C4" i="61"/>
  <c r="Y121" i="56"/>
  <c r="Y116" i="56"/>
  <c r="Y117" i="56"/>
  <c r="X106" i="56"/>
  <c r="X122" i="56" s="1"/>
  <c r="Y105" i="56"/>
  <c r="X105" i="56"/>
  <c r="X121" i="56" s="1"/>
  <c r="X104" i="56"/>
  <c r="X120" i="56" s="1"/>
  <c r="X103" i="56"/>
  <c r="X119" i="56" s="1"/>
  <c r="X102" i="56"/>
  <c r="X118" i="56" s="1"/>
  <c r="Y101" i="56"/>
  <c r="X101" i="56"/>
  <c r="X117" i="56" s="1"/>
  <c r="Y100" i="56"/>
  <c r="X100" i="56"/>
  <c r="X116" i="56" s="1"/>
  <c r="X99" i="56"/>
  <c r="X115" i="56" s="1"/>
  <c r="X98" i="56"/>
  <c r="X114" i="56" s="1"/>
  <c r="X93" i="56"/>
  <c r="Y92" i="56"/>
  <c r="X92" i="56"/>
  <c r="X91" i="56"/>
  <c r="X90" i="56"/>
  <c r="X89" i="56"/>
  <c r="Y88" i="56"/>
  <c r="X88" i="56"/>
  <c r="Y87" i="56"/>
  <c r="X87" i="56"/>
  <c r="X86" i="56"/>
  <c r="X85" i="56"/>
  <c r="X80" i="56"/>
  <c r="Y79" i="56"/>
  <c r="X79" i="56"/>
  <c r="X78" i="56"/>
  <c r="X77" i="56"/>
  <c r="X76" i="56"/>
  <c r="Y75" i="56"/>
  <c r="X75" i="56"/>
  <c r="Y74" i="56"/>
  <c r="X74" i="56"/>
  <c r="X73" i="56"/>
  <c r="X72" i="56"/>
  <c r="X67" i="56"/>
  <c r="Y66" i="56"/>
  <c r="X66" i="56"/>
  <c r="X65" i="56"/>
  <c r="X64" i="56"/>
  <c r="X63" i="56"/>
  <c r="Y62" i="56"/>
  <c r="X62" i="56"/>
  <c r="Y61" i="56"/>
  <c r="X61" i="56"/>
  <c r="X60" i="56"/>
  <c r="X59" i="56"/>
  <c r="X54" i="56"/>
  <c r="Y53" i="56"/>
  <c r="X53" i="56"/>
  <c r="X52" i="56"/>
  <c r="X51" i="56"/>
  <c r="X50" i="56"/>
  <c r="Y49" i="56"/>
  <c r="X49" i="56"/>
  <c r="Y48" i="56"/>
  <c r="X48" i="56"/>
  <c r="X47" i="56"/>
  <c r="X46" i="56"/>
  <c r="Y40" i="56"/>
  <c r="X40" i="56"/>
  <c r="Y39" i="56"/>
  <c r="X39" i="56"/>
  <c r="X38" i="56"/>
  <c r="X37" i="56"/>
  <c r="Y36" i="56"/>
  <c r="X36" i="56"/>
  <c r="Y35" i="56"/>
  <c r="X35" i="56"/>
  <c r="X34" i="56"/>
  <c r="X33" i="56"/>
  <c r="X32" i="56"/>
  <c r="Y27" i="56"/>
  <c r="X27" i="56"/>
  <c r="X26" i="56"/>
  <c r="X25" i="56"/>
  <c r="X24" i="56"/>
  <c r="Y23" i="56"/>
  <c r="X23" i="56"/>
  <c r="Y22" i="56"/>
  <c r="X22" i="56"/>
  <c r="X21" i="56"/>
  <c r="X20" i="56"/>
  <c r="X19" i="56"/>
  <c r="C14" i="61" l="1"/>
  <c r="B15" i="61" s="1"/>
  <c r="F31" i="61"/>
  <c r="E32" i="61" s="1"/>
  <c r="D27" i="61"/>
  <c r="C31" i="61"/>
  <c r="B32" i="61" s="1"/>
  <c r="G26" i="61"/>
  <c r="F14" i="61"/>
  <c r="E15" i="61" s="1"/>
  <c r="D26" i="61"/>
  <c r="G27" i="61"/>
  <c r="D25" i="61"/>
  <c r="G25" i="61"/>
  <c r="D28" i="61"/>
  <c r="D9" i="61"/>
  <c r="G9" i="61"/>
  <c r="G10" i="61"/>
  <c r="G28" i="61"/>
  <c r="G11" i="61"/>
  <c r="D11" i="61"/>
  <c r="D8" i="61"/>
  <c r="D10" i="61"/>
  <c r="G8" i="61"/>
  <c r="I5" i="11"/>
  <c r="I8" i="11"/>
  <c r="X115" i="58"/>
  <c r="X116" i="58"/>
  <c r="X117" i="58"/>
  <c r="X118" i="58"/>
  <c r="X119" i="58"/>
  <c r="X120" i="58"/>
  <c r="X121" i="58"/>
  <c r="X122" i="58"/>
  <c r="X114" i="58"/>
  <c r="Y106" i="58"/>
  <c r="X106" i="58"/>
  <c r="X105" i="58"/>
  <c r="X104" i="58"/>
  <c r="X103" i="58"/>
  <c r="Y102" i="58"/>
  <c r="X102" i="58"/>
  <c r="Y101" i="58"/>
  <c r="X101" i="58"/>
  <c r="X100" i="58"/>
  <c r="X99" i="58"/>
  <c r="X98" i="58"/>
  <c r="Y93" i="58"/>
  <c r="X93" i="58"/>
  <c r="X92" i="58"/>
  <c r="X91" i="58"/>
  <c r="X90" i="58"/>
  <c r="Y89" i="58"/>
  <c r="X89" i="58"/>
  <c r="Y88" i="58"/>
  <c r="X88" i="58"/>
  <c r="X87" i="58"/>
  <c r="X86" i="58"/>
  <c r="X85" i="58"/>
  <c r="Y80" i="58"/>
  <c r="X80" i="58"/>
  <c r="X79" i="58"/>
  <c r="X78" i="58"/>
  <c r="X77" i="58"/>
  <c r="Y76" i="58"/>
  <c r="X76" i="58"/>
  <c r="Y75" i="58"/>
  <c r="X75" i="58"/>
  <c r="X74" i="58"/>
  <c r="X73" i="58"/>
  <c r="X72" i="58"/>
  <c r="Y67" i="58"/>
  <c r="X67" i="58"/>
  <c r="X66" i="58"/>
  <c r="X65" i="58"/>
  <c r="X64" i="58"/>
  <c r="Y63" i="58"/>
  <c r="X63" i="58"/>
  <c r="X62" i="58"/>
  <c r="X61" i="58"/>
  <c r="X60" i="58"/>
  <c r="X59" i="58"/>
  <c r="Y54" i="58"/>
  <c r="X54" i="58"/>
  <c r="X53" i="58"/>
  <c r="X52" i="58"/>
  <c r="X51" i="58"/>
  <c r="Y50" i="58"/>
  <c r="X50" i="58"/>
  <c r="X49" i="58"/>
  <c r="X48" i="58"/>
  <c r="X47" i="58"/>
  <c r="X46" i="58"/>
  <c r="X40" i="58"/>
  <c r="X39" i="58"/>
  <c r="X38" i="58"/>
  <c r="X37" i="58"/>
  <c r="Y36" i="58"/>
  <c r="X35" i="58"/>
  <c r="X34" i="58"/>
  <c r="X33" i="58"/>
  <c r="X32" i="58"/>
  <c r="X20" i="58"/>
  <c r="X21" i="58"/>
  <c r="X22" i="58"/>
  <c r="X23" i="58"/>
  <c r="X24" i="58"/>
  <c r="X25" i="58"/>
  <c r="X26" i="58"/>
  <c r="X27" i="58"/>
  <c r="X19" i="58"/>
  <c r="X13" i="11"/>
  <c r="B33" i="61" l="1"/>
  <c r="B63" i="61" s="1"/>
  <c r="B64" i="61" s="1"/>
  <c r="B59" i="61"/>
  <c r="B60" i="61" s="1"/>
  <c r="E33" i="61"/>
  <c r="C63" i="61" s="1"/>
  <c r="C59" i="61"/>
  <c r="B16" i="61"/>
  <c r="B44" i="61"/>
  <c r="E16" i="61"/>
  <c r="C44" i="61"/>
  <c r="N36" i="58"/>
  <c r="O36" i="58" s="1"/>
  <c r="C45" i="61" l="1"/>
  <c r="D44" i="61"/>
  <c r="C64" i="61"/>
  <c r="D63" i="61"/>
  <c r="B69" i="61" s="1"/>
  <c r="D69" i="61" s="1"/>
  <c r="C60" i="61"/>
  <c r="D59" i="61"/>
  <c r="B68" i="61" s="1"/>
  <c r="D68" i="61" s="1"/>
  <c r="C48" i="61"/>
  <c r="D48" i="61" s="1"/>
  <c r="B53" i="61"/>
  <c r="D53" i="61" s="1"/>
  <c r="F53" i="61" s="1"/>
  <c r="B45" i="61"/>
  <c r="B48" i="61"/>
  <c r="B49" i="61" s="1"/>
  <c r="C49" i="61" l="1"/>
  <c r="B54" i="61"/>
  <c r="D54" i="61" s="1"/>
  <c r="F54" i="61" s="1"/>
  <c r="Y23" i="11"/>
  <c r="Y24" i="11"/>
  <c r="Y22" i="11"/>
  <c r="Y38" i="11"/>
  <c r="Y39" i="11"/>
  <c r="Y37" i="11"/>
  <c r="X39" i="11"/>
  <c r="X38" i="11"/>
  <c r="X37" i="11"/>
  <c r="Y33" i="11"/>
  <c r="Y34" i="11"/>
  <c r="Y32" i="11"/>
  <c r="X33" i="11"/>
  <c r="X34" i="11"/>
  <c r="X32" i="11"/>
  <c r="Y28" i="11"/>
  <c r="Y29" i="11"/>
  <c r="Y27" i="11"/>
  <c r="X27" i="11"/>
  <c r="X28" i="11"/>
  <c r="X29" i="11"/>
  <c r="X23" i="11"/>
  <c r="X24" i="11"/>
  <c r="X22" i="11"/>
  <c r="Y18" i="11"/>
  <c r="Y19" i="11"/>
  <c r="Y17" i="11"/>
  <c r="X18" i="11"/>
  <c r="X19" i="11"/>
  <c r="X17" i="11"/>
  <c r="X14" i="11"/>
  <c r="X12" i="11"/>
  <c r="I43" i="11"/>
  <c r="I42" i="11"/>
  <c r="I41" i="11"/>
  <c r="F98" i="58" l="1"/>
  <c r="AB24" i="11" l="1"/>
  <c r="AC24" i="11"/>
  <c r="AD24" i="11"/>
  <c r="AE24" i="11"/>
  <c r="AF24" i="11"/>
  <c r="R2" i="9"/>
  <c r="S2" i="9"/>
  <c r="T2" i="9"/>
  <c r="U2" i="9"/>
  <c r="V2" i="9"/>
  <c r="Q2" i="9"/>
  <c r="N75" i="9" l="1"/>
  <c r="D4" i="60" l="1"/>
  <c r="E4" i="60"/>
  <c r="D5" i="60"/>
  <c r="E5" i="60"/>
  <c r="D6" i="60"/>
  <c r="C451" i="60" s="1"/>
  <c r="D7" i="60"/>
  <c r="C452" i="60" s="1"/>
  <c r="B462" i="60" s="1"/>
  <c r="E7" i="60"/>
  <c r="D8" i="60"/>
  <c r="E8" i="60"/>
  <c r="D9" i="60"/>
  <c r="E9" i="60"/>
  <c r="B10" i="60"/>
  <c r="C10" i="60"/>
  <c r="C18" i="60" s="1"/>
  <c r="F10" i="60"/>
  <c r="F18" i="60" s="1"/>
  <c r="I10" i="60"/>
  <c r="I18" i="60" s="1"/>
  <c r="I20" i="60" s="1"/>
  <c r="I22" i="60"/>
  <c r="C540" i="60" s="1"/>
  <c r="I23" i="60"/>
  <c r="I24" i="60"/>
  <c r="I25" i="60"/>
  <c r="B26" i="60"/>
  <c r="C26" i="60"/>
  <c r="D26" i="60"/>
  <c r="E26" i="60"/>
  <c r="F26" i="60"/>
  <c r="G26" i="60"/>
  <c r="H26" i="60"/>
  <c r="D55" i="60"/>
  <c r="D56" i="60"/>
  <c r="G56" i="60"/>
  <c r="D57" i="60"/>
  <c r="G57" i="60"/>
  <c r="D58" i="60"/>
  <c r="G58" i="60"/>
  <c r="D59" i="60"/>
  <c r="G59" i="60"/>
  <c r="D60" i="60"/>
  <c r="E60" i="60" s="1"/>
  <c r="G60" i="60"/>
  <c r="D61" i="60"/>
  <c r="G61" i="60"/>
  <c r="D62" i="60"/>
  <c r="G62" i="60"/>
  <c r="A80" i="60"/>
  <c r="A100" i="60" s="1"/>
  <c r="A168" i="60" s="1"/>
  <c r="H80" i="60"/>
  <c r="A81" i="60"/>
  <c r="A101" i="60" s="1"/>
  <c r="A169" i="60" s="1"/>
  <c r="H81" i="60"/>
  <c r="A82" i="60"/>
  <c r="H82" i="60"/>
  <c r="A83" i="60"/>
  <c r="A127" i="60" s="1"/>
  <c r="H83" i="60"/>
  <c r="A84" i="60"/>
  <c r="A128" i="60" s="1"/>
  <c r="H84" i="60"/>
  <c r="A85" i="60"/>
  <c r="A105" i="60" s="1"/>
  <c r="A173" i="60" s="1"/>
  <c r="H85" i="60"/>
  <c r="A86" i="60"/>
  <c r="H86" i="60"/>
  <c r="A87" i="60"/>
  <c r="A131" i="60" s="1"/>
  <c r="H87" i="60"/>
  <c r="A88" i="60"/>
  <c r="A108" i="60" s="1"/>
  <c r="A176" i="60" s="1"/>
  <c r="B88" i="60"/>
  <c r="C88" i="60"/>
  <c r="C108" i="60" s="1"/>
  <c r="D88" i="60"/>
  <c r="D108" i="60" s="1"/>
  <c r="E88" i="60"/>
  <c r="F88" i="60"/>
  <c r="F108" i="60" s="1"/>
  <c r="G88" i="60"/>
  <c r="G108" i="60" s="1"/>
  <c r="A89" i="60"/>
  <c r="A109" i="60" s="1"/>
  <c r="A177" i="60" s="1"/>
  <c r="B89" i="60"/>
  <c r="B109" i="60" s="1"/>
  <c r="C89" i="60"/>
  <c r="D89" i="60"/>
  <c r="E89" i="60"/>
  <c r="F89" i="60"/>
  <c r="F109" i="60" s="1"/>
  <c r="G89" i="60"/>
  <c r="G109" i="60" s="1"/>
  <c r="A90" i="60"/>
  <c r="A110" i="60" s="1"/>
  <c r="A178" i="60" s="1"/>
  <c r="B90" i="60"/>
  <c r="C90" i="60"/>
  <c r="D90" i="60"/>
  <c r="E90" i="60"/>
  <c r="F90" i="60"/>
  <c r="F110" i="60" s="1"/>
  <c r="G90" i="60"/>
  <c r="G110" i="60" s="1"/>
  <c r="A91" i="60"/>
  <c r="A111" i="60" s="1"/>
  <c r="B91" i="60"/>
  <c r="B111" i="60" s="1"/>
  <c r="C91" i="60"/>
  <c r="D91" i="60"/>
  <c r="E91" i="60"/>
  <c r="F91" i="60"/>
  <c r="F111" i="60" s="1"/>
  <c r="G91" i="60"/>
  <c r="A92" i="60"/>
  <c r="A137" i="60" s="1"/>
  <c r="B92" i="60"/>
  <c r="B112" i="60" s="1"/>
  <c r="C92" i="60"/>
  <c r="C112" i="60" s="1"/>
  <c r="D92" i="60"/>
  <c r="D112" i="60" s="1"/>
  <c r="E92" i="60"/>
  <c r="F92" i="60"/>
  <c r="F112" i="60" s="1"/>
  <c r="G92" i="60"/>
  <c r="G112" i="60" s="1"/>
  <c r="A93" i="60"/>
  <c r="A113" i="60" s="1"/>
  <c r="A181" i="60" s="1"/>
  <c r="B93" i="60"/>
  <c r="B113" i="60" s="1"/>
  <c r="C93" i="60"/>
  <c r="C113" i="60" s="1"/>
  <c r="D93" i="60"/>
  <c r="D113" i="60" s="1"/>
  <c r="E93" i="60"/>
  <c r="F93" i="60"/>
  <c r="F113" i="60" s="1"/>
  <c r="G93" i="60"/>
  <c r="G113" i="60" s="1"/>
  <c r="B94" i="60"/>
  <c r="C94" i="60"/>
  <c r="C114" i="60" s="1"/>
  <c r="D94" i="60"/>
  <c r="D114" i="60" s="1"/>
  <c r="E94" i="60"/>
  <c r="E114" i="60" s="1"/>
  <c r="F94" i="60"/>
  <c r="G94" i="60"/>
  <c r="G114" i="60" s="1"/>
  <c r="B95" i="60"/>
  <c r="C95" i="60"/>
  <c r="D95" i="60"/>
  <c r="D115" i="60" s="1"/>
  <c r="E95" i="60"/>
  <c r="E115" i="60" s="1"/>
  <c r="F95" i="60"/>
  <c r="F115" i="60" s="1"/>
  <c r="G95" i="60"/>
  <c r="B96" i="60"/>
  <c r="C96" i="60"/>
  <c r="D96" i="60"/>
  <c r="E96" i="60"/>
  <c r="F96" i="60"/>
  <c r="G96" i="60"/>
  <c r="B97" i="60"/>
  <c r="B117" i="60" s="1"/>
  <c r="C97" i="60"/>
  <c r="D97" i="60"/>
  <c r="E97" i="60"/>
  <c r="F97" i="60"/>
  <c r="G97" i="60"/>
  <c r="B98" i="60"/>
  <c r="C98" i="60"/>
  <c r="D98" i="60"/>
  <c r="D118" i="60" s="1"/>
  <c r="E98" i="60"/>
  <c r="F98" i="60"/>
  <c r="F118" i="60" s="1"/>
  <c r="G98" i="60"/>
  <c r="B100" i="60"/>
  <c r="C100" i="60"/>
  <c r="C168" i="60" s="1"/>
  <c r="D100" i="60"/>
  <c r="D168" i="60" s="1"/>
  <c r="E100" i="60"/>
  <c r="E168" i="60" s="1"/>
  <c r="F100" i="60"/>
  <c r="F168" i="60" s="1"/>
  <c r="G100" i="60"/>
  <c r="G168" i="60" s="1"/>
  <c r="B101" i="60"/>
  <c r="C101" i="60"/>
  <c r="D101" i="60"/>
  <c r="D169" i="60" s="1"/>
  <c r="E101" i="60"/>
  <c r="E169" i="60" s="1"/>
  <c r="F101" i="60"/>
  <c r="G101" i="60"/>
  <c r="G169" i="60" s="1"/>
  <c r="B102" i="60"/>
  <c r="B170" i="60" s="1"/>
  <c r="C102" i="60"/>
  <c r="C170" i="60" s="1"/>
  <c r="D102" i="60"/>
  <c r="D170" i="60" s="1"/>
  <c r="E102" i="60"/>
  <c r="F102" i="60"/>
  <c r="F170" i="60" s="1"/>
  <c r="G102" i="60"/>
  <c r="G170" i="60" s="1"/>
  <c r="B103" i="60"/>
  <c r="C103" i="60"/>
  <c r="C171" i="60" s="1"/>
  <c r="D103" i="60"/>
  <c r="D171" i="60" s="1"/>
  <c r="E103" i="60"/>
  <c r="E171" i="60" s="1"/>
  <c r="F103" i="60"/>
  <c r="F171" i="60" s="1"/>
  <c r="G103" i="60"/>
  <c r="B104" i="60"/>
  <c r="C104" i="60"/>
  <c r="C172" i="60" s="1"/>
  <c r="D104" i="60"/>
  <c r="D172" i="60" s="1"/>
  <c r="E104" i="60"/>
  <c r="E172" i="60" s="1"/>
  <c r="F104" i="60"/>
  <c r="F172" i="60" s="1"/>
  <c r="G104" i="60"/>
  <c r="G172" i="60" s="1"/>
  <c r="B105" i="60"/>
  <c r="C105" i="60"/>
  <c r="C173" i="60" s="1"/>
  <c r="D105" i="60"/>
  <c r="D173" i="60" s="1"/>
  <c r="E105" i="60"/>
  <c r="E173" i="60" s="1"/>
  <c r="F105" i="60"/>
  <c r="F173" i="60" s="1"/>
  <c r="G105" i="60"/>
  <c r="G173" i="60" s="1"/>
  <c r="B106" i="60"/>
  <c r="C106" i="60"/>
  <c r="C174" i="60" s="1"/>
  <c r="D106" i="60"/>
  <c r="D174" i="60" s="1"/>
  <c r="E106" i="60"/>
  <c r="E174" i="60" s="1"/>
  <c r="F106" i="60"/>
  <c r="F174" i="60" s="1"/>
  <c r="G106" i="60"/>
  <c r="B107" i="60"/>
  <c r="C107" i="60"/>
  <c r="C175" i="60" s="1"/>
  <c r="D107" i="60"/>
  <c r="D175" i="60" s="1"/>
  <c r="E107" i="60"/>
  <c r="E175" i="60" s="1"/>
  <c r="F107" i="60"/>
  <c r="F175" i="60" s="1"/>
  <c r="G107" i="60"/>
  <c r="G175" i="60" s="1"/>
  <c r="B108" i="60"/>
  <c r="C109" i="60"/>
  <c r="D109" i="60"/>
  <c r="B110" i="60"/>
  <c r="C110" i="60"/>
  <c r="C178" i="60" s="1"/>
  <c r="D110" i="60"/>
  <c r="C111" i="60"/>
  <c r="D111" i="60"/>
  <c r="A114" i="60"/>
  <c r="A182" i="60" s="1"/>
  <c r="B114" i="60"/>
  <c r="A115" i="60"/>
  <c r="A183" i="60" s="1"/>
  <c r="B115" i="60"/>
  <c r="C115" i="60"/>
  <c r="A116" i="60"/>
  <c r="A184" i="60" s="1"/>
  <c r="D116" i="60"/>
  <c r="E116" i="60"/>
  <c r="F116" i="60"/>
  <c r="A117" i="60"/>
  <c r="A185" i="60" s="1"/>
  <c r="E117" i="60"/>
  <c r="F117" i="60"/>
  <c r="G117" i="60"/>
  <c r="A118" i="60"/>
  <c r="A186" i="60" s="1"/>
  <c r="G118" i="60"/>
  <c r="A123" i="60"/>
  <c r="A146" i="60" s="1"/>
  <c r="B123" i="60"/>
  <c r="B146" i="60" s="1"/>
  <c r="C123" i="60"/>
  <c r="C146" i="60" s="1"/>
  <c r="D123" i="60"/>
  <c r="D146" i="60" s="1"/>
  <c r="E123" i="60"/>
  <c r="E146" i="60" s="1"/>
  <c r="F123" i="60"/>
  <c r="F146" i="60" s="1"/>
  <c r="G123" i="60"/>
  <c r="G146" i="60" s="1"/>
  <c r="H123" i="60"/>
  <c r="H249" i="60" s="1"/>
  <c r="H297" i="60" s="1"/>
  <c r="H315" i="60" s="1"/>
  <c r="A124" i="60"/>
  <c r="H124" i="60"/>
  <c r="H125" i="60"/>
  <c r="H126" i="60"/>
  <c r="H127" i="60"/>
  <c r="H128" i="60"/>
  <c r="H129" i="60"/>
  <c r="H130" i="60"/>
  <c r="H131" i="60"/>
  <c r="A132" i="60"/>
  <c r="B132" i="60"/>
  <c r="C132" i="60"/>
  <c r="D132" i="60"/>
  <c r="E132" i="60"/>
  <c r="F132" i="60"/>
  <c r="G132" i="60"/>
  <c r="A133" i="60"/>
  <c r="B133" i="60"/>
  <c r="C133" i="60"/>
  <c r="C157" i="60" s="1"/>
  <c r="D133" i="60"/>
  <c r="E133" i="60"/>
  <c r="F133" i="60"/>
  <c r="G133" i="60"/>
  <c r="B134" i="60"/>
  <c r="B158" i="60" s="1"/>
  <c r="C134" i="60"/>
  <c r="D134" i="60"/>
  <c r="E134" i="60"/>
  <c r="F134" i="60"/>
  <c r="G134" i="60"/>
  <c r="B135" i="60"/>
  <c r="C135" i="60"/>
  <c r="D135" i="60"/>
  <c r="E135" i="60"/>
  <c r="F135" i="60"/>
  <c r="G135" i="60"/>
  <c r="B136" i="60"/>
  <c r="C136" i="60"/>
  <c r="D136" i="60"/>
  <c r="D159" i="60" s="1"/>
  <c r="E136" i="60"/>
  <c r="F136" i="60"/>
  <c r="G136" i="60"/>
  <c r="B137" i="60"/>
  <c r="C137" i="60"/>
  <c r="D137" i="60"/>
  <c r="D160" i="60" s="1"/>
  <c r="E137" i="60"/>
  <c r="F137" i="60"/>
  <c r="F160" i="60" s="1"/>
  <c r="G137" i="60"/>
  <c r="G160" i="60" s="1"/>
  <c r="B138" i="60"/>
  <c r="C138" i="60"/>
  <c r="D138" i="60"/>
  <c r="E138" i="60"/>
  <c r="F138" i="60"/>
  <c r="F161" i="60" s="1"/>
  <c r="G138" i="60"/>
  <c r="G161" i="60" s="1"/>
  <c r="B139" i="60"/>
  <c r="C139" i="60"/>
  <c r="D139" i="60"/>
  <c r="E139" i="60"/>
  <c r="F139" i="60"/>
  <c r="G139" i="60"/>
  <c r="G162" i="60" s="1"/>
  <c r="B140" i="60"/>
  <c r="B163" i="60" s="1"/>
  <c r="C140" i="60"/>
  <c r="C163" i="60" s="1"/>
  <c r="D140" i="60"/>
  <c r="E140" i="60"/>
  <c r="F140" i="60"/>
  <c r="G140" i="60"/>
  <c r="B141" i="60"/>
  <c r="C141" i="60"/>
  <c r="D141" i="60"/>
  <c r="E141" i="60"/>
  <c r="F141" i="60"/>
  <c r="G141" i="60"/>
  <c r="B142" i="60"/>
  <c r="C142" i="60"/>
  <c r="D142" i="60"/>
  <c r="E142" i="60"/>
  <c r="E165" i="60" s="1"/>
  <c r="F142" i="60"/>
  <c r="G142" i="60"/>
  <c r="G165" i="60" s="1"/>
  <c r="A148" i="60"/>
  <c r="B148" i="60"/>
  <c r="C148" i="60"/>
  <c r="D148" i="60"/>
  <c r="E148" i="60"/>
  <c r="F148" i="60"/>
  <c r="G148" i="60"/>
  <c r="A149" i="60"/>
  <c r="B149" i="60"/>
  <c r="C149" i="60"/>
  <c r="D149" i="60"/>
  <c r="E149" i="60"/>
  <c r="F149" i="60"/>
  <c r="G149" i="60"/>
  <c r="A150" i="60"/>
  <c r="B150" i="60"/>
  <c r="C150" i="60"/>
  <c r="D150" i="60"/>
  <c r="E150" i="60"/>
  <c r="F150" i="60"/>
  <c r="G150" i="60"/>
  <c r="A151" i="60"/>
  <c r="B151" i="60"/>
  <c r="C151" i="60"/>
  <c r="D151" i="60"/>
  <c r="E151" i="60"/>
  <c r="F151" i="60"/>
  <c r="G151" i="60"/>
  <c r="A152" i="60"/>
  <c r="B152" i="60"/>
  <c r="C152" i="60"/>
  <c r="D152" i="60"/>
  <c r="E152" i="60"/>
  <c r="F152" i="60"/>
  <c r="G152" i="60"/>
  <c r="A153" i="60"/>
  <c r="B153" i="60"/>
  <c r="C153" i="60"/>
  <c r="D153" i="60"/>
  <c r="E153" i="60"/>
  <c r="F153" i="60"/>
  <c r="G153" i="60"/>
  <c r="A154" i="60"/>
  <c r="B154" i="60"/>
  <c r="C154" i="60"/>
  <c r="D154" i="60"/>
  <c r="E154" i="60"/>
  <c r="F154" i="60"/>
  <c r="G154" i="60"/>
  <c r="A155" i="60"/>
  <c r="B155" i="60"/>
  <c r="C155" i="60"/>
  <c r="D155" i="60"/>
  <c r="E155" i="60"/>
  <c r="F155" i="60"/>
  <c r="G155" i="60"/>
  <c r="A156" i="60"/>
  <c r="A157" i="60"/>
  <c r="A158" i="60"/>
  <c r="C158" i="60"/>
  <c r="D158" i="60"/>
  <c r="A159" i="60"/>
  <c r="A160" i="60"/>
  <c r="A161" i="60"/>
  <c r="C169" i="60"/>
  <c r="F169" i="60"/>
  <c r="E170" i="60"/>
  <c r="G171" i="60"/>
  <c r="G174" i="60"/>
  <c r="A193" i="60"/>
  <c r="B193" i="60"/>
  <c r="F193" i="60" s="1"/>
  <c r="C193" i="60"/>
  <c r="D193" i="60"/>
  <c r="E193" i="60"/>
  <c r="A194" i="60"/>
  <c r="B194" i="60"/>
  <c r="F194" i="60" s="1"/>
  <c r="C194" i="60"/>
  <c r="D194" i="60"/>
  <c r="E194" i="60"/>
  <c r="A195" i="60"/>
  <c r="B195" i="60"/>
  <c r="F195" i="60" s="1"/>
  <c r="C195" i="60"/>
  <c r="D195" i="60"/>
  <c r="E195" i="60"/>
  <c r="A196" i="60"/>
  <c r="B196" i="60"/>
  <c r="F196" i="60" s="1"/>
  <c r="C196" i="60"/>
  <c r="D196" i="60"/>
  <c r="E196" i="60"/>
  <c r="A197" i="60"/>
  <c r="B197" i="60"/>
  <c r="F197" i="60" s="1"/>
  <c r="C197" i="60"/>
  <c r="D197" i="60"/>
  <c r="E197" i="60"/>
  <c r="A198" i="60"/>
  <c r="B198" i="60"/>
  <c r="F198" i="60" s="1"/>
  <c r="C198" i="60"/>
  <c r="D198" i="60"/>
  <c r="E198" i="60"/>
  <c r="A199" i="60"/>
  <c r="B199" i="60"/>
  <c r="F199" i="60" s="1"/>
  <c r="C199" i="60"/>
  <c r="D199" i="60"/>
  <c r="E199" i="60"/>
  <c r="A200" i="60"/>
  <c r="B200" i="60"/>
  <c r="F200" i="60" s="1"/>
  <c r="C200" i="60"/>
  <c r="D200" i="60"/>
  <c r="E200" i="60"/>
  <c r="A201" i="60"/>
  <c r="B201" i="60"/>
  <c r="F201" i="60" s="1"/>
  <c r="C201" i="60"/>
  <c r="D201" i="60"/>
  <c r="E201" i="60"/>
  <c r="A202" i="60"/>
  <c r="B202" i="60"/>
  <c r="F202" i="60" s="1"/>
  <c r="C202" i="60"/>
  <c r="D202" i="60"/>
  <c r="E202" i="60"/>
  <c r="A203" i="60"/>
  <c r="B203" i="60"/>
  <c r="F203" i="60" s="1"/>
  <c r="C203" i="60"/>
  <c r="D203" i="60"/>
  <c r="E203" i="60"/>
  <c r="A204" i="60"/>
  <c r="B204" i="60"/>
  <c r="F204" i="60" s="1"/>
  <c r="C204" i="60"/>
  <c r="D204" i="60"/>
  <c r="E204" i="60"/>
  <c r="A205" i="60"/>
  <c r="B205" i="60"/>
  <c r="F205" i="60" s="1"/>
  <c r="C205" i="60"/>
  <c r="D205" i="60"/>
  <c r="E205" i="60"/>
  <c r="C208" i="60"/>
  <c r="C209" i="60"/>
  <c r="C210" i="60"/>
  <c r="A213" i="60"/>
  <c r="C213" i="60"/>
  <c r="A214" i="60"/>
  <c r="C214" i="60"/>
  <c r="A215" i="60"/>
  <c r="C215" i="60"/>
  <c r="A216" i="60"/>
  <c r="C216" i="60"/>
  <c r="A217" i="60"/>
  <c r="C217" i="60"/>
  <c r="A218" i="60"/>
  <c r="C218" i="60"/>
  <c r="C219" i="60"/>
  <c r="C249" i="60"/>
  <c r="C273" i="60" s="1"/>
  <c r="H251" i="60"/>
  <c r="H252" i="60"/>
  <c r="H253" i="60"/>
  <c r="H254" i="60"/>
  <c r="H255" i="60"/>
  <c r="H256" i="60"/>
  <c r="H257" i="60"/>
  <c r="H258" i="60"/>
  <c r="B259" i="60"/>
  <c r="B283" i="60" s="1"/>
  <c r="C259" i="60"/>
  <c r="D259" i="60"/>
  <c r="D283" i="60" s="1"/>
  <c r="E259" i="60"/>
  <c r="E283" i="60" s="1"/>
  <c r="F259" i="60"/>
  <c r="F283" i="60" s="1"/>
  <c r="G259" i="60"/>
  <c r="G283" i="60" s="1"/>
  <c r="B260" i="60"/>
  <c r="C260" i="60"/>
  <c r="D260" i="60"/>
  <c r="E260" i="60"/>
  <c r="F260" i="60"/>
  <c r="G260" i="60"/>
  <c r="B261" i="60"/>
  <c r="C261" i="60"/>
  <c r="D261" i="60"/>
  <c r="E261" i="60"/>
  <c r="F261" i="60"/>
  <c r="G261" i="60"/>
  <c r="B262" i="60"/>
  <c r="C262" i="60"/>
  <c r="D262" i="60"/>
  <c r="E262" i="60"/>
  <c r="F262" i="60"/>
  <c r="G262" i="60"/>
  <c r="B263" i="60"/>
  <c r="C263" i="60"/>
  <c r="D263" i="60"/>
  <c r="E263" i="60"/>
  <c r="F263" i="60"/>
  <c r="G263" i="60"/>
  <c r="B264" i="60"/>
  <c r="C264" i="60"/>
  <c r="D264" i="60"/>
  <c r="E264" i="60"/>
  <c r="F264" i="60"/>
  <c r="G264" i="60"/>
  <c r="B265" i="60"/>
  <c r="C265" i="60"/>
  <c r="D265" i="60"/>
  <c r="E265" i="60"/>
  <c r="F265" i="60"/>
  <c r="G265" i="60"/>
  <c r="B266" i="60"/>
  <c r="C266" i="60"/>
  <c r="D266" i="60"/>
  <c r="E266" i="60"/>
  <c r="F266" i="60"/>
  <c r="G266" i="60"/>
  <c r="B267" i="60"/>
  <c r="C267" i="60"/>
  <c r="D267" i="60"/>
  <c r="E267" i="60"/>
  <c r="F267" i="60"/>
  <c r="G267" i="60"/>
  <c r="B268" i="60"/>
  <c r="C268" i="60"/>
  <c r="D268" i="60"/>
  <c r="E268" i="60"/>
  <c r="F268" i="60"/>
  <c r="G268" i="60"/>
  <c r="B269" i="60"/>
  <c r="C269" i="60"/>
  <c r="D269" i="60"/>
  <c r="E269" i="60"/>
  <c r="F269" i="60"/>
  <c r="G269" i="60"/>
  <c r="A275" i="60"/>
  <c r="A276" i="60"/>
  <c r="B276" i="60"/>
  <c r="C276" i="60"/>
  <c r="D276" i="60"/>
  <c r="E276" i="60"/>
  <c r="F276" i="60"/>
  <c r="G276" i="60"/>
  <c r="A277" i="60"/>
  <c r="B277" i="60"/>
  <c r="C277" i="60"/>
  <c r="D277" i="60"/>
  <c r="E277" i="60"/>
  <c r="F277" i="60"/>
  <c r="G277" i="60"/>
  <c r="A278" i="60"/>
  <c r="B278" i="60"/>
  <c r="C278" i="60"/>
  <c r="D278" i="60"/>
  <c r="E278" i="60"/>
  <c r="F278" i="60"/>
  <c r="G278" i="60"/>
  <c r="A279" i="60"/>
  <c r="B279" i="60"/>
  <c r="C279" i="60"/>
  <c r="D279" i="60"/>
  <c r="E279" i="60"/>
  <c r="F279" i="60"/>
  <c r="G279" i="60"/>
  <c r="A280" i="60"/>
  <c r="A281" i="60"/>
  <c r="B281" i="60"/>
  <c r="C281" i="60"/>
  <c r="D281" i="60"/>
  <c r="E281" i="60"/>
  <c r="F281" i="60"/>
  <c r="G281" i="60"/>
  <c r="A282" i="60"/>
  <c r="B282" i="60"/>
  <c r="C282" i="60"/>
  <c r="D282" i="60"/>
  <c r="E282" i="60"/>
  <c r="F282" i="60"/>
  <c r="G282" i="60"/>
  <c r="A283" i="60"/>
  <c r="A284" i="60"/>
  <c r="A285" i="60"/>
  <c r="A286" i="60"/>
  <c r="A287" i="60"/>
  <c r="A288" i="60"/>
  <c r="A289" i="60"/>
  <c r="A290" i="60"/>
  <c r="A291" i="60"/>
  <c r="A292" i="60"/>
  <c r="A293" i="60"/>
  <c r="F294" i="60"/>
  <c r="A297" i="60"/>
  <c r="A315" i="60" s="1"/>
  <c r="A366" i="60" s="1"/>
  <c r="A309" i="60"/>
  <c r="A311" i="60"/>
  <c r="A317" i="60" s="1"/>
  <c r="A312" i="60"/>
  <c r="A318" i="60" s="1"/>
  <c r="A323" i="60"/>
  <c r="B323" i="60"/>
  <c r="C323" i="60"/>
  <c r="D323" i="60"/>
  <c r="E323" i="60"/>
  <c r="F323" i="60"/>
  <c r="B328" i="60"/>
  <c r="B330" i="60" s="1"/>
  <c r="C328" i="60"/>
  <c r="C330" i="60" s="1"/>
  <c r="C329" i="60"/>
  <c r="B334" i="60"/>
  <c r="B355" i="60" s="1"/>
  <c r="E355" i="60" s="1"/>
  <c r="C334" i="60"/>
  <c r="C335" i="60"/>
  <c r="B341" i="60"/>
  <c r="B343" i="60" s="1"/>
  <c r="C341" i="60"/>
  <c r="C343" i="60" s="1"/>
  <c r="C360" i="60" s="1"/>
  <c r="C342" i="60"/>
  <c r="B348" i="60"/>
  <c r="C348" i="60"/>
  <c r="C350" i="60" s="1"/>
  <c r="D360" i="60" s="1"/>
  <c r="C349" i="60"/>
  <c r="A355" i="60"/>
  <c r="A356" i="60"/>
  <c r="A371" i="60"/>
  <c r="A374" i="60" s="1"/>
  <c r="A377" i="60" s="1"/>
  <c r="A433" i="60" s="1"/>
  <c r="E371" i="60"/>
  <c r="F371" i="60"/>
  <c r="G371" i="60"/>
  <c r="A372" i="60"/>
  <c r="A375" i="60" s="1"/>
  <c r="A378" i="60" s="1"/>
  <c r="A434" i="60" s="1"/>
  <c r="H374" i="60"/>
  <c r="H375" i="60"/>
  <c r="E381" i="60"/>
  <c r="B392" i="60"/>
  <c r="C392" i="60"/>
  <c r="D392" i="60"/>
  <c r="B393" i="60"/>
  <c r="C393" i="60"/>
  <c r="D393" i="60"/>
  <c r="B394" i="60"/>
  <c r="C394" i="60"/>
  <c r="D394" i="60"/>
  <c r="B395" i="60"/>
  <c r="C395" i="60"/>
  <c r="D395" i="60"/>
  <c r="B396" i="60"/>
  <c r="C396" i="60"/>
  <c r="D396" i="60"/>
  <c r="B397" i="60"/>
  <c r="C397" i="60"/>
  <c r="D397" i="60"/>
  <c r="B398" i="60"/>
  <c r="C398" i="60"/>
  <c r="D398" i="60"/>
  <c r="B399" i="60"/>
  <c r="C399" i="60"/>
  <c r="D399" i="60"/>
  <c r="B400" i="60"/>
  <c r="C400" i="60"/>
  <c r="D400" i="60"/>
  <c r="B401" i="60"/>
  <c r="C401" i="60"/>
  <c r="D401" i="60"/>
  <c r="B402" i="60"/>
  <c r="C402" i="60"/>
  <c r="D402" i="60"/>
  <c r="A405" i="60"/>
  <c r="A431" i="60" s="1"/>
  <c r="A407" i="60"/>
  <c r="A408" i="60"/>
  <c r="A409" i="60"/>
  <c r="A410" i="60"/>
  <c r="A411" i="60"/>
  <c r="A412" i="60"/>
  <c r="A413" i="60"/>
  <c r="A414" i="60"/>
  <c r="A415" i="60"/>
  <c r="B415" i="60"/>
  <c r="C415" i="60"/>
  <c r="D415" i="60"/>
  <c r="A416" i="60"/>
  <c r="B416" i="60"/>
  <c r="C416" i="60"/>
  <c r="D416" i="60"/>
  <c r="A417" i="60"/>
  <c r="B417" i="60"/>
  <c r="C417" i="60"/>
  <c r="D417" i="60"/>
  <c r="A418" i="60"/>
  <c r="B418" i="60"/>
  <c r="C418" i="60"/>
  <c r="D418" i="60"/>
  <c r="A419" i="60"/>
  <c r="B419" i="60"/>
  <c r="C419" i="60"/>
  <c r="D419" i="60"/>
  <c r="A420" i="60"/>
  <c r="B420" i="60"/>
  <c r="C420" i="60"/>
  <c r="D420" i="60"/>
  <c r="B421" i="60"/>
  <c r="C421" i="60"/>
  <c r="D421" i="60"/>
  <c r="B422" i="60"/>
  <c r="C422" i="60"/>
  <c r="D422" i="60"/>
  <c r="B423" i="60"/>
  <c r="C423" i="60"/>
  <c r="D423" i="60"/>
  <c r="C424" i="60"/>
  <c r="D424" i="60"/>
  <c r="B439" i="60"/>
  <c r="C439" i="60"/>
  <c r="B449" i="60" s="1"/>
  <c r="B440" i="60"/>
  <c r="C440" i="60"/>
  <c r="B441" i="60"/>
  <c r="C441" i="60"/>
  <c r="B451" i="60" s="1"/>
  <c r="B442" i="60"/>
  <c r="C442" i="60"/>
  <c r="B443" i="60"/>
  <c r="C443" i="60"/>
  <c r="B444" i="60"/>
  <c r="C444" i="60"/>
  <c r="C449" i="60"/>
  <c r="C450" i="60"/>
  <c r="B460" i="60" s="1"/>
  <c r="C454" i="60"/>
  <c r="B464" i="60" s="1"/>
  <c r="C489" i="60"/>
  <c r="C490" i="60"/>
  <c r="C491" i="60"/>
  <c r="C492" i="60"/>
  <c r="C493" i="60"/>
  <c r="C494" i="60"/>
  <c r="B499" i="60"/>
  <c r="C499" i="60"/>
  <c r="B500" i="60"/>
  <c r="C500" i="60"/>
  <c r="B501" i="60"/>
  <c r="C501" i="60"/>
  <c r="B502" i="60"/>
  <c r="C502" i="60"/>
  <c r="C507" i="60"/>
  <c r="C508" i="60"/>
  <c r="C509" i="60"/>
  <c r="C510" i="60"/>
  <c r="C515" i="60"/>
  <c r="B523" i="60" s="1"/>
  <c r="C516" i="60"/>
  <c r="C517" i="60"/>
  <c r="B525" i="60" s="1"/>
  <c r="C518" i="60"/>
  <c r="C523" i="60"/>
  <c r="C524" i="60"/>
  <c r="B532" i="60" s="1"/>
  <c r="C525" i="60"/>
  <c r="C526" i="60"/>
  <c r="B534" i="60" s="1"/>
  <c r="C531" i="60"/>
  <c r="B539" i="60" s="1"/>
  <c r="C532" i="60"/>
  <c r="C533" i="60"/>
  <c r="C534" i="60"/>
  <c r="C541" i="60"/>
  <c r="C542" i="60"/>
  <c r="C546" i="60"/>
  <c r="D546" i="60"/>
  <c r="E546" i="60"/>
  <c r="F546" i="60"/>
  <c r="G546" i="60"/>
  <c r="H546" i="60"/>
  <c r="G552" i="60"/>
  <c r="H552" i="60" s="1"/>
  <c r="F670" i="60"/>
  <c r="F671" i="60"/>
  <c r="E694" i="60"/>
  <c r="A592" i="60"/>
  <c r="A611" i="60" s="1"/>
  <c r="A630" i="60" s="1"/>
  <c r="A649" i="60" s="1"/>
  <c r="A668" i="60" s="1"/>
  <c r="A687" i="60" s="1"/>
  <c r="E593" i="60"/>
  <c r="G593" i="60" s="1"/>
  <c r="I593" i="60" s="1"/>
  <c r="K593" i="60" s="1"/>
  <c r="F593" i="60"/>
  <c r="H593" i="60" s="1"/>
  <c r="J593" i="60" s="1"/>
  <c r="L593" i="60" s="1"/>
  <c r="B594" i="60"/>
  <c r="E594" i="60"/>
  <c r="G594" i="60" s="1"/>
  <c r="B595" i="60"/>
  <c r="E595" i="60"/>
  <c r="G595" i="60" s="1"/>
  <c r="B596" i="60"/>
  <c r="E596" i="60"/>
  <c r="G596" i="60" s="1"/>
  <c r="B597" i="60"/>
  <c r="E597" i="60"/>
  <c r="B598" i="60"/>
  <c r="E598" i="60"/>
  <c r="G598" i="60" s="1"/>
  <c r="B599" i="60"/>
  <c r="E599" i="60"/>
  <c r="G599" i="60" s="1"/>
  <c r="D602" i="60"/>
  <c r="D603" i="60"/>
  <c r="D604" i="60"/>
  <c r="D605" i="60"/>
  <c r="D606" i="60"/>
  <c r="D607" i="60"/>
  <c r="E612" i="60"/>
  <c r="G612" i="60" s="1"/>
  <c r="I612" i="60" s="1"/>
  <c r="K612" i="60" s="1"/>
  <c r="F612" i="60"/>
  <c r="H612" i="60" s="1"/>
  <c r="J612" i="60" s="1"/>
  <c r="L612" i="60" s="1"/>
  <c r="D621" i="60"/>
  <c r="D622" i="60"/>
  <c r="D623" i="60"/>
  <c r="D624" i="60"/>
  <c r="D625" i="60"/>
  <c r="D626" i="60"/>
  <c r="E631" i="60"/>
  <c r="G631" i="60" s="1"/>
  <c r="I631" i="60" s="1"/>
  <c r="K631" i="60" s="1"/>
  <c r="F631" i="60"/>
  <c r="H631" i="60" s="1"/>
  <c r="J631" i="60" s="1"/>
  <c r="L631" i="60" s="1"/>
  <c r="D640" i="60"/>
  <c r="D641" i="60"/>
  <c r="D642" i="60"/>
  <c r="D643" i="60"/>
  <c r="D644" i="60"/>
  <c r="D645" i="60"/>
  <c r="E650" i="60"/>
  <c r="G650" i="60" s="1"/>
  <c r="I650" i="60" s="1"/>
  <c r="K650" i="60" s="1"/>
  <c r="F650" i="60"/>
  <c r="H650" i="60" s="1"/>
  <c r="J650" i="60" s="1"/>
  <c r="L650" i="60" s="1"/>
  <c r="D659" i="60"/>
  <c r="D660" i="60"/>
  <c r="D661" i="60"/>
  <c r="D662" i="60"/>
  <c r="D663" i="60"/>
  <c r="D664" i="60"/>
  <c r="E669" i="60"/>
  <c r="G669" i="60" s="1"/>
  <c r="I669" i="60" s="1"/>
  <c r="K669" i="60" s="1"/>
  <c r="F669" i="60"/>
  <c r="H669" i="60" s="1"/>
  <c r="J669" i="60" s="1"/>
  <c r="L669" i="60" s="1"/>
  <c r="D678" i="60"/>
  <c r="D679" i="60"/>
  <c r="D680" i="60"/>
  <c r="D681" i="60"/>
  <c r="D682" i="60"/>
  <c r="D683" i="60"/>
  <c r="E688" i="60"/>
  <c r="G688" i="60" s="1"/>
  <c r="I688" i="60" s="1"/>
  <c r="K688" i="60" s="1"/>
  <c r="F688" i="60"/>
  <c r="H688" i="60" s="1"/>
  <c r="J688" i="60" s="1"/>
  <c r="L688" i="60" s="1"/>
  <c r="E690" i="60"/>
  <c r="D697" i="60"/>
  <c r="D698" i="60"/>
  <c r="D699" i="60"/>
  <c r="D700" i="60"/>
  <c r="D701" i="60"/>
  <c r="D702" i="60"/>
  <c r="C473" i="60" l="1"/>
  <c r="C289" i="60"/>
  <c r="C471" i="60"/>
  <c r="G291" i="60"/>
  <c r="E249" i="60"/>
  <c r="E273" i="60" s="1"/>
  <c r="F181" i="60"/>
  <c r="A134" i="60"/>
  <c r="D178" i="60"/>
  <c r="B178" i="60"/>
  <c r="C472" i="60"/>
  <c r="B482" i="60" s="1"/>
  <c r="F249" i="60"/>
  <c r="B284" i="60"/>
  <c r="C470" i="60"/>
  <c r="B480" i="60" s="1"/>
  <c r="C469" i="60"/>
  <c r="B292" i="60"/>
  <c r="D289" i="60"/>
  <c r="F289" i="60"/>
  <c r="K598" i="60"/>
  <c r="C474" i="60"/>
  <c r="B484" i="60" s="1"/>
  <c r="D177" i="60"/>
  <c r="F159" i="60"/>
  <c r="F164" i="60"/>
  <c r="B162" i="60"/>
  <c r="A129" i="60"/>
  <c r="H96" i="60"/>
  <c r="D157" i="60"/>
  <c r="C156" i="60"/>
  <c r="G249" i="60"/>
  <c r="G297" i="60" s="1"/>
  <c r="G315" i="60" s="1"/>
  <c r="A125" i="60"/>
  <c r="E394" i="60"/>
  <c r="C355" i="60"/>
  <c r="E400" i="60"/>
  <c r="G293" i="60"/>
  <c r="B249" i="60"/>
  <c r="B273" i="60" s="1"/>
  <c r="E59" i="60"/>
  <c r="D443" i="60"/>
  <c r="E443" i="60" s="1"/>
  <c r="A136" i="60"/>
  <c r="K594" i="60"/>
  <c r="C519" i="60"/>
  <c r="D501" i="60"/>
  <c r="E501" i="60" s="1"/>
  <c r="E288" i="60"/>
  <c r="B503" i="60"/>
  <c r="C181" i="60"/>
  <c r="C27" i="60"/>
  <c r="B453" i="60"/>
  <c r="C177" i="60"/>
  <c r="B185" i="60"/>
  <c r="E399" i="60"/>
  <c r="D179" i="60"/>
  <c r="E396" i="60"/>
  <c r="B285" i="60"/>
  <c r="E398" i="60"/>
  <c r="G116" i="60"/>
  <c r="G184" i="60" s="1"/>
  <c r="A135" i="60"/>
  <c r="A179" i="60"/>
  <c r="E393" i="60"/>
  <c r="D356" i="60"/>
  <c r="D186" i="60"/>
  <c r="D156" i="60"/>
  <c r="C176" i="60"/>
  <c r="B293" i="60"/>
  <c r="F291" i="60"/>
  <c r="D290" i="60"/>
  <c r="D286" i="60"/>
  <c r="E162" i="60"/>
  <c r="C161" i="60"/>
  <c r="E291" i="60"/>
  <c r="E402" i="60"/>
  <c r="F288" i="60"/>
  <c r="B286" i="60"/>
  <c r="F284" i="60"/>
  <c r="E10" i="60"/>
  <c r="C462" i="60" s="1"/>
  <c r="D462" i="60" s="1"/>
  <c r="E462" i="60" s="1"/>
  <c r="D361" i="60"/>
  <c r="D362" i="60" s="1"/>
  <c r="E362" i="60" s="1"/>
  <c r="G289" i="60"/>
  <c r="E185" i="60"/>
  <c r="D287" i="60"/>
  <c r="F290" i="60"/>
  <c r="G182" i="60"/>
  <c r="E161" i="60"/>
  <c r="C159" i="60"/>
  <c r="I26" i="60"/>
  <c r="I27" i="60" s="1"/>
  <c r="B336" i="60"/>
  <c r="I598" i="60"/>
  <c r="K596" i="60"/>
  <c r="I595" i="60"/>
  <c r="K595" i="60"/>
  <c r="A104" i="60"/>
  <c r="A172" i="60" s="1"/>
  <c r="E58" i="60"/>
  <c r="F27" i="60"/>
  <c r="F20" i="60"/>
  <c r="D180" i="60"/>
  <c r="B164" i="60"/>
  <c r="C180" i="60"/>
  <c r="E284" i="60"/>
  <c r="F293" i="60"/>
  <c r="D288" i="60"/>
  <c r="H263" i="60"/>
  <c r="E184" i="60"/>
  <c r="C179" i="60"/>
  <c r="D182" i="60"/>
  <c r="C287" i="60"/>
  <c r="G290" i="60"/>
  <c r="E289" i="60"/>
  <c r="D184" i="60"/>
  <c r="G159" i="60"/>
  <c r="D176" i="60"/>
  <c r="G285" i="60"/>
  <c r="C286" i="60"/>
  <c r="G284" i="60"/>
  <c r="G292" i="60"/>
  <c r="H135" i="60"/>
  <c r="D181" i="60"/>
  <c r="B177" i="60"/>
  <c r="D164" i="60"/>
  <c r="C164" i="60"/>
  <c r="E689" i="60"/>
  <c r="F675" i="60"/>
  <c r="D165" i="60"/>
  <c r="C293" i="60"/>
  <c r="C463" i="60"/>
  <c r="B473" i="60" s="1"/>
  <c r="D473" i="60" s="1"/>
  <c r="E473" i="60" s="1"/>
  <c r="E183" i="60"/>
  <c r="C165" i="60"/>
  <c r="G176" i="60"/>
  <c r="E61" i="60"/>
  <c r="B509" i="60"/>
  <c r="D439" i="60"/>
  <c r="E439" i="60" s="1"/>
  <c r="E287" i="60"/>
  <c r="C285" i="60"/>
  <c r="D249" i="60"/>
  <c r="F183" i="60"/>
  <c r="D161" i="60"/>
  <c r="C160" i="60"/>
  <c r="D183" i="60"/>
  <c r="A112" i="60"/>
  <c r="A180" i="60" s="1"/>
  <c r="B165" i="60"/>
  <c r="G177" i="60"/>
  <c r="F176" i="60"/>
  <c r="F177" i="60"/>
  <c r="C288" i="60"/>
  <c r="F163" i="60"/>
  <c r="D162" i="60"/>
  <c r="F178" i="60"/>
  <c r="I597" i="60"/>
  <c r="C539" i="60"/>
  <c r="D539" i="60" s="1"/>
  <c r="D449" i="60"/>
  <c r="E449" i="60" s="1"/>
  <c r="B356" i="60"/>
  <c r="E356" i="60" s="1"/>
  <c r="H262" i="60"/>
  <c r="F285" i="60"/>
  <c r="G164" i="60"/>
  <c r="E163" i="60"/>
  <c r="A138" i="60"/>
  <c r="D117" i="60"/>
  <c r="D185" i="60" s="1"/>
  <c r="C116" i="60"/>
  <c r="C184" i="60" s="1"/>
  <c r="G180" i="60"/>
  <c r="F179" i="60"/>
  <c r="E56" i="60"/>
  <c r="C20" i="60"/>
  <c r="I594" i="60"/>
  <c r="C445" i="60"/>
  <c r="D441" i="60"/>
  <c r="E441" i="60" s="1"/>
  <c r="E290" i="60"/>
  <c r="E118" i="60"/>
  <c r="E186" i="60" s="1"/>
  <c r="C117" i="60"/>
  <c r="C185" i="60" s="1"/>
  <c r="B116" i="60"/>
  <c r="B184" i="60" s="1"/>
  <c r="E182" i="60"/>
  <c r="G181" i="60"/>
  <c r="F180" i="60"/>
  <c r="C511" i="60"/>
  <c r="E297" i="60"/>
  <c r="H269" i="60"/>
  <c r="B287" i="60"/>
  <c r="D444" i="60"/>
  <c r="E444" i="60" s="1"/>
  <c r="C356" i="60"/>
  <c r="G178" i="60"/>
  <c r="K599" i="60"/>
  <c r="B600" i="60"/>
  <c r="D440" i="60"/>
  <c r="E440" i="60" s="1"/>
  <c r="E395" i="60"/>
  <c r="H134" i="60"/>
  <c r="C118" i="60"/>
  <c r="C186" i="60" s="1"/>
  <c r="C182" i="60"/>
  <c r="H102" i="60"/>
  <c r="C535" i="60"/>
  <c r="B541" i="60"/>
  <c r="D541" i="60" s="1"/>
  <c r="E541" i="60" s="1"/>
  <c r="D500" i="60"/>
  <c r="E500" i="60" s="1"/>
  <c r="B508" i="60"/>
  <c r="D508" i="60" s="1"/>
  <c r="E508" i="60" s="1"/>
  <c r="D10" i="60"/>
  <c r="D18" i="60" s="1"/>
  <c r="C453" i="60"/>
  <c r="C455" i="60" s="1"/>
  <c r="D523" i="60"/>
  <c r="B531" i="60"/>
  <c r="C527" i="60"/>
  <c r="B507" i="60"/>
  <c r="D499" i="60"/>
  <c r="C503" i="60"/>
  <c r="B18" i="60"/>
  <c r="B20" i="60" s="1"/>
  <c r="B27" i="60"/>
  <c r="I599" i="60"/>
  <c r="D509" i="60"/>
  <c r="E509" i="60" s="1"/>
  <c r="B517" i="60"/>
  <c r="D517" i="60" s="1"/>
  <c r="E517" i="60" s="1"/>
  <c r="D534" i="60"/>
  <c r="E534" i="60" s="1"/>
  <c r="B542" i="60"/>
  <c r="D542" i="60" s="1"/>
  <c r="E542" i="60" s="1"/>
  <c r="B516" i="60"/>
  <c r="D516" i="60" s="1"/>
  <c r="E516" i="60" s="1"/>
  <c r="E392" i="60"/>
  <c r="B526" i="60"/>
  <c r="D526" i="60" s="1"/>
  <c r="E526" i="60" s="1"/>
  <c r="H259" i="60"/>
  <c r="C284" i="60"/>
  <c r="C283" i="60"/>
  <c r="B297" i="60"/>
  <c r="I596" i="60"/>
  <c r="B518" i="60"/>
  <c r="D518" i="60" s="1"/>
  <c r="E518" i="60" s="1"/>
  <c r="D502" i="60"/>
  <c r="E502" i="60" s="1"/>
  <c r="B510" i="60"/>
  <c r="D510" i="60" s="1"/>
  <c r="E510" i="60" s="1"/>
  <c r="B445" i="60"/>
  <c r="B288" i="60"/>
  <c r="H264" i="60"/>
  <c r="H260" i="60"/>
  <c r="D285" i="60"/>
  <c r="D284" i="60"/>
  <c r="G597" i="60"/>
  <c r="K597" i="60" s="1"/>
  <c r="D451" i="60"/>
  <c r="E451" i="60" s="1"/>
  <c r="D442" i="60"/>
  <c r="E442" i="60" s="1"/>
  <c r="E397" i="60"/>
  <c r="I381" i="60"/>
  <c r="E431" i="60"/>
  <c r="G286" i="60"/>
  <c r="B183" i="60"/>
  <c r="B173" i="60"/>
  <c r="H105" i="60"/>
  <c r="H98" i="60"/>
  <c r="B118" i="60"/>
  <c r="H89" i="60"/>
  <c r="E109" i="60"/>
  <c r="E177" i="60" s="1"/>
  <c r="E157" i="60"/>
  <c r="H265" i="60"/>
  <c r="B289" i="60"/>
  <c r="C162" i="60"/>
  <c r="H139" i="60"/>
  <c r="B181" i="60"/>
  <c r="B179" i="60"/>
  <c r="B168" i="60"/>
  <c r="H100" i="60"/>
  <c r="H90" i="60"/>
  <c r="E110" i="60"/>
  <c r="E178" i="60" s="1"/>
  <c r="E158" i="60"/>
  <c r="D532" i="60"/>
  <c r="E532" i="60" s="1"/>
  <c r="B540" i="60"/>
  <c r="D540" i="60" s="1"/>
  <c r="E540" i="60" s="1"/>
  <c r="B515" i="60"/>
  <c r="F292" i="60"/>
  <c r="D163" i="60"/>
  <c r="H140" i="60"/>
  <c r="B156" i="60"/>
  <c r="H132" i="60"/>
  <c r="B524" i="60"/>
  <c r="C495" i="60"/>
  <c r="E401" i="60"/>
  <c r="D525" i="60"/>
  <c r="E525" i="60" s="1"/>
  <c r="B533" i="60"/>
  <c r="D533" i="60" s="1"/>
  <c r="E533" i="60" s="1"/>
  <c r="C290" i="60"/>
  <c r="G288" i="60"/>
  <c r="G287" i="60"/>
  <c r="F287" i="60"/>
  <c r="F286" i="60"/>
  <c r="E286" i="60"/>
  <c r="E285" i="60"/>
  <c r="E164" i="60"/>
  <c r="H141" i="60"/>
  <c r="B157" i="60"/>
  <c r="H133" i="60"/>
  <c r="B174" i="60"/>
  <c r="H106" i="60"/>
  <c r="B169" i="60"/>
  <c r="H101" i="60"/>
  <c r="E159" i="60"/>
  <c r="H91" i="60"/>
  <c r="E111" i="60"/>
  <c r="E179" i="60" s="1"/>
  <c r="C297" i="60"/>
  <c r="D291" i="60"/>
  <c r="B291" i="60"/>
  <c r="H266" i="60"/>
  <c r="B290" i="60"/>
  <c r="F165" i="60"/>
  <c r="H142" i="60"/>
  <c r="F186" i="60"/>
  <c r="E160" i="60"/>
  <c r="H92" i="60"/>
  <c r="E112" i="60"/>
  <c r="E180" i="60" s="1"/>
  <c r="B483" i="60"/>
  <c r="B481" i="60"/>
  <c r="B479" i="60"/>
  <c r="B461" i="60"/>
  <c r="B459" i="60"/>
  <c r="B454" i="60"/>
  <c r="D454" i="60" s="1"/>
  <c r="E454" i="60" s="1"/>
  <c r="B452" i="60"/>
  <c r="D452" i="60" s="1"/>
  <c r="E452" i="60" s="1"/>
  <c r="B450" i="60"/>
  <c r="D450" i="60" s="1"/>
  <c r="C336" i="60"/>
  <c r="B360" i="60" s="1"/>
  <c r="E360" i="60" s="1"/>
  <c r="E292" i="60"/>
  <c r="H267" i="60"/>
  <c r="C292" i="60"/>
  <c r="C291" i="60"/>
  <c r="B175" i="60"/>
  <c r="H107" i="60"/>
  <c r="H93" i="60"/>
  <c r="E113" i="60"/>
  <c r="E181" i="60" s="1"/>
  <c r="H268" i="60"/>
  <c r="D293" i="60"/>
  <c r="D292" i="60"/>
  <c r="H136" i="60"/>
  <c r="B159" i="60"/>
  <c r="B182" i="60"/>
  <c r="B180" i="60"/>
  <c r="B176" i="60"/>
  <c r="H94" i="60"/>
  <c r="F114" i="60"/>
  <c r="F182" i="60" s="1"/>
  <c r="F162" i="60"/>
  <c r="E62" i="60"/>
  <c r="E293" i="60"/>
  <c r="H137" i="60"/>
  <c r="B160" i="60"/>
  <c r="H103" i="60"/>
  <c r="B171" i="60"/>
  <c r="H95" i="60"/>
  <c r="G115" i="60"/>
  <c r="G183" i="60" s="1"/>
  <c r="G163" i="60"/>
  <c r="B350" i="60"/>
  <c r="D355" i="60"/>
  <c r="H261" i="60"/>
  <c r="B161" i="60"/>
  <c r="H138" i="60"/>
  <c r="C183" i="60"/>
  <c r="H104" i="60"/>
  <c r="B172" i="60"/>
  <c r="H88" i="60"/>
  <c r="E108" i="60"/>
  <c r="E176" i="60" s="1"/>
  <c r="E156" i="60"/>
  <c r="A130" i="60"/>
  <c r="A106" i="60"/>
  <c r="A174" i="60" s="1"/>
  <c r="A126" i="60"/>
  <c r="A102" i="60"/>
  <c r="A170" i="60" s="1"/>
  <c r="G156" i="60"/>
  <c r="A107" i="60"/>
  <c r="A175" i="60" s="1"/>
  <c r="A103" i="60"/>
  <c r="A171" i="60" s="1"/>
  <c r="H97" i="60"/>
  <c r="G185" i="60"/>
  <c r="F184" i="60"/>
  <c r="G157" i="60"/>
  <c r="F156" i="60"/>
  <c r="G186" i="60"/>
  <c r="F185" i="60"/>
  <c r="G158" i="60"/>
  <c r="F157" i="60"/>
  <c r="G111" i="60"/>
  <c r="G179" i="60" s="1"/>
  <c r="E57" i="60"/>
  <c r="F158" i="60"/>
  <c r="C460" i="60" l="1"/>
  <c r="D460" i="60" s="1"/>
  <c r="E460" i="60" s="1"/>
  <c r="C461" i="60"/>
  <c r="B471" i="60" s="1"/>
  <c r="D471" i="60" s="1"/>
  <c r="E471" i="60" s="1"/>
  <c r="C475" i="60"/>
  <c r="E361" i="60"/>
  <c r="F273" i="60"/>
  <c r="F297" i="60"/>
  <c r="G303" i="60"/>
  <c r="G309" i="60" s="1"/>
  <c r="C464" i="60"/>
  <c r="G273" i="60"/>
  <c r="C459" i="60"/>
  <c r="B469" i="60" s="1"/>
  <c r="D469" i="60" s="1"/>
  <c r="E469" i="60" s="1"/>
  <c r="B527" i="60"/>
  <c r="E18" i="60"/>
  <c r="H109" i="60"/>
  <c r="H116" i="60"/>
  <c r="B470" i="60"/>
  <c r="F321" i="60"/>
  <c r="G366" i="60"/>
  <c r="A581" i="60" s="1"/>
  <c r="B511" i="60"/>
  <c r="E315" i="60"/>
  <c r="E303" i="60"/>
  <c r="E309" i="60" s="1"/>
  <c r="B472" i="60"/>
  <c r="D472" i="60" s="1"/>
  <c r="E472" i="60" s="1"/>
  <c r="H110" i="60"/>
  <c r="H117" i="60"/>
  <c r="C543" i="60"/>
  <c r="D273" i="60"/>
  <c r="D297" i="60"/>
  <c r="E450" i="60"/>
  <c r="D27" i="60"/>
  <c r="D20" i="60"/>
  <c r="H108" i="60"/>
  <c r="D507" i="60"/>
  <c r="B535" i="60"/>
  <c r="D531" i="60"/>
  <c r="D445" i="60"/>
  <c r="E445" i="60" s="1"/>
  <c r="D524" i="60"/>
  <c r="E524" i="60" s="1"/>
  <c r="C303" i="60"/>
  <c r="C309" i="60" s="1"/>
  <c r="C315" i="60"/>
  <c r="E523" i="60"/>
  <c r="B519" i="60"/>
  <c r="D515" i="60"/>
  <c r="H111" i="60"/>
  <c r="H115" i="60"/>
  <c r="B543" i="60"/>
  <c r="B455" i="60"/>
  <c r="H113" i="60"/>
  <c r="B303" i="60"/>
  <c r="B309" i="60" s="1"/>
  <c r="B315" i="60"/>
  <c r="H112" i="60"/>
  <c r="B485" i="60"/>
  <c r="H114" i="60"/>
  <c r="H118" i="60"/>
  <c r="B186" i="60"/>
  <c r="D543" i="60"/>
  <c r="E539" i="60"/>
  <c r="E499" i="60"/>
  <c r="D503" i="60"/>
  <c r="E503" i="60" s="1"/>
  <c r="D453" i="60"/>
  <c r="E453" i="60" s="1"/>
  <c r="B463" i="60"/>
  <c r="D463" i="60" s="1"/>
  <c r="E463" i="60" s="1"/>
  <c r="D461" i="60" l="1"/>
  <c r="E461" i="60" s="1"/>
  <c r="C465" i="60"/>
  <c r="D459" i="60"/>
  <c r="F315" i="60"/>
  <c r="F303" i="60"/>
  <c r="F309" i="60" s="1"/>
  <c r="D464" i="60"/>
  <c r="E464" i="60" s="1"/>
  <c r="B474" i="60"/>
  <c r="D474" i="60" s="1"/>
  <c r="E474" i="60" s="1"/>
  <c r="E27" i="60"/>
  <c r="E20" i="60"/>
  <c r="D321" i="60"/>
  <c r="E366" i="60"/>
  <c r="D527" i="60"/>
  <c r="E527" i="60" s="1"/>
  <c r="D470" i="60"/>
  <c r="D303" i="60"/>
  <c r="D309" i="60" s="1"/>
  <c r="D315" i="60"/>
  <c r="E459" i="60"/>
  <c r="A321" i="60"/>
  <c r="B354" i="60" s="1"/>
  <c r="B359" i="60" s="1"/>
  <c r="B366" i="60"/>
  <c r="A558" i="60" s="1"/>
  <c r="B465" i="60"/>
  <c r="D511" i="60"/>
  <c r="E511" i="60" s="1"/>
  <c r="E507" i="60"/>
  <c r="E543" i="60"/>
  <c r="E531" i="60"/>
  <c r="D535" i="60"/>
  <c r="E535" i="60" s="1"/>
  <c r="D519" i="60"/>
  <c r="E519" i="60" s="1"/>
  <c r="E515" i="60"/>
  <c r="B321" i="60"/>
  <c r="C354" i="60" s="1"/>
  <c r="C359" i="60" s="1"/>
  <c r="C366" i="60"/>
  <c r="A562" i="60" s="1"/>
  <c r="D455" i="60"/>
  <c r="E455" i="60" s="1"/>
  <c r="D465" i="60" l="1"/>
  <c r="B475" i="60"/>
  <c r="E321" i="60"/>
  <c r="F366" i="60"/>
  <c r="E465" i="60"/>
  <c r="C321" i="60"/>
  <c r="D354" i="60" s="1"/>
  <c r="D359" i="60" s="1"/>
  <c r="D366" i="60"/>
  <c r="E470" i="60"/>
  <c r="D475" i="60"/>
  <c r="C381" i="60"/>
  <c r="A571" i="60"/>
  <c r="E475" i="60" l="1"/>
  <c r="D381" i="60"/>
  <c r="A576" i="60"/>
  <c r="G381" i="60"/>
  <c r="C405" i="60"/>
  <c r="C431" i="60" s="1"/>
  <c r="B381" i="60"/>
  <c r="A566" i="60"/>
  <c r="H381" i="60" l="1"/>
  <c r="D405" i="60"/>
  <c r="D431" i="60" s="1"/>
  <c r="F381" i="60"/>
  <c r="B405" i="60"/>
  <c r="B431" i="60" s="1"/>
  <c r="D16" i="7" l="1"/>
  <c r="D17" i="7"/>
  <c r="D18" i="7"/>
  <c r="D19" i="7"/>
  <c r="D20" i="7"/>
  <c r="D21" i="7"/>
  <c r="D22" i="7"/>
  <c r="D23" i="7"/>
  <c r="D24" i="7"/>
  <c r="D25" i="7"/>
  <c r="D26" i="7"/>
  <c r="D15" i="7"/>
  <c r="D28" i="7"/>
  <c r="D29" i="7"/>
  <c r="D30" i="7"/>
  <c r="D31" i="7"/>
  <c r="D32" i="7"/>
  <c r="D33" i="7"/>
  <c r="D34" i="7"/>
  <c r="D35" i="7"/>
  <c r="D36" i="7"/>
  <c r="D37" i="7"/>
  <c r="D38" i="7"/>
  <c r="D40" i="7"/>
  <c r="D41" i="7"/>
  <c r="D42" i="7"/>
  <c r="D43" i="7"/>
  <c r="D44" i="7"/>
  <c r="D45" i="7"/>
  <c r="D46" i="7"/>
  <c r="D47" i="7"/>
  <c r="D48" i="7"/>
  <c r="D49" i="7"/>
  <c r="D50" i="7"/>
  <c r="D39" i="7"/>
  <c r="D52" i="7"/>
  <c r="D53" i="7"/>
  <c r="D54" i="7"/>
  <c r="D55" i="7"/>
  <c r="D56" i="7"/>
  <c r="D57" i="7"/>
  <c r="D58" i="7"/>
  <c r="D59" i="7"/>
  <c r="D60" i="7"/>
  <c r="D61" i="7"/>
  <c r="D62" i="7"/>
  <c r="D51" i="7"/>
  <c r="D64" i="7"/>
  <c r="D65" i="7"/>
  <c r="D66" i="7"/>
  <c r="D67" i="7"/>
  <c r="D68" i="7"/>
  <c r="D69" i="7"/>
  <c r="D70" i="7"/>
  <c r="D71" i="7"/>
  <c r="D72" i="7"/>
  <c r="D73" i="7"/>
  <c r="D74" i="7"/>
  <c r="D63" i="7"/>
  <c r="D76" i="7"/>
  <c r="D77" i="7"/>
  <c r="D78" i="7"/>
  <c r="D79" i="7"/>
  <c r="D80" i="7"/>
  <c r="D81" i="7"/>
  <c r="D82" i="7"/>
  <c r="D83" i="7"/>
  <c r="D84" i="7"/>
  <c r="D85" i="7"/>
  <c r="D86" i="7"/>
  <c r="D75" i="7"/>
  <c r="D88" i="7"/>
  <c r="D89" i="7"/>
  <c r="D90" i="7"/>
  <c r="D91" i="7"/>
  <c r="D92" i="7"/>
  <c r="D93" i="7"/>
  <c r="D94" i="7"/>
  <c r="D95" i="7"/>
  <c r="D96" i="7"/>
  <c r="D97" i="7"/>
  <c r="D98" i="7"/>
  <c r="D87" i="7"/>
  <c r="D100" i="7"/>
  <c r="D101" i="7"/>
  <c r="D102" i="7"/>
  <c r="D103" i="7"/>
  <c r="D104" i="7"/>
  <c r="D105" i="7"/>
  <c r="D106" i="7"/>
  <c r="D107" i="7"/>
  <c r="D108" i="7"/>
  <c r="D109" i="7"/>
  <c r="D110" i="7"/>
  <c r="D99" i="7"/>
  <c r="D112" i="7"/>
  <c r="D113" i="7"/>
  <c r="D114" i="7"/>
  <c r="D115" i="7"/>
  <c r="D116" i="7"/>
  <c r="D117" i="7"/>
  <c r="D118" i="7"/>
  <c r="D119" i="7"/>
  <c r="D120" i="7"/>
  <c r="D121" i="7"/>
  <c r="D122" i="7"/>
  <c r="D111" i="7"/>
  <c r="D124" i="7"/>
  <c r="D125" i="7"/>
  <c r="D126" i="7"/>
  <c r="D127" i="7"/>
  <c r="D128" i="7"/>
  <c r="D129" i="7"/>
  <c r="D130" i="7"/>
  <c r="D131" i="7"/>
  <c r="D132" i="7"/>
  <c r="D133" i="7"/>
  <c r="D134" i="7"/>
  <c r="D123" i="7"/>
  <c r="C124" i="7"/>
  <c r="C125" i="7"/>
  <c r="C126" i="7"/>
  <c r="C127" i="7"/>
  <c r="C128" i="7"/>
  <c r="C129" i="7"/>
  <c r="C130" i="7"/>
  <c r="C131" i="7"/>
  <c r="C132" i="7"/>
  <c r="C133" i="7"/>
  <c r="C134" i="7"/>
  <c r="C123" i="7"/>
  <c r="C112" i="7"/>
  <c r="C113" i="7"/>
  <c r="C114" i="7"/>
  <c r="C115" i="7"/>
  <c r="C116" i="7"/>
  <c r="C117" i="7"/>
  <c r="C118" i="7"/>
  <c r="C119" i="7"/>
  <c r="C120" i="7"/>
  <c r="C121" i="7"/>
  <c r="C122" i="7"/>
  <c r="C111" i="7"/>
  <c r="C88" i="7"/>
  <c r="C89" i="7"/>
  <c r="C90" i="7"/>
  <c r="C91" i="7"/>
  <c r="C92" i="7"/>
  <c r="C93" i="7"/>
  <c r="C94" i="7"/>
  <c r="C95" i="7"/>
  <c r="C96" i="7"/>
  <c r="C97" i="7"/>
  <c r="C98" i="7"/>
  <c r="C87" i="7"/>
  <c r="C100" i="7"/>
  <c r="C101" i="7"/>
  <c r="C102" i="7"/>
  <c r="C103" i="7"/>
  <c r="C104" i="7"/>
  <c r="C105" i="7"/>
  <c r="C106" i="7"/>
  <c r="C107" i="7"/>
  <c r="C108" i="7"/>
  <c r="C109" i="7"/>
  <c r="C110" i="7"/>
  <c r="C99" i="7"/>
  <c r="B3" i="58" l="1"/>
  <c r="B3" i="56"/>
  <c r="C17" i="56"/>
  <c r="K30" i="56" s="1"/>
  <c r="M83" i="58"/>
  <c r="M96" i="58"/>
  <c r="C30" i="58"/>
  <c r="K30" i="58"/>
  <c r="C17" i="58"/>
  <c r="K17" i="58" s="1"/>
  <c r="E119" i="58"/>
  <c r="E118" i="58"/>
  <c r="E117" i="58"/>
  <c r="E116" i="58"/>
  <c r="E115" i="58"/>
  <c r="E114" i="58"/>
  <c r="E113" i="58"/>
  <c r="D105" i="58"/>
  <c r="F102" i="58"/>
  <c r="N102" i="58" s="1"/>
  <c r="F101" i="58"/>
  <c r="N101" i="58" s="1"/>
  <c r="F100" i="58"/>
  <c r="F106" i="58"/>
  <c r="N106" i="58" s="1"/>
  <c r="D93" i="58"/>
  <c r="D106" i="58" s="1"/>
  <c r="N92" i="58"/>
  <c r="F92" i="58"/>
  <c r="D92" i="58"/>
  <c r="N91" i="58"/>
  <c r="F91" i="58"/>
  <c r="D91" i="58"/>
  <c r="N90" i="58"/>
  <c r="F90" i="58"/>
  <c r="D89" i="58"/>
  <c r="D102" i="58" s="1"/>
  <c r="D88" i="58"/>
  <c r="D101" i="58" s="1"/>
  <c r="N87" i="58"/>
  <c r="F87" i="58"/>
  <c r="D87" i="58"/>
  <c r="N86" i="58"/>
  <c r="F86" i="58"/>
  <c r="D86" i="58"/>
  <c r="D99" i="58" s="1"/>
  <c r="N85" i="58"/>
  <c r="D85" i="58"/>
  <c r="D98" i="58" s="1"/>
  <c r="N79" i="58"/>
  <c r="N78" i="58"/>
  <c r="N77" i="58"/>
  <c r="N74" i="58"/>
  <c r="F74" i="58"/>
  <c r="N73" i="58"/>
  <c r="N72" i="58"/>
  <c r="F72" i="58"/>
  <c r="F79" i="58" s="1"/>
  <c r="M70" i="58"/>
  <c r="E70" i="58"/>
  <c r="E83" i="58" s="1"/>
  <c r="E96" i="58" s="1"/>
  <c r="D110" i="58" s="1"/>
  <c r="C122" i="58" s="1"/>
  <c r="M67" i="58"/>
  <c r="O67" i="58" s="1"/>
  <c r="D67" i="58"/>
  <c r="D66" i="58"/>
  <c r="D65" i="58"/>
  <c r="D64" i="58"/>
  <c r="M63" i="58"/>
  <c r="E63" i="58"/>
  <c r="D63" i="58"/>
  <c r="D62" i="58"/>
  <c r="B62" i="58"/>
  <c r="B75" i="58" s="1"/>
  <c r="B88" i="58" s="1"/>
  <c r="B101" i="58" s="1"/>
  <c r="B114" i="58" s="1"/>
  <c r="D61" i="58"/>
  <c r="F60" i="58"/>
  <c r="N60" i="58" s="1"/>
  <c r="D60" i="58"/>
  <c r="N59" i="58"/>
  <c r="D59" i="58"/>
  <c r="M57" i="58"/>
  <c r="E57" i="58"/>
  <c r="N54" i="58"/>
  <c r="O54" i="58" s="1"/>
  <c r="G54" i="58"/>
  <c r="E54" i="58"/>
  <c r="E67" i="58" s="1"/>
  <c r="G67" i="58" s="1"/>
  <c r="N53" i="58"/>
  <c r="N52" i="58"/>
  <c r="N51" i="58"/>
  <c r="N50" i="58"/>
  <c r="O50" i="58" s="1"/>
  <c r="E50" i="58"/>
  <c r="G50" i="58" s="1"/>
  <c r="N49" i="58"/>
  <c r="E49" i="58"/>
  <c r="G49" i="58" s="1"/>
  <c r="N48" i="58"/>
  <c r="N47" i="58"/>
  <c r="N46" i="58"/>
  <c r="M44" i="58"/>
  <c r="E44" i="58"/>
  <c r="N41" i="58"/>
  <c r="O41" i="58" s="1"/>
  <c r="F41" i="58"/>
  <c r="N40" i="58"/>
  <c r="O40" i="58" s="1"/>
  <c r="Y40" i="58" s="1"/>
  <c r="F40" i="58"/>
  <c r="N39" i="58"/>
  <c r="F39" i="58"/>
  <c r="N38" i="58"/>
  <c r="F38" i="58"/>
  <c r="N37" i="58"/>
  <c r="O37" i="58" s="1"/>
  <c r="Y37" i="58" s="1"/>
  <c r="F37" i="58"/>
  <c r="N35" i="58"/>
  <c r="O35" i="58" s="1"/>
  <c r="Y35" i="58" s="1"/>
  <c r="F35" i="58"/>
  <c r="N34" i="58"/>
  <c r="F34" i="58"/>
  <c r="N33" i="58"/>
  <c r="F33" i="58"/>
  <c r="N32" i="58"/>
  <c r="F32" i="58"/>
  <c r="M30" i="58"/>
  <c r="E30" i="58"/>
  <c r="C27" i="58"/>
  <c r="K27" i="58" s="1"/>
  <c r="B27" i="58"/>
  <c r="J27" i="58" s="1"/>
  <c r="B54" i="58" s="1"/>
  <c r="B67" i="58" s="1"/>
  <c r="B80" i="58" s="1"/>
  <c r="B93" i="58" s="1"/>
  <c r="B106" i="58" s="1"/>
  <c r="B119" i="58" s="1"/>
  <c r="B26" i="58"/>
  <c r="J26" i="58" s="1"/>
  <c r="B53" i="58" s="1"/>
  <c r="B66" i="58" s="1"/>
  <c r="B79" i="58" s="1"/>
  <c r="B92" i="58" s="1"/>
  <c r="B105" i="58" s="1"/>
  <c r="B118" i="58" s="1"/>
  <c r="B25" i="58"/>
  <c r="J25" i="58" s="1"/>
  <c r="B52" i="58" s="1"/>
  <c r="B65" i="58" s="1"/>
  <c r="B78" i="58" s="1"/>
  <c r="B91" i="58" s="1"/>
  <c r="B104" i="58" s="1"/>
  <c r="B117" i="58" s="1"/>
  <c r="C23" i="58"/>
  <c r="B23" i="58"/>
  <c r="J23" i="58" s="1"/>
  <c r="B50" i="58" s="1"/>
  <c r="B63" i="58" s="1"/>
  <c r="B76" i="58" s="1"/>
  <c r="B89" i="58" s="1"/>
  <c r="B102" i="58" s="1"/>
  <c r="B115" i="58" s="1"/>
  <c r="C22" i="58"/>
  <c r="K22" i="58" s="1"/>
  <c r="B22" i="58"/>
  <c r="J22" i="58" s="1"/>
  <c r="J21" i="58"/>
  <c r="B48" i="58" s="1"/>
  <c r="B61" i="58" s="1"/>
  <c r="B74" i="58" s="1"/>
  <c r="B87" i="58" s="1"/>
  <c r="B100" i="58" s="1"/>
  <c r="B113" i="58" s="1"/>
  <c r="B21" i="58"/>
  <c r="B20" i="58"/>
  <c r="J20" i="58" s="1"/>
  <c r="B47" i="58" s="1"/>
  <c r="B60" i="58" s="1"/>
  <c r="B73" i="58" s="1"/>
  <c r="B86" i="58" s="1"/>
  <c r="B99" i="58" s="1"/>
  <c r="B112" i="58" s="1"/>
  <c r="N19" i="58"/>
  <c r="N23" i="58" s="1"/>
  <c r="J19" i="58"/>
  <c r="B46" i="58" s="1"/>
  <c r="B59" i="58" s="1"/>
  <c r="B72" i="58" s="1"/>
  <c r="B85" i="58" s="1"/>
  <c r="B98" i="58" s="1"/>
  <c r="B111" i="58" s="1"/>
  <c r="F19" i="58"/>
  <c r="F23" i="58" s="1"/>
  <c r="D19" i="58"/>
  <c r="D32" i="58" s="1"/>
  <c r="B19" i="58"/>
  <c r="L17" i="58"/>
  <c r="E17" i="58"/>
  <c r="M17" i="58" s="1"/>
  <c r="D17" i="58"/>
  <c r="D30" i="58" s="1"/>
  <c r="L30" i="58" s="1"/>
  <c r="B4" i="58"/>
  <c r="F104" i="56"/>
  <c r="F103" i="56"/>
  <c r="F102" i="56"/>
  <c r="F97" i="56"/>
  <c r="F101" i="56" s="1"/>
  <c r="N78" i="56"/>
  <c r="N77" i="56"/>
  <c r="N76" i="56"/>
  <c r="N73" i="56"/>
  <c r="N72" i="56"/>
  <c r="N71" i="56"/>
  <c r="F71" i="56"/>
  <c r="F78" i="56" s="1"/>
  <c r="N91" i="56"/>
  <c r="N90" i="56"/>
  <c r="N89" i="56"/>
  <c r="N86" i="56"/>
  <c r="N85" i="56"/>
  <c r="N84" i="56"/>
  <c r="F91" i="56"/>
  <c r="F90" i="56"/>
  <c r="F89" i="56"/>
  <c r="F86" i="56"/>
  <c r="F85" i="56"/>
  <c r="N46" i="56"/>
  <c r="N47" i="56"/>
  <c r="N48" i="56"/>
  <c r="N49" i="56"/>
  <c r="N50" i="56"/>
  <c r="N51" i="56"/>
  <c r="N52" i="56"/>
  <c r="N53" i="56"/>
  <c r="N45" i="56"/>
  <c r="N40" i="56"/>
  <c r="N39" i="56"/>
  <c r="N38" i="56"/>
  <c r="N37" i="56"/>
  <c r="N36" i="56"/>
  <c r="N35" i="56"/>
  <c r="N34" i="56"/>
  <c r="N33" i="56"/>
  <c r="N32" i="56"/>
  <c r="F33" i="56"/>
  <c r="F34" i="56"/>
  <c r="F35" i="56"/>
  <c r="F36" i="56"/>
  <c r="F37" i="56"/>
  <c r="F38" i="56"/>
  <c r="F39" i="56"/>
  <c r="F40" i="56"/>
  <c r="F32" i="56"/>
  <c r="N19" i="56"/>
  <c r="F19" i="56"/>
  <c r="D17" i="56"/>
  <c r="L17" i="56" s="1"/>
  <c r="B4" i="56"/>
  <c r="M69" i="56"/>
  <c r="M82" i="56" s="1"/>
  <c r="M95" i="56" s="1"/>
  <c r="E69" i="56"/>
  <c r="E82" i="56" s="1"/>
  <c r="E95" i="56" s="1"/>
  <c r="D109" i="56" s="1"/>
  <c r="C121" i="56" s="1"/>
  <c r="M56" i="56"/>
  <c r="E56" i="56"/>
  <c r="M30" i="56"/>
  <c r="M43" i="56"/>
  <c r="E43" i="56"/>
  <c r="E30" i="56"/>
  <c r="E17" i="56"/>
  <c r="M17" i="56" s="1"/>
  <c r="D19" i="56"/>
  <c r="N58" i="56"/>
  <c r="F59" i="56"/>
  <c r="N59" i="56" s="1"/>
  <c r="D20" i="56"/>
  <c r="D21" i="56" s="1"/>
  <c r="D22" i="56" s="1"/>
  <c r="D23" i="56" s="1"/>
  <c r="D24" i="56" s="1"/>
  <c r="D25" i="56" s="1"/>
  <c r="D26" i="56" s="1"/>
  <c r="D27" i="56" s="1"/>
  <c r="F24" i="58" l="1"/>
  <c r="N24" i="58"/>
  <c r="N22" i="58"/>
  <c r="F78" i="58"/>
  <c r="F20" i="58"/>
  <c r="N20" i="58"/>
  <c r="F73" i="58"/>
  <c r="N26" i="58"/>
  <c r="E62" i="58"/>
  <c r="N27" i="58"/>
  <c r="F77" i="58"/>
  <c r="F22" i="58"/>
  <c r="N25" i="58"/>
  <c r="F26" i="58"/>
  <c r="L19" i="58"/>
  <c r="L32" i="58" s="1"/>
  <c r="D20" i="58"/>
  <c r="F73" i="56"/>
  <c r="F76" i="56"/>
  <c r="F72" i="56"/>
  <c r="C30" i="56"/>
  <c r="K17" i="56"/>
  <c r="K23" i="58"/>
  <c r="N100" i="58"/>
  <c r="L20" i="58"/>
  <c r="L33" i="58" s="1"/>
  <c r="D33" i="58"/>
  <c r="D21" i="58"/>
  <c r="N21" i="58"/>
  <c r="F25" i="58"/>
  <c r="F27" i="58"/>
  <c r="F103" i="58"/>
  <c r="F61" i="58"/>
  <c r="F99" i="58"/>
  <c r="N99" i="58" s="1"/>
  <c r="F21" i="58"/>
  <c r="N98" i="58"/>
  <c r="F104" i="58"/>
  <c r="F105" i="58"/>
  <c r="N105" i="58" s="1"/>
  <c r="F77" i="56"/>
  <c r="F105" i="56"/>
  <c r="D30" i="56"/>
  <c r="L30" i="56" s="1"/>
  <c r="F98" i="56"/>
  <c r="F60" i="56"/>
  <c r="F99" i="56"/>
  <c r="F100" i="56"/>
  <c r="N103" i="58" l="1"/>
  <c r="L21" i="58"/>
  <c r="D34" i="58"/>
  <c r="D22" i="58"/>
  <c r="N104" i="58"/>
  <c r="N61" i="58"/>
  <c r="F62" i="58"/>
  <c r="N60" i="56"/>
  <c r="F61" i="56"/>
  <c r="L47" i="11"/>
  <c r="K47" i="11"/>
  <c r="K46" i="11"/>
  <c r="J46" i="11"/>
  <c r="M38" i="11"/>
  <c r="L38" i="11"/>
  <c r="K38" i="11"/>
  <c r="J38" i="11"/>
  <c r="F694" i="60" s="1"/>
  <c r="M37" i="11"/>
  <c r="L37" i="11"/>
  <c r="K37" i="11"/>
  <c r="M34" i="11"/>
  <c r="L34" i="11"/>
  <c r="K34" i="11"/>
  <c r="M33" i="11"/>
  <c r="L33" i="11"/>
  <c r="K33" i="11"/>
  <c r="J33" i="11"/>
  <c r="M32" i="11"/>
  <c r="L32" i="11"/>
  <c r="K32" i="11"/>
  <c r="M29" i="11"/>
  <c r="L29" i="11"/>
  <c r="K29" i="11"/>
  <c r="M28" i="11"/>
  <c r="L28" i="11"/>
  <c r="K28" i="11"/>
  <c r="J28" i="11"/>
  <c r="M27" i="11"/>
  <c r="L27" i="11"/>
  <c r="K27" i="11"/>
  <c r="M24" i="11"/>
  <c r="L24" i="11"/>
  <c r="K24" i="11"/>
  <c r="M23" i="11"/>
  <c r="L23" i="11"/>
  <c r="K23" i="11"/>
  <c r="J23" i="11"/>
  <c r="M22" i="11"/>
  <c r="L22" i="11"/>
  <c r="K22" i="11"/>
  <c r="M18" i="11"/>
  <c r="L18" i="11"/>
  <c r="K18" i="11"/>
  <c r="J18" i="11"/>
  <c r="M17" i="11"/>
  <c r="L17" i="11"/>
  <c r="K17" i="11"/>
  <c r="M13" i="11"/>
  <c r="L13" i="11"/>
  <c r="K13" i="11"/>
  <c r="J13" i="11"/>
  <c r="B17" i="11"/>
  <c r="C17" i="11"/>
  <c r="D17" i="11"/>
  <c r="E17" i="11"/>
  <c r="F17" i="11"/>
  <c r="G17" i="11"/>
  <c r="H17" i="11"/>
  <c r="J17" i="11"/>
  <c r="C690" i="60" s="1"/>
  <c r="M12" i="11"/>
  <c r="L12" i="11"/>
  <c r="K12" i="11"/>
  <c r="K8" i="11"/>
  <c r="J8" i="11"/>
  <c r="C671" i="60" l="1"/>
  <c r="J671" i="60" s="1"/>
  <c r="B690" i="60"/>
  <c r="I690" i="60" s="1"/>
  <c r="D555" i="60"/>
  <c r="B71" i="60"/>
  <c r="C652" i="60"/>
  <c r="B671" i="60"/>
  <c r="B679" i="60" s="1"/>
  <c r="M678" i="60" s="1"/>
  <c r="C633" i="60"/>
  <c r="B652" i="60"/>
  <c r="B70" i="60"/>
  <c r="C555" i="60"/>
  <c r="C614" i="60"/>
  <c r="B633" i="60"/>
  <c r="B614" i="60"/>
  <c r="C595" i="60"/>
  <c r="E702" i="60"/>
  <c r="N701" i="60" s="1"/>
  <c r="N62" i="58"/>
  <c r="F63" i="58"/>
  <c r="G62" i="58"/>
  <c r="L22" i="58"/>
  <c r="D23" i="58"/>
  <c r="D35" i="58"/>
  <c r="E22" i="58"/>
  <c r="L34" i="58"/>
  <c r="F62" i="56"/>
  <c r="N61" i="56"/>
  <c r="L43" i="11"/>
  <c r="L52" i="11" s="1"/>
  <c r="K43" i="11"/>
  <c r="K52" i="11" s="1"/>
  <c r="M42" i="11"/>
  <c r="M43" i="11"/>
  <c r="L42" i="11"/>
  <c r="K42" i="11"/>
  <c r="K51" i="11" s="1"/>
  <c r="M41" i="11"/>
  <c r="K41" i="11"/>
  <c r="L41" i="11"/>
  <c r="E118" i="56"/>
  <c r="E117" i="56"/>
  <c r="E116" i="56"/>
  <c r="E115" i="56"/>
  <c r="E114" i="56"/>
  <c r="E113" i="56"/>
  <c r="N105" i="56"/>
  <c r="O105" i="56" s="1"/>
  <c r="N104" i="56"/>
  <c r="N103" i="56"/>
  <c r="G103" i="56"/>
  <c r="N102" i="56"/>
  <c r="G102" i="56"/>
  <c r="N101" i="56"/>
  <c r="O101" i="56" s="1"/>
  <c r="N100" i="56"/>
  <c r="O100" i="56" s="1"/>
  <c r="N99" i="56"/>
  <c r="G99" i="56"/>
  <c r="N98" i="56"/>
  <c r="N97" i="56"/>
  <c r="D92" i="56"/>
  <c r="D105" i="56" s="1"/>
  <c r="D91" i="56"/>
  <c r="D104" i="56" s="1"/>
  <c r="D90" i="56"/>
  <c r="D88" i="56"/>
  <c r="D101" i="56" s="1"/>
  <c r="D87" i="56"/>
  <c r="D100" i="56" s="1"/>
  <c r="D86" i="56"/>
  <c r="D85" i="56"/>
  <c r="D98" i="56" s="1"/>
  <c r="D84" i="56"/>
  <c r="D97" i="56" s="1"/>
  <c r="G77" i="56"/>
  <c r="M66" i="56"/>
  <c r="O66" i="56" s="1"/>
  <c r="D66" i="56"/>
  <c r="M65" i="56"/>
  <c r="D65" i="56"/>
  <c r="E64" i="56"/>
  <c r="D64" i="56"/>
  <c r="D63" i="56"/>
  <c r="M62" i="56"/>
  <c r="D62" i="56"/>
  <c r="M61" i="56"/>
  <c r="O61" i="56" s="1"/>
  <c r="D61" i="56"/>
  <c r="E60" i="56"/>
  <c r="G60" i="56" s="1"/>
  <c r="D60" i="56"/>
  <c r="D59" i="56"/>
  <c r="D58" i="56"/>
  <c r="O53" i="56"/>
  <c r="E53" i="56"/>
  <c r="E66" i="56" s="1"/>
  <c r="G66" i="56" s="1"/>
  <c r="O52" i="56"/>
  <c r="G51" i="56"/>
  <c r="G50" i="56"/>
  <c r="O49" i="56"/>
  <c r="E49" i="56"/>
  <c r="O48" i="56"/>
  <c r="E48" i="56"/>
  <c r="G48" i="56" s="1"/>
  <c r="G47" i="56"/>
  <c r="O40" i="56"/>
  <c r="O39" i="56"/>
  <c r="D37" i="56"/>
  <c r="O36" i="56"/>
  <c r="O35" i="56"/>
  <c r="N27" i="56"/>
  <c r="F27" i="56"/>
  <c r="D40" i="56"/>
  <c r="C27" i="56"/>
  <c r="K27" i="56" s="1"/>
  <c r="B27" i="56"/>
  <c r="J27" i="56" s="1"/>
  <c r="B53" i="56" s="1"/>
  <c r="B66" i="56" s="1"/>
  <c r="B79" i="56" s="1"/>
  <c r="B92" i="56" s="1"/>
  <c r="B105" i="56" s="1"/>
  <c r="B118" i="56" s="1"/>
  <c r="N26" i="56"/>
  <c r="F26" i="56"/>
  <c r="L26" i="56"/>
  <c r="L39" i="56" s="1"/>
  <c r="B26" i="56"/>
  <c r="J26" i="56" s="1"/>
  <c r="B52" i="56" s="1"/>
  <c r="B65" i="56" s="1"/>
  <c r="B78" i="56" s="1"/>
  <c r="B91" i="56" s="1"/>
  <c r="B104" i="56" s="1"/>
  <c r="B117" i="56" s="1"/>
  <c r="N25" i="56"/>
  <c r="F25" i="56"/>
  <c r="D38" i="56"/>
  <c r="B25" i="56"/>
  <c r="J25" i="56" s="1"/>
  <c r="B51" i="56" s="1"/>
  <c r="B64" i="56" s="1"/>
  <c r="B77" i="56" s="1"/>
  <c r="B90" i="56" s="1"/>
  <c r="B103" i="56" s="1"/>
  <c r="B116" i="56" s="1"/>
  <c r="N24" i="56"/>
  <c r="L24" i="56"/>
  <c r="L37" i="56" s="1"/>
  <c r="N23" i="56"/>
  <c r="L23" i="56"/>
  <c r="L36" i="56" s="1"/>
  <c r="D36" i="56"/>
  <c r="C23" i="56"/>
  <c r="B23" i="56"/>
  <c r="J23" i="56" s="1"/>
  <c r="B49" i="56" s="1"/>
  <c r="B62" i="56" s="1"/>
  <c r="B75" i="56" s="1"/>
  <c r="B88" i="56" s="1"/>
  <c r="B101" i="56" s="1"/>
  <c r="B114" i="56" s="1"/>
  <c r="N22" i="56"/>
  <c r="F22" i="56"/>
  <c r="C22" i="56"/>
  <c r="E22" i="56" s="1"/>
  <c r="B22" i="56"/>
  <c r="J22" i="56" s="1"/>
  <c r="B48" i="56" s="1"/>
  <c r="B61" i="56" s="1"/>
  <c r="B74" i="56" s="1"/>
  <c r="B87" i="56" s="1"/>
  <c r="B100" i="56" s="1"/>
  <c r="B113" i="56" s="1"/>
  <c r="N21" i="56"/>
  <c r="D34" i="56"/>
  <c r="B21" i="56"/>
  <c r="J21" i="56" s="1"/>
  <c r="B47" i="56" s="1"/>
  <c r="B60" i="56" s="1"/>
  <c r="B73" i="56" s="1"/>
  <c r="B86" i="56" s="1"/>
  <c r="B99" i="56" s="1"/>
  <c r="B112" i="56" s="1"/>
  <c r="N20" i="56"/>
  <c r="F20" i="56"/>
  <c r="B20" i="56"/>
  <c r="J20" i="56" s="1"/>
  <c r="B46" i="56" s="1"/>
  <c r="B59" i="56" s="1"/>
  <c r="B72" i="56" s="1"/>
  <c r="B85" i="56" s="1"/>
  <c r="B98" i="56" s="1"/>
  <c r="B111" i="56" s="1"/>
  <c r="L19" i="56"/>
  <c r="L32" i="56" s="1"/>
  <c r="F24" i="56"/>
  <c r="D32" i="56"/>
  <c r="B19" i="56"/>
  <c r="J19" i="56" s="1"/>
  <c r="B45" i="56" s="1"/>
  <c r="B58" i="56" s="1"/>
  <c r="B71" i="56" s="1"/>
  <c r="B84" i="56" s="1"/>
  <c r="B97" i="56" s="1"/>
  <c r="B110" i="56" s="1"/>
  <c r="X35" i="11" l="1"/>
  <c r="B698" i="60"/>
  <c r="M697" i="60" s="1"/>
  <c r="B603" i="60"/>
  <c r="B641" i="60"/>
  <c r="M640" i="60" s="1"/>
  <c r="B622" i="60"/>
  <c r="B660" i="60"/>
  <c r="M659" i="60" s="1"/>
  <c r="C71" i="60"/>
  <c r="G53" i="56"/>
  <c r="L35" i="58"/>
  <c r="M22" i="58"/>
  <c r="N63" i="58"/>
  <c r="O63" i="58" s="1"/>
  <c r="F64" i="58"/>
  <c r="G63" i="58"/>
  <c r="E88" i="58"/>
  <c r="G22" i="58"/>
  <c r="L23" i="58"/>
  <c r="D24" i="58"/>
  <c r="D37" i="58"/>
  <c r="E23" i="58"/>
  <c r="G22" i="56"/>
  <c r="K22" i="56"/>
  <c r="F63" i="56"/>
  <c r="N62" i="56"/>
  <c r="O62" i="56" s="1"/>
  <c r="L21" i="56"/>
  <c r="L34" i="56" s="1"/>
  <c r="D39" i="56"/>
  <c r="E27" i="56"/>
  <c r="G49" i="56"/>
  <c r="E62" i="56"/>
  <c r="G62" i="56" s="1"/>
  <c r="E87" i="56"/>
  <c r="K23" i="56"/>
  <c r="M23" i="56" s="1"/>
  <c r="E23" i="56"/>
  <c r="L25" i="56"/>
  <c r="L38" i="56" s="1"/>
  <c r="L27" i="56"/>
  <c r="L40" i="56" s="1"/>
  <c r="D35" i="56"/>
  <c r="L22" i="56"/>
  <c r="L35" i="56" s="1"/>
  <c r="E61" i="56"/>
  <c r="G61" i="56" s="1"/>
  <c r="D33" i="56"/>
  <c r="L20" i="56"/>
  <c r="L33" i="56" s="1"/>
  <c r="F21" i="56"/>
  <c r="F23" i="56"/>
  <c r="C46" i="32"/>
  <c r="D46" i="32"/>
  <c r="E46" i="32"/>
  <c r="F46" i="32"/>
  <c r="G46" i="32"/>
  <c r="H46" i="32"/>
  <c r="I46" i="32"/>
  <c r="J46" i="32"/>
  <c r="K46" i="32"/>
  <c r="L46" i="32"/>
  <c r="M46" i="32"/>
  <c r="N46" i="32"/>
  <c r="O46" i="32"/>
  <c r="P46" i="32"/>
  <c r="Q46" i="32"/>
  <c r="R46" i="32"/>
  <c r="S46" i="32"/>
  <c r="T46" i="32"/>
  <c r="U46" i="32"/>
  <c r="V46" i="32"/>
  <c r="W46" i="32"/>
  <c r="X46" i="32"/>
  <c r="Y46" i="32"/>
  <c r="Z46" i="32"/>
  <c r="AA46" i="32"/>
  <c r="AB46" i="32"/>
  <c r="C47" i="32"/>
  <c r="D47" i="32"/>
  <c r="E47" i="32"/>
  <c r="F47" i="32"/>
  <c r="G47" i="32"/>
  <c r="H47" i="32"/>
  <c r="I47" i="32"/>
  <c r="J47" i="32"/>
  <c r="K47" i="32"/>
  <c r="L47" i="32"/>
  <c r="M47" i="32"/>
  <c r="N47" i="32"/>
  <c r="O47" i="32"/>
  <c r="P47" i="32"/>
  <c r="Q47" i="32"/>
  <c r="R47" i="32"/>
  <c r="S47" i="32"/>
  <c r="T47" i="32"/>
  <c r="U47" i="32"/>
  <c r="V47" i="32"/>
  <c r="W47" i="32"/>
  <c r="X47" i="32"/>
  <c r="Y47" i="32"/>
  <c r="Z47" i="32"/>
  <c r="AA47" i="32"/>
  <c r="AB47" i="32"/>
  <c r="C48" i="32"/>
  <c r="D48" i="32"/>
  <c r="E48" i="32"/>
  <c r="F48" i="32"/>
  <c r="G48" i="32"/>
  <c r="H48" i="32"/>
  <c r="I48" i="32"/>
  <c r="J48" i="32"/>
  <c r="K48" i="32"/>
  <c r="L48" i="32"/>
  <c r="M48" i="32"/>
  <c r="N48" i="32"/>
  <c r="O48" i="32"/>
  <c r="P48" i="32"/>
  <c r="Q48" i="32"/>
  <c r="R48" i="32"/>
  <c r="S48" i="32"/>
  <c r="T48" i="32"/>
  <c r="U48" i="32"/>
  <c r="V48" i="32"/>
  <c r="W48" i="32"/>
  <c r="X48" i="32"/>
  <c r="Y48" i="32"/>
  <c r="Z48" i="32"/>
  <c r="AA48" i="32"/>
  <c r="AB48" i="32"/>
  <c r="D45" i="32"/>
  <c r="E45" i="32"/>
  <c r="F45" i="32"/>
  <c r="G45" i="32"/>
  <c r="H45" i="32"/>
  <c r="I45" i="32"/>
  <c r="J45" i="32"/>
  <c r="K45" i="32"/>
  <c r="L45" i="32"/>
  <c r="M45" i="32"/>
  <c r="N45" i="32"/>
  <c r="O45" i="32"/>
  <c r="P45" i="32"/>
  <c r="Q45" i="32"/>
  <c r="R45" i="32"/>
  <c r="S45" i="32"/>
  <c r="T45" i="32"/>
  <c r="U45" i="32"/>
  <c r="V45" i="32"/>
  <c r="W45" i="32"/>
  <c r="X45" i="32"/>
  <c r="Y45" i="32"/>
  <c r="Z45" i="32"/>
  <c r="AA45" i="32"/>
  <c r="AB45" i="32"/>
  <c r="C45" i="32"/>
  <c r="B48" i="32"/>
  <c r="B47" i="32"/>
  <c r="B46" i="32"/>
  <c r="B45" i="32"/>
  <c r="X40" i="11" l="1"/>
  <c r="G88" i="58"/>
  <c r="E101" i="58"/>
  <c r="L37" i="58"/>
  <c r="M23" i="58"/>
  <c r="M75" i="58"/>
  <c r="O75" i="58" s="1"/>
  <c r="M88" i="58"/>
  <c r="O22" i="58"/>
  <c r="Y22" i="58" s="1"/>
  <c r="D25" i="58"/>
  <c r="D38" i="58"/>
  <c r="L24" i="58"/>
  <c r="G23" i="58"/>
  <c r="E89" i="58"/>
  <c r="E75" i="58"/>
  <c r="G75" i="58" s="1"/>
  <c r="G64" i="58"/>
  <c r="N64" i="58"/>
  <c r="F65" i="58"/>
  <c r="F64" i="56"/>
  <c r="N63" i="56"/>
  <c r="G63" i="56"/>
  <c r="E88" i="56"/>
  <c r="G23" i="56"/>
  <c r="E75" i="56"/>
  <c r="G75" i="56" s="1"/>
  <c r="M88" i="56"/>
  <c r="O88" i="56" s="1"/>
  <c r="O23" i="56"/>
  <c r="M75" i="56"/>
  <c r="O75" i="56" s="1"/>
  <c r="M22" i="56"/>
  <c r="G27" i="56"/>
  <c r="E92" i="56"/>
  <c r="G87" i="56"/>
  <c r="E100" i="56"/>
  <c r="G100" i="56" s="1"/>
  <c r="M27" i="56"/>
  <c r="B24" i="18"/>
  <c r="C24" i="18"/>
  <c r="D24" i="18"/>
  <c r="B25" i="18"/>
  <c r="C25" i="18"/>
  <c r="D25" i="18"/>
  <c r="B26" i="18"/>
  <c r="B424" i="60" s="1"/>
  <c r="C26" i="18"/>
  <c r="D26" i="18"/>
  <c r="E9" i="18"/>
  <c r="E10" i="18"/>
  <c r="E11" i="18"/>
  <c r="I32" i="9"/>
  <c r="J32" i="9"/>
  <c r="K32" i="9"/>
  <c r="L32" i="9"/>
  <c r="M32" i="9"/>
  <c r="I33" i="9"/>
  <c r="J33" i="9"/>
  <c r="K33" i="9"/>
  <c r="L33" i="9"/>
  <c r="M33" i="9"/>
  <c r="I34" i="9"/>
  <c r="J34" i="9"/>
  <c r="K34" i="9"/>
  <c r="L34" i="9"/>
  <c r="M34" i="9"/>
  <c r="H32" i="9"/>
  <c r="H33" i="9"/>
  <c r="H34" i="9"/>
  <c r="M35" i="9"/>
  <c r="L35" i="9"/>
  <c r="F305" i="60" s="1"/>
  <c r="K35" i="9"/>
  <c r="E305" i="60" s="1"/>
  <c r="J35" i="9"/>
  <c r="D305" i="60" s="1"/>
  <c r="I35" i="9"/>
  <c r="C305" i="60" s="1"/>
  <c r="H35" i="9"/>
  <c r="B305" i="60" s="1"/>
  <c r="G14" i="9"/>
  <c r="G15" i="9"/>
  <c r="G13" i="9"/>
  <c r="B4" i="52"/>
  <c r="B5" i="52"/>
  <c r="B6" i="52"/>
  <c r="B7" i="52"/>
  <c r="B8" i="52"/>
  <c r="B9" i="52"/>
  <c r="B10" i="52"/>
  <c r="B11" i="52"/>
  <c r="B12" i="52"/>
  <c r="B13" i="52"/>
  <c r="B14" i="52"/>
  <c r="B15" i="52"/>
  <c r="B16" i="52"/>
  <c r="B17" i="52"/>
  <c r="B18" i="52"/>
  <c r="B19" i="52"/>
  <c r="B165" i="52" s="1"/>
  <c r="B20" i="52"/>
  <c r="B21" i="52"/>
  <c r="B22"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3" i="52"/>
  <c r="H4" i="52"/>
  <c r="H5" i="52"/>
  <c r="H6" i="52"/>
  <c r="H7" i="52"/>
  <c r="H8" i="52"/>
  <c r="H9" i="52"/>
  <c r="H10" i="52"/>
  <c r="H11" i="52"/>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2" i="52"/>
  <c r="H43" i="52"/>
  <c r="H44" i="52"/>
  <c r="H45" i="52"/>
  <c r="H46" i="52"/>
  <c r="H47" i="52"/>
  <c r="H48" i="52"/>
  <c r="H49" i="52"/>
  <c r="H50" i="52"/>
  <c r="H51" i="52"/>
  <c r="H52" i="52"/>
  <c r="H53" i="52"/>
  <c r="H54" i="52"/>
  <c r="H55" i="52"/>
  <c r="H56" i="52"/>
  <c r="H57" i="52"/>
  <c r="H58" i="52"/>
  <c r="H59" i="52"/>
  <c r="H60" i="52"/>
  <c r="H61" i="52"/>
  <c r="H62" i="52"/>
  <c r="H63" i="52"/>
  <c r="H64" i="52"/>
  <c r="H65" i="52"/>
  <c r="H66" i="52"/>
  <c r="H67" i="52"/>
  <c r="H68" i="52"/>
  <c r="H69" i="52"/>
  <c r="H70" i="52"/>
  <c r="H71" i="52"/>
  <c r="H72" i="52"/>
  <c r="H73" i="52"/>
  <c r="H74" i="52"/>
  <c r="H75" i="52"/>
  <c r="H76" i="52"/>
  <c r="H77" i="52"/>
  <c r="H78" i="52"/>
  <c r="H79" i="52"/>
  <c r="H80" i="52"/>
  <c r="H81" i="52"/>
  <c r="H82" i="52"/>
  <c r="H83" i="52"/>
  <c r="H84" i="52"/>
  <c r="H85" i="52"/>
  <c r="H86" i="52"/>
  <c r="H100" i="52"/>
  <c r="H101" i="52"/>
  <c r="H102" i="52"/>
  <c r="H103" i="52"/>
  <c r="H104" i="52"/>
  <c r="H105" i="52"/>
  <c r="H106" i="52"/>
  <c r="H107" i="52"/>
  <c r="H108" i="52"/>
  <c r="H109" i="52"/>
  <c r="H110" i="52"/>
  <c r="H111" i="52"/>
  <c r="H112" i="52"/>
  <c r="H113" i="52"/>
  <c r="H114" i="52"/>
  <c r="H115" i="52"/>
  <c r="H116" i="52"/>
  <c r="H117" i="52"/>
  <c r="H118" i="52"/>
  <c r="H119" i="52"/>
  <c r="H120" i="52"/>
  <c r="H121" i="52"/>
  <c r="H122" i="52"/>
  <c r="H3" i="52"/>
  <c r="AB41" i="32"/>
  <c r="AB21" i="32"/>
  <c r="AD39" i="32"/>
  <c r="D196" i="52" s="1"/>
  <c r="AC37" i="32"/>
  <c r="AC36" i="32"/>
  <c r="AC33" i="32"/>
  <c r="AD17" i="32"/>
  <c r="C194" i="52" s="1"/>
  <c r="AD13" i="32"/>
  <c r="C190" i="52" s="1"/>
  <c r="AC12" i="32"/>
  <c r="AD16" i="32"/>
  <c r="C193" i="52" s="1"/>
  <c r="H87" i="7"/>
  <c r="D29" i="17"/>
  <c r="E29" i="17"/>
  <c r="F29" i="17"/>
  <c r="G29" i="17"/>
  <c r="D30" i="17"/>
  <c r="E30" i="17"/>
  <c r="F30" i="17"/>
  <c r="G30" i="17"/>
  <c r="D31" i="17"/>
  <c r="E31" i="17"/>
  <c r="F31" i="17"/>
  <c r="G31" i="17"/>
  <c r="D32" i="17"/>
  <c r="E32" i="17"/>
  <c r="F32" i="17"/>
  <c r="G32" i="17"/>
  <c r="C29" i="17"/>
  <c r="C30" i="17"/>
  <c r="C31" i="17"/>
  <c r="C32" i="17"/>
  <c r="B29" i="17"/>
  <c r="B30" i="17"/>
  <c r="B31" i="17"/>
  <c r="B32" i="17"/>
  <c r="G196" i="52"/>
  <c r="F196" i="52"/>
  <c r="E196" i="52"/>
  <c r="G195" i="52"/>
  <c r="F195" i="52"/>
  <c r="E195" i="52"/>
  <c r="G194" i="52"/>
  <c r="F194" i="52"/>
  <c r="E194" i="52"/>
  <c r="G193" i="52"/>
  <c r="F193" i="52"/>
  <c r="E193" i="52"/>
  <c r="G192" i="52"/>
  <c r="F192" i="52"/>
  <c r="E192" i="52"/>
  <c r="G191" i="52"/>
  <c r="F191" i="52"/>
  <c r="E191" i="52"/>
  <c r="G190" i="52"/>
  <c r="F190" i="52"/>
  <c r="E190" i="52"/>
  <c r="G189" i="52"/>
  <c r="F189" i="52"/>
  <c r="E189" i="52"/>
  <c r="G188" i="52"/>
  <c r="F188" i="52"/>
  <c r="E188" i="52"/>
  <c r="G187" i="52"/>
  <c r="F187" i="52"/>
  <c r="E187" i="52"/>
  <c r="G186" i="52"/>
  <c r="F186" i="52"/>
  <c r="E186" i="52"/>
  <c r="G185" i="52"/>
  <c r="F185" i="52"/>
  <c r="E185" i="52"/>
  <c r="B172" i="52"/>
  <c r="K162" i="52"/>
  <c r="I134" i="52"/>
  <c r="I133" i="52"/>
  <c r="I132" i="52"/>
  <c r="I131" i="52"/>
  <c r="I130" i="52"/>
  <c r="I129" i="52"/>
  <c r="I128" i="52"/>
  <c r="I127" i="52"/>
  <c r="I126" i="52"/>
  <c r="I125" i="52"/>
  <c r="I124" i="52"/>
  <c r="I123" i="52"/>
  <c r="I122" i="52"/>
  <c r="I121" i="52"/>
  <c r="I120" i="52"/>
  <c r="I119" i="52"/>
  <c r="I118" i="52"/>
  <c r="I117" i="52"/>
  <c r="I116" i="52"/>
  <c r="I115" i="52"/>
  <c r="I114" i="52"/>
  <c r="I113" i="52"/>
  <c r="I112" i="52"/>
  <c r="I111" i="52"/>
  <c r="I110" i="52"/>
  <c r="I109" i="52"/>
  <c r="I108" i="52"/>
  <c r="I107" i="52"/>
  <c r="I106" i="52"/>
  <c r="I105" i="52"/>
  <c r="I104" i="52"/>
  <c r="I103" i="52"/>
  <c r="I102" i="52"/>
  <c r="I101" i="52"/>
  <c r="I100" i="52"/>
  <c r="I99" i="52"/>
  <c r="K97" i="52"/>
  <c r="K96" i="52"/>
  <c r="K95" i="52"/>
  <c r="K94" i="52"/>
  <c r="L94" i="52" s="1"/>
  <c r="K93" i="52"/>
  <c r="K92" i="52"/>
  <c r="L92" i="52" s="1"/>
  <c r="K91" i="52"/>
  <c r="L91" i="52" s="1"/>
  <c r="K90" i="52"/>
  <c r="K89" i="52"/>
  <c r="K88" i="52"/>
  <c r="L88" i="52" s="1"/>
  <c r="J88" i="52"/>
  <c r="J89" i="52" s="1"/>
  <c r="J90" i="52" s="1"/>
  <c r="J91" i="52" s="1"/>
  <c r="J92" i="52" s="1"/>
  <c r="J93" i="52" s="1"/>
  <c r="J94" i="52" s="1"/>
  <c r="J95" i="52" s="1"/>
  <c r="J96" i="52" s="1"/>
  <c r="J97" i="52" s="1"/>
  <c r="J98" i="52" s="1"/>
  <c r="K87" i="52"/>
  <c r="L87" i="52" s="1"/>
  <c r="K86" i="52"/>
  <c r="K85" i="52"/>
  <c r="K84" i="52"/>
  <c r="K83" i="52"/>
  <c r="K82" i="52"/>
  <c r="K81" i="52"/>
  <c r="K80" i="52"/>
  <c r="K79" i="52"/>
  <c r="K78" i="52"/>
  <c r="K77" i="52"/>
  <c r="K76" i="52"/>
  <c r="K75" i="52"/>
  <c r="K74" i="52"/>
  <c r="K73" i="52"/>
  <c r="K72" i="52"/>
  <c r="K71" i="52"/>
  <c r="K70" i="52"/>
  <c r="K69" i="52"/>
  <c r="K68" i="52"/>
  <c r="K67" i="52"/>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K39" i="52"/>
  <c r="K38" i="52"/>
  <c r="K37" i="52"/>
  <c r="K36" i="52"/>
  <c r="K35" i="52"/>
  <c r="K34" i="52"/>
  <c r="K33" i="52"/>
  <c r="K32" i="52"/>
  <c r="K31" i="52"/>
  <c r="K30" i="52"/>
  <c r="K29" i="52"/>
  <c r="K28" i="52"/>
  <c r="K27" i="52"/>
  <c r="K26" i="52"/>
  <c r="K25" i="52"/>
  <c r="K24" i="52"/>
  <c r="K23" i="52"/>
  <c r="K22" i="52"/>
  <c r="K21" i="52"/>
  <c r="K20" i="52"/>
  <c r="K19" i="52"/>
  <c r="K18" i="52"/>
  <c r="K17" i="52"/>
  <c r="K16" i="52"/>
  <c r="K15" i="52"/>
  <c r="K14" i="52"/>
  <c r="K13" i="52"/>
  <c r="K12" i="52"/>
  <c r="K11" i="52"/>
  <c r="K10" i="52"/>
  <c r="K9" i="52"/>
  <c r="K8" i="52"/>
  <c r="K7" i="52"/>
  <c r="K6" i="52"/>
  <c r="K5" i="52"/>
  <c r="K4" i="52"/>
  <c r="K3" i="52"/>
  <c r="B172" i="7"/>
  <c r="K4" i="11" s="1"/>
  <c r="AD9" i="32"/>
  <c r="C186" i="52" s="1"/>
  <c r="AD10" i="32"/>
  <c r="C187" i="52" s="1"/>
  <c r="AD11" i="32"/>
  <c r="C188" i="52" s="1"/>
  <c r="AD12" i="32"/>
  <c r="C189" i="52" s="1"/>
  <c r="AD14" i="32"/>
  <c r="C191" i="52" s="1"/>
  <c r="AD15" i="32"/>
  <c r="C192" i="52" s="1"/>
  <c r="AD18" i="32"/>
  <c r="C195" i="52" s="1"/>
  <c r="AD19" i="32"/>
  <c r="C196" i="52" s="1"/>
  <c r="AD8" i="32"/>
  <c r="C185" i="52" s="1"/>
  <c r="AC9" i="32"/>
  <c r="AC10" i="32"/>
  <c r="AC11" i="32"/>
  <c r="AC13" i="32"/>
  <c r="AC14" i="32"/>
  <c r="AC15" i="32"/>
  <c r="AC17" i="32"/>
  <c r="AC18" i="32"/>
  <c r="AC19" i="32"/>
  <c r="AC8" i="32"/>
  <c r="AD29" i="32"/>
  <c r="D186" i="52" s="1"/>
  <c r="AD30" i="32"/>
  <c r="D187" i="52" s="1"/>
  <c r="AD31" i="32"/>
  <c r="D188" i="52" s="1"/>
  <c r="AD32" i="32"/>
  <c r="D189" i="52" s="1"/>
  <c r="AD33" i="32"/>
  <c r="D190" i="52" s="1"/>
  <c r="AD34" i="32"/>
  <c r="D191" i="52" s="1"/>
  <c r="AD35" i="32"/>
  <c r="D192" i="52" s="1"/>
  <c r="AD37" i="32"/>
  <c r="D194" i="52" s="1"/>
  <c r="AD38" i="32"/>
  <c r="D195" i="52" s="1"/>
  <c r="AD28" i="32"/>
  <c r="D185" i="52" s="1"/>
  <c r="AC29" i="32"/>
  <c r="AC30" i="32"/>
  <c r="AC31" i="32"/>
  <c r="AC32" i="32"/>
  <c r="AC34" i="32"/>
  <c r="AC35" i="32"/>
  <c r="AC38" i="32"/>
  <c r="AC28" i="32"/>
  <c r="Y41" i="32"/>
  <c r="Z41" i="32"/>
  <c r="AA41" i="32"/>
  <c r="Y21" i="32"/>
  <c r="Z21" i="32"/>
  <c r="AA21" i="32"/>
  <c r="B170" i="52" l="1"/>
  <c r="B168" i="52"/>
  <c r="B14" i="9"/>
  <c r="B241" i="60"/>
  <c r="D548" i="60"/>
  <c r="B171" i="52"/>
  <c r="B169" i="52"/>
  <c r="B166" i="52"/>
  <c r="B167" i="52"/>
  <c r="J47" i="9"/>
  <c r="H89" i="7"/>
  <c r="Q87" i="7"/>
  <c r="L46" i="11"/>
  <c r="L51" i="11" s="1"/>
  <c r="L8" i="11"/>
  <c r="O88" i="58"/>
  <c r="M101" i="58"/>
  <c r="O101" i="58" s="1"/>
  <c r="G305" i="60"/>
  <c r="H128" i="7"/>
  <c r="L38" i="58"/>
  <c r="M76" i="58"/>
  <c r="O76" i="58" s="1"/>
  <c r="M89" i="58"/>
  <c r="O23" i="58"/>
  <c r="Y23" i="58" s="1"/>
  <c r="Y118" i="58" s="1"/>
  <c r="E102" i="58"/>
  <c r="G102" i="58" s="1"/>
  <c r="G89" i="58"/>
  <c r="D26" i="58"/>
  <c r="D39" i="58"/>
  <c r="L25" i="58"/>
  <c r="G101" i="58"/>
  <c r="E76" i="58"/>
  <c r="G76" i="58" s="1"/>
  <c r="N65" i="58"/>
  <c r="F66" i="58"/>
  <c r="N66" i="58" s="1"/>
  <c r="F65" i="56"/>
  <c r="N65" i="56" s="1"/>
  <c r="O65" i="56" s="1"/>
  <c r="N64" i="56"/>
  <c r="G64" i="56"/>
  <c r="M92" i="56"/>
  <c r="O92" i="56" s="1"/>
  <c r="M79" i="56"/>
  <c r="O79" i="56" s="1"/>
  <c r="O27" i="56"/>
  <c r="E79" i="56"/>
  <c r="G79" i="56" s="1"/>
  <c r="E105" i="56"/>
  <c r="G105" i="56" s="1"/>
  <c r="G92" i="56"/>
  <c r="O22" i="56"/>
  <c r="M74" i="56"/>
  <c r="O74" i="56" s="1"/>
  <c r="M87" i="56"/>
  <c r="O87" i="56" s="1"/>
  <c r="E74" i="56"/>
  <c r="G74" i="56" s="1"/>
  <c r="E101" i="56"/>
  <c r="G101" i="56" s="1"/>
  <c r="G88" i="56"/>
  <c r="L48" i="9"/>
  <c r="L49" i="9"/>
  <c r="I47" i="9"/>
  <c r="L47" i="9"/>
  <c r="K48" i="9"/>
  <c r="H47" i="9"/>
  <c r="J48" i="9"/>
  <c r="H48" i="9"/>
  <c r="I48" i="9"/>
  <c r="K47" i="9"/>
  <c r="M47" i="9"/>
  <c r="B27" i="18"/>
  <c r="C27" i="18"/>
  <c r="D27" i="18"/>
  <c r="E12" i="18"/>
  <c r="M47" i="11" s="1"/>
  <c r="M52" i="11" s="1"/>
  <c r="K49" i="9"/>
  <c r="M49" i="9"/>
  <c r="H49" i="9"/>
  <c r="I49" i="9"/>
  <c r="J49" i="9"/>
  <c r="M48" i="9"/>
  <c r="H96" i="7"/>
  <c r="H94" i="7"/>
  <c r="H90" i="7"/>
  <c r="H124" i="7"/>
  <c r="H134" i="7"/>
  <c r="H123" i="52"/>
  <c r="H98" i="7"/>
  <c r="H130" i="7"/>
  <c r="H87" i="52"/>
  <c r="F14" i="9"/>
  <c r="H127" i="7"/>
  <c r="H95" i="7"/>
  <c r="H126" i="7"/>
  <c r="G16" i="9"/>
  <c r="H93" i="7"/>
  <c r="H133" i="7"/>
  <c r="H125" i="7"/>
  <c r="H92" i="7"/>
  <c r="H132" i="7"/>
  <c r="H88" i="7"/>
  <c r="H91" i="7"/>
  <c r="H131" i="7"/>
  <c r="H97" i="7"/>
  <c r="H129" i="7"/>
  <c r="B164" i="52"/>
  <c r="AD36" i="32"/>
  <c r="D193" i="52" s="1"/>
  <c r="AC16" i="32"/>
  <c r="L95" i="52"/>
  <c r="L90" i="52"/>
  <c r="L93" i="52"/>
  <c r="L96" i="52"/>
  <c r="B174" i="52"/>
  <c r="L89" i="52"/>
  <c r="L97" i="52"/>
  <c r="B174" i="7"/>
  <c r="H88" i="52" l="1"/>
  <c r="Q88" i="7"/>
  <c r="H95" i="52"/>
  <c r="Q95" i="7"/>
  <c r="H92" i="52"/>
  <c r="Q92" i="7"/>
  <c r="H94" i="52"/>
  <c r="Q94" i="7"/>
  <c r="H91" i="52"/>
  <c r="Q91" i="7"/>
  <c r="H96" i="52"/>
  <c r="Q96" i="7"/>
  <c r="H90" i="52"/>
  <c r="Q90" i="7"/>
  <c r="H93" i="52"/>
  <c r="Q93" i="7"/>
  <c r="H89" i="52"/>
  <c r="Q89" i="7"/>
  <c r="H97" i="52"/>
  <c r="Q97" i="7"/>
  <c r="H98" i="52"/>
  <c r="Q98" i="7"/>
  <c r="B72" i="60"/>
  <c r="C72" i="60" s="1"/>
  <c r="E555" i="60"/>
  <c r="D30" i="18"/>
  <c r="D425" i="60"/>
  <c r="C30" i="18"/>
  <c r="C425" i="60"/>
  <c r="B30" i="18"/>
  <c r="B425" i="60"/>
  <c r="M8" i="11"/>
  <c r="M46" i="11"/>
  <c r="M51" i="11" s="1"/>
  <c r="O89" i="58"/>
  <c r="M102" i="58"/>
  <c r="O102" i="58" s="1"/>
  <c r="H124" i="52"/>
  <c r="H132" i="52"/>
  <c r="H127" i="52"/>
  <c r="H134" i="52"/>
  <c r="H125" i="52"/>
  <c r="H128" i="52"/>
  <c r="H129" i="52"/>
  <c r="H130" i="52"/>
  <c r="H131" i="52"/>
  <c r="H126" i="52"/>
  <c r="H133" i="52"/>
  <c r="M4" i="11"/>
  <c r="B16" i="9"/>
  <c r="L39" i="58"/>
  <c r="D27" i="58"/>
  <c r="D40" i="58"/>
  <c r="L26" i="58"/>
  <c r="R113" i="7"/>
  <c r="S113" i="7" s="1"/>
  <c r="T113" i="7" s="1"/>
  <c r="R114" i="7"/>
  <c r="S114" i="7" s="1"/>
  <c r="T114" i="7" s="1"/>
  <c r="R115" i="7"/>
  <c r="S115" i="7" s="1"/>
  <c r="T115" i="7" s="1"/>
  <c r="R116" i="7"/>
  <c r="S116" i="7" s="1"/>
  <c r="T116" i="7" s="1"/>
  <c r="R117" i="7"/>
  <c r="S117" i="7" s="1"/>
  <c r="T117" i="7" s="1"/>
  <c r="R118" i="7"/>
  <c r="S118" i="7" s="1"/>
  <c r="T118" i="7" s="1"/>
  <c r="R119" i="7"/>
  <c r="S119" i="7" s="1"/>
  <c r="T119" i="7" s="1"/>
  <c r="R120" i="7"/>
  <c r="S120" i="7" s="1"/>
  <c r="T120" i="7" s="1"/>
  <c r="R121" i="7"/>
  <c r="S121" i="7" s="1"/>
  <c r="T121" i="7" s="1"/>
  <c r="R122" i="7"/>
  <c r="S122" i="7" s="1"/>
  <c r="T122" i="7" s="1"/>
  <c r="F555" i="60" l="1"/>
  <c r="B73" i="60"/>
  <c r="C73" i="60" s="1"/>
  <c r="F548" i="60"/>
  <c r="B243" i="60"/>
  <c r="L40" i="58"/>
  <c r="D41" i="58"/>
  <c r="L27" i="58"/>
  <c r="E27" i="58"/>
  <c r="R112" i="7"/>
  <c r="S112" i="7" s="1"/>
  <c r="T112" i="7" s="1"/>
  <c r="Q173" i="7"/>
  <c r="L5" i="11" s="1"/>
  <c r="C242" i="60" l="1"/>
  <c r="E549" i="60"/>
  <c r="G27" i="58"/>
  <c r="E93" i="58"/>
  <c r="L41" i="58"/>
  <c r="M27" i="58"/>
  <c r="C15" i="9"/>
  <c r="M93" i="58" l="1"/>
  <c r="M80" i="58"/>
  <c r="O80" i="58" s="1"/>
  <c r="O27" i="58"/>
  <c r="Y27" i="58" s="1"/>
  <c r="Y122" i="58" s="1"/>
  <c r="E106" i="58"/>
  <c r="G93" i="58"/>
  <c r="E80" i="58"/>
  <c r="C3" i="7"/>
  <c r="D3" i="7"/>
  <c r="K3" i="7"/>
  <c r="C4" i="7"/>
  <c r="D4" i="7"/>
  <c r="K4" i="7"/>
  <c r="C5" i="7"/>
  <c r="D5" i="7"/>
  <c r="K5" i="7"/>
  <c r="C6" i="7"/>
  <c r="D6" i="7"/>
  <c r="K6" i="7"/>
  <c r="C7" i="7"/>
  <c r="D7" i="7"/>
  <c r="K7" i="7"/>
  <c r="C8" i="7"/>
  <c r="D8" i="7"/>
  <c r="K8" i="7"/>
  <c r="C9" i="7"/>
  <c r="D9" i="7"/>
  <c r="K9" i="7"/>
  <c r="C10" i="7"/>
  <c r="D10" i="7"/>
  <c r="K10" i="7"/>
  <c r="C11" i="7"/>
  <c r="D11" i="7"/>
  <c r="K11" i="7"/>
  <c r="C12" i="7"/>
  <c r="D12" i="7"/>
  <c r="K12" i="7"/>
  <c r="C13" i="7"/>
  <c r="D13" i="7"/>
  <c r="K13" i="7"/>
  <c r="C14" i="7"/>
  <c r="D14" i="7"/>
  <c r="K14" i="7"/>
  <c r="C15" i="7"/>
  <c r="H15" i="7"/>
  <c r="K15" i="7"/>
  <c r="C16" i="7"/>
  <c r="H16" i="7"/>
  <c r="K16" i="7"/>
  <c r="C17" i="7"/>
  <c r="H17" i="7"/>
  <c r="K17" i="7"/>
  <c r="C18" i="7"/>
  <c r="H18" i="7"/>
  <c r="K18" i="7"/>
  <c r="C19" i="7"/>
  <c r="H19" i="7"/>
  <c r="K19" i="7"/>
  <c r="C20" i="7"/>
  <c r="H20" i="7"/>
  <c r="K20" i="7"/>
  <c r="C21" i="7"/>
  <c r="H21" i="7"/>
  <c r="K21" i="7"/>
  <c r="C22" i="7"/>
  <c r="H22" i="7"/>
  <c r="K22" i="7"/>
  <c r="C23" i="7"/>
  <c r="H23" i="7"/>
  <c r="K23" i="7"/>
  <c r="C24" i="7"/>
  <c r="H24" i="7"/>
  <c r="K24" i="7"/>
  <c r="C25" i="7"/>
  <c r="H25" i="7"/>
  <c r="K25" i="7"/>
  <c r="C26" i="7"/>
  <c r="H26" i="7"/>
  <c r="K26" i="7"/>
  <c r="C27" i="7"/>
  <c r="D27" i="7"/>
  <c r="H27" i="7"/>
  <c r="K27" i="7"/>
  <c r="C28" i="7"/>
  <c r="H28" i="7"/>
  <c r="K28" i="7"/>
  <c r="C29" i="7"/>
  <c r="H29" i="7"/>
  <c r="K29" i="7"/>
  <c r="C30" i="7"/>
  <c r="H30" i="7"/>
  <c r="K30" i="7"/>
  <c r="C31" i="7"/>
  <c r="H31" i="7"/>
  <c r="K31" i="7"/>
  <c r="C32" i="7"/>
  <c r="H32" i="7"/>
  <c r="K32" i="7"/>
  <c r="C33" i="7"/>
  <c r="H33" i="7"/>
  <c r="K33" i="7"/>
  <c r="C34" i="7"/>
  <c r="H34" i="7"/>
  <c r="K34" i="7"/>
  <c r="C35" i="7"/>
  <c r="H35" i="7"/>
  <c r="K35" i="7"/>
  <c r="C36" i="7"/>
  <c r="H36" i="7"/>
  <c r="K36" i="7"/>
  <c r="C37" i="7"/>
  <c r="H37" i="7"/>
  <c r="K37" i="7"/>
  <c r="C38" i="7"/>
  <c r="H38" i="7"/>
  <c r="K38" i="7"/>
  <c r="O93" i="58" l="1"/>
  <c r="M106" i="58"/>
  <c r="O106" i="58" s="1"/>
  <c r="G80" i="58"/>
  <c r="G106" i="58"/>
  <c r="R12" i="7"/>
  <c r="S12" i="7" s="1"/>
  <c r="T12" i="7" s="1"/>
  <c r="R35" i="7"/>
  <c r="S35" i="7" s="1"/>
  <c r="T35" i="7" s="1"/>
  <c r="R25" i="7"/>
  <c r="S25" i="7" s="1"/>
  <c r="T25" i="7" s="1"/>
  <c r="R21" i="7"/>
  <c r="S21" i="7" s="1"/>
  <c r="T21" i="7" s="1"/>
  <c r="R19" i="7"/>
  <c r="S19" i="7" s="1"/>
  <c r="T19" i="7" s="1"/>
  <c r="R17" i="7"/>
  <c r="S17" i="7" s="1"/>
  <c r="T17" i="7" s="1"/>
  <c r="R32" i="7"/>
  <c r="S32" i="7" s="1"/>
  <c r="T32" i="7" s="1"/>
  <c r="R30" i="7"/>
  <c r="S30" i="7" s="1"/>
  <c r="T30" i="7" s="1"/>
  <c r="R28" i="7"/>
  <c r="S28" i="7" s="1"/>
  <c r="T28" i="7" s="1"/>
  <c r="R26" i="7"/>
  <c r="S26" i="7" s="1"/>
  <c r="T26" i="7" s="1"/>
  <c r="R24" i="7"/>
  <c r="S24" i="7" s="1"/>
  <c r="T24" i="7" s="1"/>
  <c r="R22" i="7"/>
  <c r="S22" i="7" s="1"/>
  <c r="T22" i="7" s="1"/>
  <c r="R20" i="7"/>
  <c r="S20" i="7" s="1"/>
  <c r="T20" i="7" s="1"/>
  <c r="R18" i="7"/>
  <c r="S18" i="7" s="1"/>
  <c r="T18" i="7" s="1"/>
  <c r="R16" i="7"/>
  <c r="S16" i="7" s="1"/>
  <c r="T16" i="7" s="1"/>
  <c r="R11" i="7"/>
  <c r="S11" i="7" s="1"/>
  <c r="T11" i="7" s="1"/>
  <c r="R33" i="7"/>
  <c r="S33" i="7" s="1"/>
  <c r="T33" i="7" s="1"/>
  <c r="R23" i="7"/>
  <c r="S23" i="7" s="1"/>
  <c r="T23" i="7" s="1"/>
  <c r="R6" i="7"/>
  <c r="S6" i="7" s="1"/>
  <c r="T6" i="7" s="1"/>
  <c r="R10" i="7"/>
  <c r="S10" i="7" s="1"/>
  <c r="T10" i="7" s="1"/>
  <c r="R37" i="7"/>
  <c r="S37" i="7" s="1"/>
  <c r="T37" i="7" s="1"/>
  <c r="R31" i="7"/>
  <c r="S31" i="7" s="1"/>
  <c r="T31" i="7" s="1"/>
  <c r="R38" i="7"/>
  <c r="S38" i="7" s="1"/>
  <c r="T38" i="7" s="1"/>
  <c r="R36" i="7"/>
  <c r="S36" i="7" s="1"/>
  <c r="T36" i="7" s="1"/>
  <c r="R13" i="7"/>
  <c r="S13" i="7" s="1"/>
  <c r="T13" i="7" s="1"/>
  <c r="R5" i="7"/>
  <c r="S5" i="7" s="1"/>
  <c r="T5" i="7" s="1"/>
  <c r="R9" i="7"/>
  <c r="S9" i="7" s="1"/>
  <c r="T9" i="7" s="1"/>
  <c r="R4" i="7"/>
  <c r="S4" i="7" s="1"/>
  <c r="T4" i="7" s="1"/>
  <c r="R14" i="7"/>
  <c r="S14" i="7" s="1"/>
  <c r="T14" i="7" s="1"/>
  <c r="R34" i="7"/>
  <c r="S34" i="7" s="1"/>
  <c r="T34" i="7" s="1"/>
  <c r="R8" i="7"/>
  <c r="S8" i="7" s="1"/>
  <c r="T8" i="7" s="1"/>
  <c r="R29" i="7"/>
  <c r="S29" i="7" s="1"/>
  <c r="T29" i="7" s="1"/>
  <c r="R7" i="7"/>
  <c r="S7" i="7" s="1"/>
  <c r="T7" i="7" s="1"/>
  <c r="R15" i="7" l="1"/>
  <c r="S15" i="7" s="1"/>
  <c r="T15" i="7" s="1"/>
  <c r="Q165" i="7"/>
  <c r="Q164" i="7"/>
  <c r="R27" i="7"/>
  <c r="S27" i="7" s="1"/>
  <c r="T27" i="7" s="1"/>
  <c r="Q166" i="7"/>
  <c r="R3" i="7"/>
  <c r="S3" i="7" s="1"/>
  <c r="T3" i="7" s="1"/>
  <c r="F16" i="9"/>
  <c r="C6" i="9" l="1"/>
  <c r="B5" i="11"/>
  <c r="C233" i="60" s="1"/>
  <c r="C8" i="9"/>
  <c r="D5" i="11"/>
  <c r="C235" i="60" s="1"/>
  <c r="C7" i="9"/>
  <c r="C5" i="11"/>
  <c r="C234" i="60" s="1"/>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H100" i="7"/>
  <c r="H101" i="7"/>
  <c r="H102" i="7"/>
  <c r="H103" i="7"/>
  <c r="H104" i="7"/>
  <c r="H105" i="7"/>
  <c r="H106" i="7"/>
  <c r="H107" i="7"/>
  <c r="H108" i="7"/>
  <c r="H109" i="7"/>
  <c r="H110" i="7"/>
  <c r="H99" i="7"/>
  <c r="H99" i="52" s="1"/>
  <c r="R107" i="7" l="1"/>
  <c r="S107" i="7" s="1"/>
  <c r="T107" i="7" s="1"/>
  <c r="R104" i="7"/>
  <c r="S104" i="7" s="1"/>
  <c r="T104" i="7" s="1"/>
  <c r="R106" i="7"/>
  <c r="S106" i="7" s="1"/>
  <c r="T106" i="7" s="1"/>
  <c r="R99" i="7"/>
  <c r="S99" i="7" s="1"/>
  <c r="T99" i="7" s="1"/>
  <c r="R105" i="7"/>
  <c r="S105" i="7" s="1"/>
  <c r="T105" i="7" s="1"/>
  <c r="R102" i="7"/>
  <c r="S102" i="7" s="1"/>
  <c r="T102" i="7" s="1"/>
  <c r="R103" i="7"/>
  <c r="S103" i="7" s="1"/>
  <c r="T103" i="7" s="1"/>
  <c r="R110" i="7"/>
  <c r="S110" i="7" s="1"/>
  <c r="T110" i="7" s="1"/>
  <c r="R109" i="7"/>
  <c r="S109" i="7" s="1"/>
  <c r="T109" i="7" s="1"/>
  <c r="R101" i="7"/>
  <c r="S101" i="7" s="1"/>
  <c r="T101" i="7" s="1"/>
  <c r="R108" i="7"/>
  <c r="S108" i="7" s="1"/>
  <c r="T108" i="7" s="1"/>
  <c r="R100" i="7"/>
  <c r="S100" i="7" s="1"/>
  <c r="T100" i="7" s="1"/>
  <c r="Q172" i="7" l="1"/>
  <c r="K5" i="11" s="1"/>
  <c r="K6" i="11" l="1"/>
  <c r="C241" i="60"/>
  <c r="D549" i="60"/>
  <c r="D550" i="60" s="1"/>
  <c r="C14" i="9"/>
  <c r="D14" i="9" s="1"/>
  <c r="E14" i="9" s="1"/>
  <c r="R172" i="7"/>
  <c r="S172" i="7" s="1"/>
  <c r="T172" i="7" s="1"/>
  <c r="D241" i="60" l="1"/>
  <c r="C39" i="7"/>
  <c r="C40" i="7"/>
  <c r="C41" i="7"/>
  <c r="C42" i="7"/>
  <c r="C43" i="7"/>
  <c r="C44" i="7"/>
  <c r="C45" i="7"/>
  <c r="C46" i="7"/>
  <c r="C47" i="7"/>
  <c r="C48" i="7"/>
  <c r="C49" i="7"/>
  <c r="C50" i="7"/>
  <c r="C51" i="7"/>
  <c r="C52" i="7"/>
  <c r="C53" i="7"/>
  <c r="C54" i="7"/>
  <c r="C55" i="7"/>
  <c r="C56" i="7"/>
  <c r="C57" i="7"/>
  <c r="C58" i="7"/>
  <c r="C59" i="7"/>
  <c r="C60" i="7"/>
  <c r="C61" i="7"/>
  <c r="C62" i="7"/>
  <c r="C75" i="7"/>
  <c r="C76" i="7"/>
  <c r="C77" i="7"/>
  <c r="C78" i="7"/>
  <c r="C79" i="7"/>
  <c r="C139" i="7" s="1"/>
  <c r="C80" i="7"/>
  <c r="C140" i="7" s="1"/>
  <c r="C81" i="7"/>
  <c r="C82" i="7"/>
  <c r="C83" i="7"/>
  <c r="C84" i="7"/>
  <c r="C85" i="7"/>
  <c r="C86" i="7"/>
  <c r="C142" i="7" l="1"/>
  <c r="C154" i="7" s="1"/>
  <c r="C141" i="7"/>
  <c r="C153" i="7" s="1"/>
  <c r="C151" i="7"/>
  <c r="C146" i="7"/>
  <c r="C138" i="7"/>
  <c r="C137" i="7"/>
  <c r="C152" i="7"/>
  <c r="C145" i="7"/>
  <c r="C136" i="7"/>
  <c r="C144" i="7"/>
  <c r="C143" i="7"/>
  <c r="C135" i="7"/>
  <c r="C158" i="7" l="1"/>
  <c r="C155" i="7"/>
  <c r="C147" i="7"/>
  <c r="C156" i="7"/>
  <c r="C149" i="7"/>
  <c r="C157" i="7"/>
  <c r="C150" i="7"/>
  <c r="C148" i="7"/>
  <c r="H38" i="11" l="1"/>
  <c r="H33" i="11"/>
  <c r="H28" i="11"/>
  <c r="H23" i="11"/>
  <c r="H18" i="11"/>
  <c r="H13" i="11"/>
  <c r="H42" i="11" l="1"/>
  <c r="C191" i="7"/>
  <c r="C193" i="7"/>
  <c r="C195" i="7"/>
  <c r="C190" i="7"/>
  <c r="C194" i="7"/>
  <c r="C189" i="7"/>
  <c r="C188" i="7"/>
  <c r="C196" i="7"/>
  <c r="C187" i="7"/>
  <c r="C185" i="7"/>
  <c r="C192" i="7"/>
  <c r="C186" i="7"/>
  <c r="C122" i="52" l="1"/>
  <c r="C26" i="52"/>
  <c r="C110" i="52"/>
  <c r="C14" i="52"/>
  <c r="C158" i="52"/>
  <c r="C98" i="52"/>
  <c r="C86" i="52"/>
  <c r="C62" i="52"/>
  <c r="C74" i="52"/>
  <c r="C146" i="52"/>
  <c r="C50" i="52"/>
  <c r="C134" i="52"/>
  <c r="C38" i="52"/>
  <c r="C125" i="52"/>
  <c r="C29" i="52"/>
  <c r="C5" i="52"/>
  <c r="C137" i="52"/>
  <c r="C41" i="52"/>
  <c r="C149" i="52"/>
  <c r="C53" i="52"/>
  <c r="C65" i="52"/>
  <c r="C77" i="52"/>
  <c r="C113" i="52"/>
  <c r="C17" i="52"/>
  <c r="C89" i="52"/>
  <c r="C101" i="52"/>
  <c r="C108" i="52"/>
  <c r="C120" i="52"/>
  <c r="C24" i="52"/>
  <c r="C12" i="52"/>
  <c r="C132" i="52"/>
  <c r="C36" i="52"/>
  <c r="C144" i="52"/>
  <c r="C48" i="52"/>
  <c r="C156" i="52"/>
  <c r="C60" i="52"/>
  <c r="C96" i="52"/>
  <c r="C72" i="52"/>
  <c r="C84" i="52"/>
  <c r="C129" i="52"/>
  <c r="C33" i="52"/>
  <c r="C141" i="52"/>
  <c r="C45" i="52"/>
  <c r="C153" i="52"/>
  <c r="C57" i="52"/>
  <c r="C69" i="52"/>
  <c r="C81" i="52"/>
  <c r="C9" i="52"/>
  <c r="C117" i="52"/>
  <c r="C21" i="52"/>
  <c r="C93" i="52"/>
  <c r="C105" i="52"/>
  <c r="C100" i="52"/>
  <c r="C112" i="52"/>
  <c r="C16" i="52"/>
  <c r="C4" i="52"/>
  <c r="C124" i="52"/>
  <c r="C28" i="52"/>
  <c r="C136" i="52"/>
  <c r="C40" i="52"/>
  <c r="C148" i="52"/>
  <c r="C52" i="52"/>
  <c r="C88" i="52"/>
  <c r="C64" i="52"/>
  <c r="C76" i="52"/>
  <c r="C150" i="52"/>
  <c r="C54" i="52"/>
  <c r="C66" i="52"/>
  <c r="C78" i="52"/>
  <c r="C90" i="52"/>
  <c r="C138" i="52"/>
  <c r="C102" i="52"/>
  <c r="C6" i="52"/>
  <c r="C114" i="52"/>
  <c r="C18" i="52"/>
  <c r="C126" i="52"/>
  <c r="C30" i="52"/>
  <c r="C42" i="52"/>
  <c r="C104" i="52"/>
  <c r="C116" i="52"/>
  <c r="C20" i="52"/>
  <c r="C128" i="52"/>
  <c r="C32" i="52"/>
  <c r="C140" i="52"/>
  <c r="C44" i="52"/>
  <c r="C152" i="52"/>
  <c r="C56" i="52"/>
  <c r="C68" i="52"/>
  <c r="C8" i="52"/>
  <c r="C80" i="52"/>
  <c r="C92" i="52"/>
  <c r="C83" i="52"/>
  <c r="C95" i="52"/>
  <c r="C107" i="52"/>
  <c r="C11" i="52"/>
  <c r="C119" i="52"/>
  <c r="C23" i="52"/>
  <c r="C131" i="52"/>
  <c r="C35" i="52"/>
  <c r="C143" i="52"/>
  <c r="C47" i="52"/>
  <c r="C155" i="52"/>
  <c r="C59" i="52"/>
  <c r="C71" i="52"/>
  <c r="C79" i="52"/>
  <c r="C91" i="52"/>
  <c r="C103" i="52"/>
  <c r="C115" i="52"/>
  <c r="C19" i="52"/>
  <c r="C127" i="52"/>
  <c r="C31" i="52"/>
  <c r="C67" i="52"/>
  <c r="C139" i="52"/>
  <c r="C43" i="52"/>
  <c r="C151" i="52"/>
  <c r="C55" i="52"/>
  <c r="C7" i="52"/>
  <c r="C154" i="52"/>
  <c r="C58" i="52"/>
  <c r="C70" i="52"/>
  <c r="C82" i="52"/>
  <c r="C94" i="52"/>
  <c r="C10" i="52"/>
  <c r="C106" i="52"/>
  <c r="C142" i="52"/>
  <c r="C118" i="52"/>
  <c r="C22" i="52"/>
  <c r="C130" i="52"/>
  <c r="C34" i="52"/>
  <c r="C46" i="52"/>
  <c r="C133" i="52"/>
  <c r="C37" i="52"/>
  <c r="C13" i="52"/>
  <c r="C145" i="52"/>
  <c r="C49" i="52"/>
  <c r="C157" i="52"/>
  <c r="C61" i="52"/>
  <c r="C73" i="52"/>
  <c r="C85" i="52"/>
  <c r="C121" i="52"/>
  <c r="C25" i="52"/>
  <c r="C97" i="52"/>
  <c r="C109" i="52"/>
  <c r="C147" i="52"/>
  <c r="C135" i="52"/>
  <c r="C123" i="52"/>
  <c r="C111" i="52"/>
  <c r="C99" i="52"/>
  <c r="C87" i="52"/>
  <c r="C75" i="52"/>
  <c r="C63" i="52"/>
  <c r="C51" i="52"/>
  <c r="C39" i="52"/>
  <c r="C27" i="52"/>
  <c r="C15" i="52"/>
  <c r="C3" i="52"/>
  <c r="B23" i="18"/>
  <c r="C23" i="18"/>
  <c r="D23" i="18"/>
  <c r="B28" i="17"/>
  <c r="B38" i="17" s="1"/>
  <c r="C28" i="17"/>
  <c r="C38" i="17" s="1"/>
  <c r="D28" i="17"/>
  <c r="D38" i="17" s="1"/>
  <c r="E28" i="17"/>
  <c r="E38" i="17" s="1"/>
  <c r="F28" i="17"/>
  <c r="F38" i="17" s="1"/>
  <c r="G28" i="17"/>
  <c r="G38" i="17" s="1"/>
  <c r="Q170" i="7" l="1"/>
  <c r="AC39" i="32"/>
  <c r="X41" i="32"/>
  <c r="X21" i="32"/>
  <c r="C12" i="9" l="1"/>
  <c r="H5" i="11"/>
  <c r="C239" i="60" s="1"/>
  <c r="L31" i="9" l="1"/>
  <c r="L46" i="9" l="1"/>
  <c r="G12" i="9" l="1"/>
  <c r="H46" i="11" l="1"/>
  <c r="H51" i="11" s="1"/>
  <c r="H8" i="11"/>
  <c r="B69" i="60" s="1"/>
  <c r="C70" i="60" l="1"/>
  <c r="M8" i="9"/>
  <c r="M11" i="9" l="1"/>
  <c r="D22" i="18"/>
  <c r="C22" i="18"/>
  <c r="B22" i="18"/>
  <c r="D21" i="18"/>
  <c r="C21" i="18"/>
  <c r="B21" i="18"/>
  <c r="E186" i="7" l="1"/>
  <c r="F186" i="7"/>
  <c r="E187" i="7"/>
  <c r="F187" i="7"/>
  <c r="E188" i="7"/>
  <c r="F188" i="7"/>
  <c r="E189" i="7"/>
  <c r="F189" i="7"/>
  <c r="E190" i="7"/>
  <c r="F190" i="7"/>
  <c r="E191" i="7"/>
  <c r="F191" i="7"/>
  <c r="E192" i="7"/>
  <c r="F192" i="7"/>
  <c r="E193" i="7"/>
  <c r="F193" i="7"/>
  <c r="E194" i="7"/>
  <c r="F194" i="7"/>
  <c r="E195" i="7"/>
  <c r="F195" i="7"/>
  <c r="E196" i="7"/>
  <c r="F196" i="7"/>
  <c r="F185" i="7"/>
  <c r="F3" i="52" s="1"/>
  <c r="E185" i="7"/>
  <c r="E3" i="52" s="1"/>
  <c r="B168" i="7" l="1"/>
  <c r="B237" i="60" s="1"/>
  <c r="G38" i="11" l="1"/>
  <c r="F38" i="11"/>
  <c r="G33" i="11"/>
  <c r="F33" i="11"/>
  <c r="G28" i="11"/>
  <c r="F28" i="11"/>
  <c r="G23" i="11"/>
  <c r="F23" i="11"/>
  <c r="G18" i="11"/>
  <c r="F18" i="11"/>
  <c r="G13" i="11"/>
  <c r="F13" i="11"/>
  <c r="M30" i="9"/>
  <c r="L30" i="9"/>
  <c r="K30" i="9"/>
  <c r="J30" i="9"/>
  <c r="I30" i="9"/>
  <c r="H30" i="9"/>
  <c r="M29" i="9"/>
  <c r="L29" i="9"/>
  <c r="K29" i="9"/>
  <c r="J29" i="9"/>
  <c r="I29" i="9"/>
  <c r="H29" i="9"/>
  <c r="F632" i="60" l="1"/>
  <c r="E651" i="60"/>
  <c r="E670" i="60"/>
  <c r="F651" i="60"/>
  <c r="E652" i="60"/>
  <c r="F633" i="60"/>
  <c r="E656" i="60"/>
  <c r="F637" i="60"/>
  <c r="F652" i="60"/>
  <c r="E671" i="60"/>
  <c r="F656" i="60"/>
  <c r="E675" i="60"/>
  <c r="L45" i="9"/>
  <c r="W41" i="32"/>
  <c r="W21" i="32"/>
  <c r="I652" i="60" l="1"/>
  <c r="E664" i="60"/>
  <c r="N663" i="60" s="1"/>
  <c r="I671" i="60"/>
  <c r="I679" i="60" s="1"/>
  <c r="P678" i="60" s="1"/>
  <c r="E679" i="60"/>
  <c r="N678" i="60" s="1"/>
  <c r="E678" i="60"/>
  <c r="N677" i="60" s="1"/>
  <c r="J633" i="60"/>
  <c r="E683" i="60"/>
  <c r="N682" i="60" s="1"/>
  <c r="E659" i="60"/>
  <c r="N658" i="60" s="1"/>
  <c r="E660" i="60"/>
  <c r="N659" i="60" s="1"/>
  <c r="J652" i="60"/>
  <c r="B171" i="7"/>
  <c r="B170" i="7"/>
  <c r="B13" i="9" l="1"/>
  <c r="J4" i="11"/>
  <c r="I660" i="60"/>
  <c r="P659" i="60" s="1"/>
  <c r="H4" i="11"/>
  <c r="B239" i="60" s="1"/>
  <c r="R170" i="7"/>
  <c r="S170" i="7" s="1"/>
  <c r="T170" i="7" s="1"/>
  <c r="B12" i="9"/>
  <c r="F12" i="9" s="1"/>
  <c r="J75" i="52" s="1"/>
  <c r="B240" i="60" l="1"/>
  <c r="C548" i="60"/>
  <c r="D239" i="60"/>
  <c r="J76" i="52"/>
  <c r="L75" i="52"/>
  <c r="M75" i="52" s="1"/>
  <c r="J75" i="7"/>
  <c r="J76" i="7" s="1"/>
  <c r="J77" i="52" l="1"/>
  <c r="L76" i="52"/>
  <c r="M76" i="52" s="1"/>
  <c r="J77" i="7"/>
  <c r="J78" i="52" l="1"/>
  <c r="L77" i="52"/>
  <c r="M77" i="52" s="1"/>
  <c r="J78" i="7"/>
  <c r="B27" i="17"/>
  <c r="E27" i="17"/>
  <c r="F27" i="17"/>
  <c r="G27" i="17"/>
  <c r="D27" i="17"/>
  <c r="C27" i="17"/>
  <c r="G26" i="17"/>
  <c r="F26" i="17"/>
  <c r="E26" i="17"/>
  <c r="D26" i="17"/>
  <c r="C26" i="17"/>
  <c r="B26" i="17"/>
  <c r="G11" i="9"/>
  <c r="G10" i="9"/>
  <c r="G8" i="9"/>
  <c r="D46" i="11" s="1"/>
  <c r="G6" i="9"/>
  <c r="B46" i="11" s="1"/>
  <c r="J79" i="52" l="1"/>
  <c r="L78" i="52"/>
  <c r="M78" i="52" s="1"/>
  <c r="J79" i="7"/>
  <c r="G46" i="11"/>
  <c r="G8" i="11"/>
  <c r="B68" i="60" s="1"/>
  <c r="F8" i="11"/>
  <c r="B67" i="60" s="1"/>
  <c r="F46" i="11"/>
  <c r="H9" i="17"/>
  <c r="C68" i="60" l="1"/>
  <c r="C69" i="60"/>
  <c r="J80" i="52"/>
  <c r="L79" i="52"/>
  <c r="M79" i="52" s="1"/>
  <c r="J80" i="7"/>
  <c r="D141" i="7"/>
  <c r="D140" i="7"/>
  <c r="D139" i="7"/>
  <c r="D135" i="7" l="1"/>
  <c r="D147" i="7" s="1"/>
  <c r="D151" i="7"/>
  <c r="D143" i="7"/>
  <c r="D153" i="7"/>
  <c r="D136" i="7"/>
  <c r="D144" i="7"/>
  <c r="D137" i="7"/>
  <c r="D152" i="7"/>
  <c r="D142" i="7"/>
  <c r="D138" i="7"/>
  <c r="L80" i="52"/>
  <c r="M80" i="52" s="1"/>
  <c r="J81" i="52"/>
  <c r="J81" i="7"/>
  <c r="D145" i="7"/>
  <c r="D146" i="7"/>
  <c r="V41" i="32"/>
  <c r="V21" i="32"/>
  <c r="D158" i="7" l="1"/>
  <c r="D154" i="7"/>
  <c r="D155" i="7"/>
  <c r="D157" i="7"/>
  <c r="J82" i="52"/>
  <c r="L81" i="52"/>
  <c r="M81" i="52" s="1"/>
  <c r="D148" i="7"/>
  <c r="D149" i="7"/>
  <c r="D150" i="7"/>
  <c r="D156" i="7"/>
  <c r="Q168" i="7"/>
  <c r="F5" i="11" s="1"/>
  <c r="C237" i="60" s="1"/>
  <c r="Q167" i="7"/>
  <c r="J82" i="7"/>
  <c r="D237" i="60" l="1"/>
  <c r="C9" i="9"/>
  <c r="E5" i="11"/>
  <c r="C236" i="60" s="1"/>
  <c r="Q169" i="7"/>
  <c r="R168" i="7"/>
  <c r="S168" i="7" s="1"/>
  <c r="T168" i="7" s="1"/>
  <c r="C10" i="9"/>
  <c r="J83" i="52"/>
  <c r="L82" i="52"/>
  <c r="M82" i="52" s="1"/>
  <c r="J83" i="7"/>
  <c r="C11" i="9" l="1"/>
  <c r="G5" i="11"/>
  <c r="C238" i="60" s="1"/>
  <c r="J84" i="52"/>
  <c r="L83" i="52"/>
  <c r="M83" i="52" s="1"/>
  <c r="J84" i="7"/>
  <c r="J85" i="52" l="1"/>
  <c r="L84" i="52"/>
  <c r="M84" i="52" s="1"/>
  <c r="J85" i="7"/>
  <c r="J86" i="52" l="1"/>
  <c r="L86" i="52" s="1"/>
  <c r="M86" i="52" s="1"/>
  <c r="L85" i="52"/>
  <c r="M85" i="52" s="1"/>
  <c r="J86" i="7"/>
  <c r="E38" i="11" l="1"/>
  <c r="D38" i="11"/>
  <c r="C38" i="11"/>
  <c r="B38" i="11"/>
  <c r="G9" i="9"/>
  <c r="E46" i="11" s="1"/>
  <c r="G7" i="9"/>
  <c r="C46" i="11" s="1"/>
  <c r="H7" i="17"/>
  <c r="H6" i="17"/>
  <c r="H5" i="17"/>
  <c r="H4" i="17"/>
  <c r="H14" i="17"/>
  <c r="H13" i="17"/>
  <c r="H12" i="17"/>
  <c r="F71" i="60" l="1"/>
  <c r="K45" i="11"/>
  <c r="K50" i="11" s="1"/>
  <c r="F72" i="60"/>
  <c r="G72" i="60" s="1"/>
  <c r="L45" i="11"/>
  <c r="L50" i="11" s="1"/>
  <c r="F599" i="60"/>
  <c r="E618" i="60"/>
  <c r="F618" i="60"/>
  <c r="E637" i="60"/>
  <c r="F73" i="60"/>
  <c r="M45" i="11"/>
  <c r="M50" i="11" s="1"/>
  <c r="B169" i="7"/>
  <c r="B238" i="60" s="1"/>
  <c r="D238" i="60" s="1"/>
  <c r="G73" i="60" l="1"/>
  <c r="E626" i="60"/>
  <c r="E607" i="60"/>
  <c r="N605" i="60" s="1"/>
  <c r="E645" i="60"/>
  <c r="N644" i="60" s="1"/>
  <c r="R169" i="7"/>
  <c r="S169" i="7" s="1"/>
  <c r="T169" i="7" s="1"/>
  <c r="B11" i="9"/>
  <c r="F11" i="9" s="1"/>
  <c r="J63" i="52" s="1"/>
  <c r="G4" i="11"/>
  <c r="J64" i="52" l="1"/>
  <c r="L63" i="52"/>
  <c r="M63" i="52" s="1"/>
  <c r="J63" i="7"/>
  <c r="J64" i="7" s="1"/>
  <c r="J65" i="52" l="1"/>
  <c r="L64" i="52"/>
  <c r="M64" i="52" s="1"/>
  <c r="J65" i="7"/>
  <c r="G2" i="17"/>
  <c r="G34" i="17" s="1"/>
  <c r="J66" i="52" l="1"/>
  <c r="L65" i="52"/>
  <c r="M65" i="52" s="1"/>
  <c r="J66" i="7"/>
  <c r="F4" i="11"/>
  <c r="J67" i="52" l="1"/>
  <c r="L66" i="52"/>
  <c r="M66" i="52" s="1"/>
  <c r="J67" i="7"/>
  <c r="L67" i="52" l="1"/>
  <c r="M67" i="52" s="1"/>
  <c r="J68" i="52"/>
  <c r="J68" i="7"/>
  <c r="L68" i="52" l="1"/>
  <c r="M68" i="52" s="1"/>
  <c r="J69" i="52"/>
  <c r="J69" i="7"/>
  <c r="A6" i="9"/>
  <c r="A25" i="9" s="1"/>
  <c r="A39" i="9" s="1"/>
  <c r="A7" i="9"/>
  <c r="A26" i="9" s="1"/>
  <c r="A40" i="9" s="1"/>
  <c r="A8" i="9"/>
  <c r="A27" i="9" s="1"/>
  <c r="A41" i="9" s="1"/>
  <c r="A9" i="9"/>
  <c r="A28" i="9" s="1"/>
  <c r="A42" i="9" s="1"/>
  <c r="A10" i="9"/>
  <c r="A29" i="9" s="1"/>
  <c r="A11" i="9"/>
  <c r="A30" i="9" s="1"/>
  <c r="J70" i="52" l="1"/>
  <c r="L69" i="52"/>
  <c r="M69" i="52" s="1"/>
  <c r="J70" i="7"/>
  <c r="J71" i="52" l="1"/>
  <c r="L70" i="52"/>
  <c r="M70" i="52" s="1"/>
  <c r="J71" i="7"/>
  <c r="L71" i="52" l="1"/>
  <c r="M71" i="52" s="1"/>
  <c r="J72" i="52"/>
  <c r="J72" i="7"/>
  <c r="R41" i="32"/>
  <c r="R21" i="32"/>
  <c r="Q41" i="32"/>
  <c r="Q21" i="32"/>
  <c r="P41" i="32"/>
  <c r="P21" i="32"/>
  <c r="O41" i="32"/>
  <c r="O21" i="32"/>
  <c r="N41" i="32"/>
  <c r="N21" i="32"/>
  <c r="M41" i="32"/>
  <c r="M21" i="32"/>
  <c r="L21" i="32"/>
  <c r="J41" i="32"/>
  <c r="I41" i="32"/>
  <c r="I21" i="32"/>
  <c r="H21" i="32"/>
  <c r="G41" i="32"/>
  <c r="G21" i="32"/>
  <c r="F21" i="32"/>
  <c r="E41" i="32"/>
  <c r="E21" i="32"/>
  <c r="D21" i="32"/>
  <c r="C41" i="32"/>
  <c r="B21" i="32"/>
  <c r="F41" i="32"/>
  <c r="D41" i="32"/>
  <c r="K21" i="32"/>
  <c r="J21" i="32"/>
  <c r="C21" i="32"/>
  <c r="L72" i="52" l="1"/>
  <c r="M72" i="52" s="1"/>
  <c r="J73" i="52"/>
  <c r="J73" i="7"/>
  <c r="L41" i="32"/>
  <c r="K41" i="32"/>
  <c r="H41" i="32"/>
  <c r="B41" i="32"/>
  <c r="J74" i="52" l="1"/>
  <c r="L74" i="52" s="1"/>
  <c r="M74" i="52" s="1"/>
  <c r="L73" i="52"/>
  <c r="M73" i="52" s="1"/>
  <c r="J74" i="7"/>
  <c r="B167" i="7"/>
  <c r="B236" i="60" s="1"/>
  <c r="D236" i="60" s="1"/>
  <c r="B37" i="11"/>
  <c r="C37" i="11"/>
  <c r="D37" i="11"/>
  <c r="E37" i="11"/>
  <c r="A36" i="11"/>
  <c r="G23" i="17"/>
  <c r="G24" i="17"/>
  <c r="G25" i="17"/>
  <c r="M28" i="9"/>
  <c r="M43" i="9" s="1"/>
  <c r="M27" i="9"/>
  <c r="M26" i="9"/>
  <c r="C618" i="60" l="1"/>
  <c r="B637" i="60"/>
  <c r="C599" i="60"/>
  <c r="B618" i="60"/>
  <c r="G37" i="17"/>
  <c r="G35" i="17" s="1"/>
  <c r="R167" i="7"/>
  <c r="S167" i="7" s="1"/>
  <c r="T167" i="7" s="1"/>
  <c r="M42" i="9"/>
  <c r="M25" i="9"/>
  <c r="M40" i="9" s="1"/>
  <c r="M41" i="9"/>
  <c r="G15" i="17" l="1"/>
  <c r="G294" i="60"/>
  <c r="J618" i="60"/>
  <c r="B626" i="60"/>
  <c r="I618" i="60"/>
  <c r="B607" i="60"/>
  <c r="J599" i="60"/>
  <c r="I607" i="60" s="1"/>
  <c r="I637" i="60"/>
  <c r="G16" i="17"/>
  <c r="O37" i="11" l="1"/>
  <c r="G300" i="60"/>
  <c r="G143" i="60"/>
  <c r="G166" i="60" s="1"/>
  <c r="G299" i="60"/>
  <c r="N37" i="11"/>
  <c r="I626" i="60"/>
  <c r="M31" i="9"/>
  <c r="J37" i="11"/>
  <c r="C694" i="60" s="1"/>
  <c r="H37" i="11"/>
  <c r="F37" i="11"/>
  <c r="T37" i="11" l="1"/>
  <c r="T39" i="11"/>
  <c r="T38" i="11"/>
  <c r="V39" i="11"/>
  <c r="V37" i="11"/>
  <c r="V38" i="11"/>
  <c r="C637" i="60"/>
  <c r="B656" i="60"/>
  <c r="J694" i="60"/>
  <c r="C675" i="60"/>
  <c r="B694" i="60"/>
  <c r="B702" i="60" s="1"/>
  <c r="M701" i="60" s="1"/>
  <c r="M45" i="9"/>
  <c r="M46" i="9"/>
  <c r="G37" i="11"/>
  <c r="E28" i="11"/>
  <c r="D23" i="11"/>
  <c r="B13" i="11"/>
  <c r="C28" i="11"/>
  <c r="B23" i="11"/>
  <c r="E32" i="11"/>
  <c r="E12" i="11"/>
  <c r="B10" i="9"/>
  <c r="F10" i="9" s="1"/>
  <c r="J51" i="52" s="1"/>
  <c r="B166" i="7"/>
  <c r="B235" i="60" s="1"/>
  <c r="D235" i="60" s="1"/>
  <c r="B165" i="7"/>
  <c r="B234" i="60" s="1"/>
  <c r="D234" i="60" s="1"/>
  <c r="B164" i="7"/>
  <c r="B233" i="60" s="1"/>
  <c r="D233" i="60" s="1"/>
  <c r="B12" i="11"/>
  <c r="B27" i="11"/>
  <c r="B32" i="11"/>
  <c r="C2" i="17"/>
  <c r="C34" i="17" s="1"/>
  <c r="D2" i="17"/>
  <c r="E2" i="17"/>
  <c r="F2" i="17"/>
  <c r="B2" i="17"/>
  <c r="B34" i="17" s="1"/>
  <c r="A31" i="11"/>
  <c r="A26" i="11"/>
  <c r="A21" i="11"/>
  <c r="A16" i="11"/>
  <c r="A11" i="11"/>
  <c r="C33" i="11"/>
  <c r="J26" i="9"/>
  <c r="I26" i="9"/>
  <c r="C13" i="11"/>
  <c r="C34" i="11"/>
  <c r="F25" i="17"/>
  <c r="C22" i="11"/>
  <c r="E23" i="11"/>
  <c r="E13" i="11"/>
  <c r="E18" i="11"/>
  <c r="C32" i="11"/>
  <c r="C24" i="17"/>
  <c r="B23" i="17"/>
  <c r="C27" i="11"/>
  <c r="B25" i="17"/>
  <c r="D13" i="11"/>
  <c r="D33" i="11"/>
  <c r="D28" i="11"/>
  <c r="D18" i="11"/>
  <c r="E27" i="11"/>
  <c r="D25" i="17"/>
  <c r="D22" i="11"/>
  <c r="C12" i="11"/>
  <c r="D12" i="11"/>
  <c r="B24" i="17"/>
  <c r="D32" i="11"/>
  <c r="C25" i="17"/>
  <c r="K26" i="9"/>
  <c r="C23" i="17"/>
  <c r="B28" i="11"/>
  <c r="D1" i="18" l="1"/>
  <c r="F34" i="17"/>
  <c r="C1" i="18"/>
  <c r="E34" i="17"/>
  <c r="B1" i="18"/>
  <c r="D34" i="17"/>
  <c r="AH22" i="11"/>
  <c r="V40" i="11"/>
  <c r="T40" i="11"/>
  <c r="AG22" i="11"/>
  <c r="B615" i="60"/>
  <c r="C596" i="60"/>
  <c r="B604" i="60" s="1"/>
  <c r="B636" i="60"/>
  <c r="C617" i="60"/>
  <c r="B613" i="60"/>
  <c r="C594" i="60"/>
  <c r="I694" i="60"/>
  <c r="I702" i="60" s="1"/>
  <c r="P701" i="60" s="1"/>
  <c r="C656" i="60"/>
  <c r="B675" i="60"/>
  <c r="B683" i="60" s="1"/>
  <c r="M682" i="60" s="1"/>
  <c r="J675" i="60"/>
  <c r="C613" i="60"/>
  <c r="B632" i="60"/>
  <c r="C616" i="60"/>
  <c r="B635" i="60"/>
  <c r="E614" i="60"/>
  <c r="F595" i="60"/>
  <c r="E633" i="60"/>
  <c r="F614" i="60"/>
  <c r="C598" i="60"/>
  <c r="B606" i="60" s="1"/>
  <c r="B617" i="60"/>
  <c r="E632" i="60"/>
  <c r="F613" i="60"/>
  <c r="I656" i="60"/>
  <c r="F594" i="60"/>
  <c r="E613" i="60"/>
  <c r="B645" i="60"/>
  <c r="M644" i="60" s="1"/>
  <c r="J637" i="60"/>
  <c r="I645" i="60" s="1"/>
  <c r="P644" i="60" s="1"/>
  <c r="B37" i="17"/>
  <c r="B35" i="17" s="1"/>
  <c r="C37" i="17"/>
  <c r="C35" i="17" s="1"/>
  <c r="J52" i="52"/>
  <c r="L51" i="52"/>
  <c r="M51" i="52" s="1"/>
  <c r="R164" i="7"/>
  <c r="S164" i="7" s="1"/>
  <c r="T164" i="7" s="1"/>
  <c r="R165" i="7"/>
  <c r="S165" i="7" s="1"/>
  <c r="T165" i="7" s="1"/>
  <c r="R166" i="7"/>
  <c r="S166" i="7" s="1"/>
  <c r="T166" i="7" s="1"/>
  <c r="J51" i="7"/>
  <c r="J52" i="7" s="1"/>
  <c r="M44" i="9"/>
  <c r="M56" i="9" s="1"/>
  <c r="M54" i="9" s="1"/>
  <c r="D42" i="11"/>
  <c r="C41" i="11"/>
  <c r="F64" i="60" s="1"/>
  <c r="D24" i="11"/>
  <c r="B34" i="11"/>
  <c r="B24" i="11"/>
  <c r="D29" i="11"/>
  <c r="E34" i="11"/>
  <c r="S21" i="32"/>
  <c r="T21" i="32"/>
  <c r="U21" i="32"/>
  <c r="C24" i="11"/>
  <c r="D187" i="7"/>
  <c r="D189" i="7"/>
  <c r="D191" i="7"/>
  <c r="D193" i="7"/>
  <c r="D195" i="7"/>
  <c r="T41" i="32"/>
  <c r="U41" i="32"/>
  <c r="D186" i="7"/>
  <c r="D188" i="7"/>
  <c r="D190" i="7"/>
  <c r="D192" i="7"/>
  <c r="D194" i="7"/>
  <c r="D196" i="7"/>
  <c r="B8" i="9"/>
  <c r="D4" i="11"/>
  <c r="B6" i="9"/>
  <c r="B4" i="11"/>
  <c r="C4" i="11"/>
  <c r="D20" i="18"/>
  <c r="H25" i="9"/>
  <c r="B18" i="18"/>
  <c r="L28" i="9"/>
  <c r="L43" i="9" s="1"/>
  <c r="K28" i="9"/>
  <c r="K43" i="9" s="1"/>
  <c r="E5" i="18"/>
  <c r="H26" i="9"/>
  <c r="I27" i="9"/>
  <c r="I41" i="9" s="1"/>
  <c r="D18" i="18"/>
  <c r="E33" i="11"/>
  <c r="L27" i="9"/>
  <c r="C23" i="11"/>
  <c r="H27" i="9"/>
  <c r="C19" i="18"/>
  <c r="H28" i="9"/>
  <c r="I28" i="9"/>
  <c r="I43" i="9" s="1"/>
  <c r="B7" i="9"/>
  <c r="C29" i="11"/>
  <c r="E3" i="18"/>
  <c r="C18" i="18"/>
  <c r="B33" i="11"/>
  <c r="D17" i="18"/>
  <c r="B29" i="11"/>
  <c r="L25" i="9"/>
  <c r="B17" i="18"/>
  <c r="E2" i="18"/>
  <c r="J25" i="9"/>
  <c r="J40" i="9" s="1"/>
  <c r="B22" i="11"/>
  <c r="L26" i="9"/>
  <c r="F23" i="17"/>
  <c r="F37" i="17" s="1"/>
  <c r="F24" i="17"/>
  <c r="E4" i="11"/>
  <c r="B9" i="9"/>
  <c r="K25" i="9"/>
  <c r="C17" i="18"/>
  <c r="E24" i="11"/>
  <c r="B20" i="18"/>
  <c r="D23" i="17"/>
  <c r="D37" i="17" s="1"/>
  <c r="D35" i="17" s="1"/>
  <c r="D24" i="17"/>
  <c r="E29" i="11"/>
  <c r="C20" i="18"/>
  <c r="D27" i="11"/>
  <c r="E24" i="17"/>
  <c r="E25" i="17"/>
  <c r="K27" i="9"/>
  <c r="D45" i="11"/>
  <c r="D34" i="11"/>
  <c r="D19" i="18"/>
  <c r="E8" i="11"/>
  <c r="B66" i="60" s="1"/>
  <c r="J28" i="9"/>
  <c r="J43" i="9" s="1"/>
  <c r="E4" i="18"/>
  <c r="E23" i="17"/>
  <c r="C18" i="11"/>
  <c r="C8" i="11"/>
  <c r="B64" i="60" s="1"/>
  <c r="E22" i="11"/>
  <c r="E45" i="11"/>
  <c r="I25" i="9"/>
  <c r="B18" i="11"/>
  <c r="B8" i="11"/>
  <c r="B63" i="60" s="1"/>
  <c r="J27" i="9"/>
  <c r="J41" i="9" s="1"/>
  <c r="B19" i="18"/>
  <c r="D8" i="11"/>
  <c r="B65" i="60" s="1"/>
  <c r="B625" i="60" l="1"/>
  <c r="C63" i="60"/>
  <c r="I633" i="60"/>
  <c r="I641" i="60" s="1"/>
  <c r="P640" i="60" s="1"/>
  <c r="E641" i="60"/>
  <c r="N640" i="60" s="1"/>
  <c r="C597" i="60"/>
  <c r="B605" i="60" s="1"/>
  <c r="B616" i="60"/>
  <c r="B619" i="60" s="1"/>
  <c r="F617" i="60"/>
  <c r="E636" i="60"/>
  <c r="B602" i="60"/>
  <c r="F615" i="60"/>
  <c r="E634" i="60"/>
  <c r="J614" i="60"/>
  <c r="E622" i="60"/>
  <c r="C66" i="60"/>
  <c r="C67" i="60"/>
  <c r="F597" i="60"/>
  <c r="E616" i="60"/>
  <c r="J613" i="60"/>
  <c r="E621" i="60"/>
  <c r="E603" i="60"/>
  <c r="N601" i="60" s="1"/>
  <c r="J595" i="60"/>
  <c r="I603" i="60" s="1"/>
  <c r="B621" i="60"/>
  <c r="E635" i="60"/>
  <c r="F616" i="60"/>
  <c r="I614" i="60"/>
  <c r="C615" i="60"/>
  <c r="C619" i="60" s="1"/>
  <c r="B634" i="60"/>
  <c r="B638" i="60" s="1"/>
  <c r="F598" i="60"/>
  <c r="E617" i="60"/>
  <c r="I632" i="60"/>
  <c r="E640" i="60"/>
  <c r="N639" i="60" s="1"/>
  <c r="I675" i="60"/>
  <c r="I683" i="60" s="1"/>
  <c r="P682" i="60" s="1"/>
  <c r="C64" i="60"/>
  <c r="E615" i="60"/>
  <c r="F596" i="60"/>
  <c r="I613" i="60"/>
  <c r="B664" i="60"/>
  <c r="M663" i="60" s="1"/>
  <c r="J656" i="60"/>
  <c r="I664" i="60" s="1"/>
  <c r="P663" i="60" s="1"/>
  <c r="C65" i="60"/>
  <c r="E602" i="60"/>
  <c r="N600" i="60" s="1"/>
  <c r="J594" i="60"/>
  <c r="I602" i="60" s="1"/>
  <c r="B623" i="60"/>
  <c r="B15" i="17"/>
  <c r="B294" i="60"/>
  <c r="M36" i="9"/>
  <c r="E37" i="17"/>
  <c r="E35" i="17" s="1"/>
  <c r="C29" i="18"/>
  <c r="D29" i="18"/>
  <c r="B29" i="18"/>
  <c r="J53" i="52"/>
  <c r="L52" i="52"/>
  <c r="M52" i="52" s="1"/>
  <c r="D143" i="52"/>
  <c r="D119" i="52"/>
  <c r="Q119" i="52" s="1"/>
  <c r="R119" i="52" s="1"/>
  <c r="S119" i="52" s="1"/>
  <c r="T119" i="52" s="1"/>
  <c r="D95" i="52"/>
  <c r="D71" i="52"/>
  <c r="Q71" i="52" s="1"/>
  <c r="R71" i="52" s="1"/>
  <c r="S71" i="52" s="1"/>
  <c r="T71" i="52" s="1"/>
  <c r="D47" i="52"/>
  <c r="Q47" i="52" s="1"/>
  <c r="R47" i="52" s="1"/>
  <c r="S47" i="52" s="1"/>
  <c r="T47" i="52" s="1"/>
  <c r="D23" i="52"/>
  <c r="Q23" i="52" s="1"/>
  <c r="R23" i="52" s="1"/>
  <c r="S23" i="52" s="1"/>
  <c r="T23" i="52" s="1"/>
  <c r="D59" i="52"/>
  <c r="Q59" i="52" s="1"/>
  <c r="R59" i="52" s="1"/>
  <c r="S59" i="52" s="1"/>
  <c r="T59" i="52" s="1"/>
  <c r="D11" i="52"/>
  <c r="Q11" i="52" s="1"/>
  <c r="R11" i="52" s="1"/>
  <c r="S11" i="52" s="1"/>
  <c r="T11" i="52" s="1"/>
  <c r="D155" i="52"/>
  <c r="D131" i="52"/>
  <c r="D107" i="52"/>
  <c r="Q107" i="52" s="1"/>
  <c r="R107" i="52" s="1"/>
  <c r="S107" i="52" s="1"/>
  <c r="T107" i="52" s="1"/>
  <c r="D83" i="52"/>
  <c r="Q83" i="52" s="1"/>
  <c r="R83" i="52" s="1"/>
  <c r="S83" i="52" s="1"/>
  <c r="T83" i="52" s="1"/>
  <c r="D35" i="52"/>
  <c r="Q35" i="52" s="1"/>
  <c r="R35" i="52" s="1"/>
  <c r="S35" i="52" s="1"/>
  <c r="T35" i="52" s="1"/>
  <c r="D8" i="52"/>
  <c r="Q8" i="52" s="1"/>
  <c r="R8" i="52" s="1"/>
  <c r="S8" i="52" s="1"/>
  <c r="T8" i="52" s="1"/>
  <c r="D152" i="52"/>
  <c r="D128" i="52"/>
  <c r="D104" i="52"/>
  <c r="Q104" i="52" s="1"/>
  <c r="R104" i="52" s="1"/>
  <c r="S104" i="52" s="1"/>
  <c r="T104" i="52" s="1"/>
  <c r="D80" i="52"/>
  <c r="Q80" i="52" s="1"/>
  <c r="R80" i="52" s="1"/>
  <c r="S80" i="52" s="1"/>
  <c r="T80" i="52" s="1"/>
  <c r="D56" i="52"/>
  <c r="Q56" i="52" s="1"/>
  <c r="R56" i="52" s="1"/>
  <c r="S56" i="52" s="1"/>
  <c r="T56" i="52" s="1"/>
  <c r="D32" i="52"/>
  <c r="Q32" i="52" s="1"/>
  <c r="R32" i="52" s="1"/>
  <c r="S32" i="52" s="1"/>
  <c r="T32" i="52" s="1"/>
  <c r="D140" i="52"/>
  <c r="D116" i="52"/>
  <c r="Q116" i="52" s="1"/>
  <c r="R116" i="52" s="1"/>
  <c r="S116" i="52" s="1"/>
  <c r="T116" i="52" s="1"/>
  <c r="D92" i="52"/>
  <c r="D68" i="52"/>
  <c r="Q68" i="52" s="1"/>
  <c r="R68" i="52" s="1"/>
  <c r="S68" i="52" s="1"/>
  <c r="T68" i="52" s="1"/>
  <c r="D44" i="52"/>
  <c r="Q44" i="52" s="1"/>
  <c r="R44" i="52" s="1"/>
  <c r="S44" i="52" s="1"/>
  <c r="T44" i="52" s="1"/>
  <c r="D20" i="52"/>
  <c r="Q20" i="52" s="1"/>
  <c r="R20" i="52" s="1"/>
  <c r="S20" i="52" s="1"/>
  <c r="T20" i="52" s="1"/>
  <c r="D7" i="52"/>
  <c r="Q7" i="52" s="1"/>
  <c r="R7" i="52" s="1"/>
  <c r="S7" i="52" s="1"/>
  <c r="T7" i="52" s="1"/>
  <c r="D151" i="52"/>
  <c r="D127" i="52"/>
  <c r="D103" i="52"/>
  <c r="Q103" i="52" s="1"/>
  <c r="R103" i="52" s="1"/>
  <c r="S103" i="52" s="1"/>
  <c r="T103" i="52" s="1"/>
  <c r="D79" i="52"/>
  <c r="Q79" i="52" s="1"/>
  <c r="R79" i="52" s="1"/>
  <c r="S79" i="52" s="1"/>
  <c r="T79" i="52" s="1"/>
  <c r="D55" i="52"/>
  <c r="Q55" i="52" s="1"/>
  <c r="R55" i="52" s="1"/>
  <c r="S55" i="52" s="1"/>
  <c r="T55" i="52" s="1"/>
  <c r="D31" i="52"/>
  <c r="Q31" i="52" s="1"/>
  <c r="R31" i="52" s="1"/>
  <c r="S31" i="52" s="1"/>
  <c r="T31" i="52" s="1"/>
  <c r="D115" i="52"/>
  <c r="Q115" i="52" s="1"/>
  <c r="R115" i="52" s="1"/>
  <c r="S115" i="52" s="1"/>
  <c r="T115" i="52" s="1"/>
  <c r="D91" i="52"/>
  <c r="D43" i="52"/>
  <c r="Q43" i="52" s="1"/>
  <c r="R43" i="52" s="1"/>
  <c r="S43" i="52" s="1"/>
  <c r="T43" i="52" s="1"/>
  <c r="D139" i="52"/>
  <c r="D67" i="52"/>
  <c r="Q67" i="52" s="1"/>
  <c r="R67" i="52" s="1"/>
  <c r="S67" i="52" s="1"/>
  <c r="T67" i="52" s="1"/>
  <c r="D19" i="52"/>
  <c r="Q19" i="52" s="1"/>
  <c r="R19" i="52" s="1"/>
  <c r="S19" i="52" s="1"/>
  <c r="T19" i="52" s="1"/>
  <c r="D137" i="52"/>
  <c r="D113" i="52"/>
  <c r="Q113" i="52" s="1"/>
  <c r="R113" i="52" s="1"/>
  <c r="S113" i="52" s="1"/>
  <c r="T113" i="52" s="1"/>
  <c r="D89" i="52"/>
  <c r="D65" i="52"/>
  <c r="Q65" i="52" s="1"/>
  <c r="R65" i="52" s="1"/>
  <c r="S65" i="52" s="1"/>
  <c r="T65" i="52" s="1"/>
  <c r="D41" i="52"/>
  <c r="Q41" i="52" s="1"/>
  <c r="R41" i="52" s="1"/>
  <c r="S41" i="52" s="1"/>
  <c r="T41" i="52" s="1"/>
  <c r="D17" i="52"/>
  <c r="Q17" i="52" s="1"/>
  <c r="R17" i="52" s="1"/>
  <c r="S17" i="52" s="1"/>
  <c r="T17" i="52" s="1"/>
  <c r="D5" i="52"/>
  <c r="Q5" i="52" s="1"/>
  <c r="R5" i="52" s="1"/>
  <c r="S5" i="52" s="1"/>
  <c r="T5" i="52" s="1"/>
  <c r="D149" i="52"/>
  <c r="D125" i="52"/>
  <c r="D101" i="52"/>
  <c r="Q101" i="52" s="1"/>
  <c r="R101" i="52" s="1"/>
  <c r="S101" i="52" s="1"/>
  <c r="T101" i="52" s="1"/>
  <c r="D77" i="52"/>
  <c r="Q77" i="52" s="1"/>
  <c r="R77" i="52" s="1"/>
  <c r="S77" i="52" s="1"/>
  <c r="T77" i="52" s="1"/>
  <c r="D53" i="52"/>
  <c r="Q53" i="52" s="1"/>
  <c r="R53" i="52" s="1"/>
  <c r="S53" i="52" s="1"/>
  <c r="T53" i="52" s="1"/>
  <c r="D29" i="52"/>
  <c r="Q29" i="52" s="1"/>
  <c r="R29" i="52" s="1"/>
  <c r="S29" i="52" s="1"/>
  <c r="T29" i="52" s="1"/>
  <c r="D136" i="52"/>
  <c r="D112" i="52"/>
  <c r="Q112" i="52" s="1"/>
  <c r="R112" i="52" s="1"/>
  <c r="S112" i="52" s="1"/>
  <c r="T112" i="52" s="1"/>
  <c r="D88" i="52"/>
  <c r="D64" i="52"/>
  <c r="Q64" i="52" s="1"/>
  <c r="R64" i="52" s="1"/>
  <c r="S64" i="52" s="1"/>
  <c r="T64" i="52" s="1"/>
  <c r="D40" i="52"/>
  <c r="Q40" i="52" s="1"/>
  <c r="R40" i="52" s="1"/>
  <c r="S40" i="52" s="1"/>
  <c r="T40" i="52" s="1"/>
  <c r="D16" i="52"/>
  <c r="Q16" i="52" s="1"/>
  <c r="R16" i="52" s="1"/>
  <c r="S16" i="52" s="1"/>
  <c r="T16" i="52" s="1"/>
  <c r="D4" i="52"/>
  <c r="Q4" i="52" s="1"/>
  <c r="R4" i="52" s="1"/>
  <c r="S4" i="52" s="1"/>
  <c r="T4" i="52" s="1"/>
  <c r="D148" i="52"/>
  <c r="D124" i="52"/>
  <c r="D100" i="52"/>
  <c r="Q100" i="52" s="1"/>
  <c r="R100" i="52" s="1"/>
  <c r="S100" i="52" s="1"/>
  <c r="T100" i="52" s="1"/>
  <c r="D76" i="52"/>
  <c r="Q76" i="52" s="1"/>
  <c r="R76" i="52" s="1"/>
  <c r="S76" i="52" s="1"/>
  <c r="T76" i="52" s="1"/>
  <c r="D52" i="52"/>
  <c r="Q52" i="52" s="1"/>
  <c r="R52" i="52" s="1"/>
  <c r="S52" i="52" s="1"/>
  <c r="T52" i="52" s="1"/>
  <c r="D28" i="52"/>
  <c r="Q28" i="52" s="1"/>
  <c r="R28" i="52" s="1"/>
  <c r="S28" i="52" s="1"/>
  <c r="T28" i="52" s="1"/>
  <c r="D144" i="52"/>
  <c r="D120" i="52"/>
  <c r="Q120" i="52" s="1"/>
  <c r="R120" i="52" s="1"/>
  <c r="S120" i="52" s="1"/>
  <c r="T120" i="52" s="1"/>
  <c r="D96" i="52"/>
  <c r="D72" i="52"/>
  <c r="Q72" i="52" s="1"/>
  <c r="R72" i="52" s="1"/>
  <c r="S72" i="52" s="1"/>
  <c r="T72" i="52" s="1"/>
  <c r="D48" i="52"/>
  <c r="Q48" i="52" s="1"/>
  <c r="R48" i="52" s="1"/>
  <c r="S48" i="52" s="1"/>
  <c r="T48" i="52" s="1"/>
  <c r="D24" i="52"/>
  <c r="Q24" i="52" s="1"/>
  <c r="R24" i="52" s="1"/>
  <c r="S24" i="52" s="1"/>
  <c r="T24" i="52" s="1"/>
  <c r="D12" i="52"/>
  <c r="Q12" i="52" s="1"/>
  <c r="R12" i="52" s="1"/>
  <c r="S12" i="52" s="1"/>
  <c r="T12" i="52" s="1"/>
  <c r="D156" i="52"/>
  <c r="D132" i="52"/>
  <c r="D108" i="52"/>
  <c r="Q108" i="52" s="1"/>
  <c r="R108" i="52" s="1"/>
  <c r="S108" i="52" s="1"/>
  <c r="T108" i="52" s="1"/>
  <c r="D84" i="52"/>
  <c r="Q84" i="52" s="1"/>
  <c r="R84" i="52" s="1"/>
  <c r="S84" i="52" s="1"/>
  <c r="T84" i="52" s="1"/>
  <c r="D60" i="52"/>
  <c r="Q60" i="52" s="1"/>
  <c r="R60" i="52" s="1"/>
  <c r="S60" i="52" s="1"/>
  <c r="T60" i="52" s="1"/>
  <c r="D36" i="52"/>
  <c r="Q36" i="52" s="1"/>
  <c r="R36" i="52" s="1"/>
  <c r="S36" i="52" s="1"/>
  <c r="T36" i="52" s="1"/>
  <c r="D138" i="52"/>
  <c r="D114" i="52"/>
  <c r="Q114" i="52" s="1"/>
  <c r="R114" i="52" s="1"/>
  <c r="S114" i="52" s="1"/>
  <c r="T114" i="52" s="1"/>
  <c r="D90" i="52"/>
  <c r="D66" i="52"/>
  <c r="Q66" i="52" s="1"/>
  <c r="R66" i="52" s="1"/>
  <c r="S66" i="52" s="1"/>
  <c r="T66" i="52" s="1"/>
  <c r="D42" i="52"/>
  <c r="Q42" i="52" s="1"/>
  <c r="R42" i="52" s="1"/>
  <c r="S42" i="52" s="1"/>
  <c r="T42" i="52" s="1"/>
  <c r="D18" i="52"/>
  <c r="Q18" i="52" s="1"/>
  <c r="R18" i="52" s="1"/>
  <c r="S18" i="52" s="1"/>
  <c r="T18" i="52" s="1"/>
  <c r="D6" i="52"/>
  <c r="Q6" i="52" s="1"/>
  <c r="R6" i="52" s="1"/>
  <c r="S6" i="52" s="1"/>
  <c r="T6" i="52" s="1"/>
  <c r="D150" i="52"/>
  <c r="D126" i="52"/>
  <c r="D102" i="52"/>
  <c r="Q102" i="52" s="1"/>
  <c r="R102" i="52" s="1"/>
  <c r="S102" i="52" s="1"/>
  <c r="T102" i="52" s="1"/>
  <c r="D78" i="52"/>
  <c r="Q78" i="52" s="1"/>
  <c r="R78" i="52" s="1"/>
  <c r="S78" i="52" s="1"/>
  <c r="T78" i="52" s="1"/>
  <c r="D54" i="52"/>
  <c r="Q54" i="52" s="1"/>
  <c r="R54" i="52" s="1"/>
  <c r="S54" i="52" s="1"/>
  <c r="T54" i="52" s="1"/>
  <c r="D30" i="52"/>
  <c r="Q30" i="52" s="1"/>
  <c r="R30" i="52" s="1"/>
  <c r="S30" i="52" s="1"/>
  <c r="T30" i="52" s="1"/>
  <c r="D9" i="52"/>
  <c r="Q9" i="52" s="1"/>
  <c r="R9" i="52" s="1"/>
  <c r="S9" i="52" s="1"/>
  <c r="T9" i="52" s="1"/>
  <c r="D153" i="52"/>
  <c r="D129" i="52"/>
  <c r="D105" i="52"/>
  <c r="Q105" i="52" s="1"/>
  <c r="R105" i="52" s="1"/>
  <c r="S105" i="52" s="1"/>
  <c r="T105" i="52" s="1"/>
  <c r="D81" i="52"/>
  <c r="Q81" i="52" s="1"/>
  <c r="R81" i="52" s="1"/>
  <c r="S81" i="52" s="1"/>
  <c r="T81" i="52" s="1"/>
  <c r="D57" i="52"/>
  <c r="Q57" i="52" s="1"/>
  <c r="R57" i="52" s="1"/>
  <c r="S57" i="52" s="1"/>
  <c r="T57" i="52" s="1"/>
  <c r="D33" i="52"/>
  <c r="Q33" i="52" s="1"/>
  <c r="R33" i="52" s="1"/>
  <c r="S33" i="52" s="1"/>
  <c r="T33" i="52" s="1"/>
  <c r="D141" i="52"/>
  <c r="D117" i="52"/>
  <c r="Q117" i="52" s="1"/>
  <c r="R117" i="52" s="1"/>
  <c r="S117" i="52" s="1"/>
  <c r="T117" i="52" s="1"/>
  <c r="D93" i="52"/>
  <c r="D69" i="52"/>
  <c r="Q69" i="52" s="1"/>
  <c r="R69" i="52" s="1"/>
  <c r="S69" i="52" s="1"/>
  <c r="T69" i="52" s="1"/>
  <c r="D45" i="52"/>
  <c r="Q45" i="52" s="1"/>
  <c r="R45" i="52" s="1"/>
  <c r="S45" i="52" s="1"/>
  <c r="T45" i="52" s="1"/>
  <c r="D21" i="52"/>
  <c r="Q21" i="52" s="1"/>
  <c r="R21" i="52" s="1"/>
  <c r="S21" i="52" s="1"/>
  <c r="T21" i="52" s="1"/>
  <c r="D154" i="52"/>
  <c r="D130" i="52"/>
  <c r="D106" i="52"/>
  <c r="Q106" i="52" s="1"/>
  <c r="R106" i="52" s="1"/>
  <c r="S106" i="52" s="1"/>
  <c r="T106" i="52" s="1"/>
  <c r="D82" i="52"/>
  <c r="Q82" i="52" s="1"/>
  <c r="R82" i="52" s="1"/>
  <c r="S82" i="52" s="1"/>
  <c r="T82" i="52" s="1"/>
  <c r="D58" i="52"/>
  <c r="Q58" i="52" s="1"/>
  <c r="R58" i="52" s="1"/>
  <c r="S58" i="52" s="1"/>
  <c r="T58" i="52" s="1"/>
  <c r="D34" i="52"/>
  <c r="Q34" i="52" s="1"/>
  <c r="R34" i="52" s="1"/>
  <c r="S34" i="52" s="1"/>
  <c r="T34" i="52" s="1"/>
  <c r="D142" i="52"/>
  <c r="D118" i="52"/>
  <c r="Q118" i="52" s="1"/>
  <c r="R118" i="52" s="1"/>
  <c r="S118" i="52" s="1"/>
  <c r="T118" i="52" s="1"/>
  <c r="D94" i="52"/>
  <c r="D70" i="52"/>
  <c r="Q70" i="52" s="1"/>
  <c r="R70" i="52" s="1"/>
  <c r="S70" i="52" s="1"/>
  <c r="T70" i="52" s="1"/>
  <c r="D46" i="52"/>
  <c r="Q46" i="52" s="1"/>
  <c r="R46" i="52" s="1"/>
  <c r="S46" i="52" s="1"/>
  <c r="T46" i="52" s="1"/>
  <c r="D22" i="52"/>
  <c r="Q22" i="52" s="1"/>
  <c r="R22" i="52" s="1"/>
  <c r="S22" i="52" s="1"/>
  <c r="T22" i="52" s="1"/>
  <c r="D10" i="52"/>
  <c r="Q10" i="52" s="1"/>
  <c r="R10" i="52" s="1"/>
  <c r="S10" i="52" s="1"/>
  <c r="T10" i="52" s="1"/>
  <c r="D158" i="52"/>
  <c r="D134" i="52"/>
  <c r="D110" i="52"/>
  <c r="Q110" i="52" s="1"/>
  <c r="R110" i="52" s="1"/>
  <c r="S110" i="52" s="1"/>
  <c r="T110" i="52" s="1"/>
  <c r="D86" i="52"/>
  <c r="Q86" i="52" s="1"/>
  <c r="R86" i="52" s="1"/>
  <c r="S86" i="52" s="1"/>
  <c r="T86" i="52" s="1"/>
  <c r="D62" i="52"/>
  <c r="Q62" i="52" s="1"/>
  <c r="R62" i="52" s="1"/>
  <c r="S62" i="52" s="1"/>
  <c r="T62" i="52" s="1"/>
  <c r="D38" i="52"/>
  <c r="Q38" i="52" s="1"/>
  <c r="R38" i="52" s="1"/>
  <c r="S38" i="52" s="1"/>
  <c r="T38" i="52" s="1"/>
  <c r="D14" i="52"/>
  <c r="Q14" i="52" s="1"/>
  <c r="R14" i="52" s="1"/>
  <c r="S14" i="52" s="1"/>
  <c r="T14" i="52" s="1"/>
  <c r="D146" i="52"/>
  <c r="D74" i="52"/>
  <c r="Q74" i="52" s="1"/>
  <c r="R74" i="52" s="1"/>
  <c r="S74" i="52" s="1"/>
  <c r="T74" i="52" s="1"/>
  <c r="D26" i="52"/>
  <c r="Q26" i="52" s="1"/>
  <c r="R26" i="52" s="1"/>
  <c r="S26" i="52" s="1"/>
  <c r="T26" i="52" s="1"/>
  <c r="D122" i="52"/>
  <c r="Q122" i="52" s="1"/>
  <c r="R122" i="52" s="1"/>
  <c r="S122" i="52" s="1"/>
  <c r="T122" i="52" s="1"/>
  <c r="D98" i="52"/>
  <c r="D50" i="52"/>
  <c r="Q50" i="52" s="1"/>
  <c r="R50" i="52" s="1"/>
  <c r="S50" i="52" s="1"/>
  <c r="T50" i="52" s="1"/>
  <c r="D145" i="52"/>
  <c r="D121" i="52"/>
  <c r="Q121" i="52" s="1"/>
  <c r="R121" i="52" s="1"/>
  <c r="S121" i="52" s="1"/>
  <c r="T121" i="52" s="1"/>
  <c r="D97" i="52"/>
  <c r="D73" i="52"/>
  <c r="Q73" i="52" s="1"/>
  <c r="R73" i="52" s="1"/>
  <c r="S73" i="52" s="1"/>
  <c r="T73" i="52" s="1"/>
  <c r="D49" i="52"/>
  <c r="Q49" i="52" s="1"/>
  <c r="R49" i="52" s="1"/>
  <c r="S49" i="52" s="1"/>
  <c r="T49" i="52" s="1"/>
  <c r="D25" i="52"/>
  <c r="Q25" i="52" s="1"/>
  <c r="R25" i="52" s="1"/>
  <c r="S25" i="52" s="1"/>
  <c r="T25" i="52" s="1"/>
  <c r="D13" i="52"/>
  <c r="Q13" i="52" s="1"/>
  <c r="R13" i="52" s="1"/>
  <c r="S13" i="52" s="1"/>
  <c r="T13" i="52" s="1"/>
  <c r="D157" i="52"/>
  <c r="D133" i="52"/>
  <c r="D109" i="52"/>
  <c r="Q109" i="52" s="1"/>
  <c r="R109" i="52" s="1"/>
  <c r="S109" i="52" s="1"/>
  <c r="T109" i="52" s="1"/>
  <c r="D85" i="52"/>
  <c r="Q85" i="52" s="1"/>
  <c r="R85" i="52" s="1"/>
  <c r="S85" i="52" s="1"/>
  <c r="T85" i="52" s="1"/>
  <c r="D61" i="52"/>
  <c r="Q61" i="52" s="1"/>
  <c r="R61" i="52" s="1"/>
  <c r="S61" i="52" s="1"/>
  <c r="T61" i="52" s="1"/>
  <c r="D37" i="52"/>
  <c r="Q37" i="52" s="1"/>
  <c r="R37" i="52" s="1"/>
  <c r="S37" i="52" s="1"/>
  <c r="T37" i="52" s="1"/>
  <c r="J53" i="7"/>
  <c r="B41" i="11"/>
  <c r="F63" i="60" s="1"/>
  <c r="G63" i="60" s="1"/>
  <c r="B42" i="11"/>
  <c r="C43" i="11"/>
  <c r="B43" i="11"/>
  <c r="D41" i="11"/>
  <c r="F65" i="60" s="1"/>
  <c r="G65" i="60" s="1"/>
  <c r="C42" i="11"/>
  <c r="E41" i="11"/>
  <c r="F66" i="60" s="1"/>
  <c r="D43" i="11"/>
  <c r="E43" i="11"/>
  <c r="E42" i="11"/>
  <c r="K23" i="32"/>
  <c r="D185" i="7"/>
  <c r="E47" i="11"/>
  <c r="S41" i="32"/>
  <c r="D47" i="11"/>
  <c r="F6" i="9"/>
  <c r="F8" i="9"/>
  <c r="L41" i="9"/>
  <c r="H40" i="9"/>
  <c r="L42" i="9"/>
  <c r="H42" i="9"/>
  <c r="H41" i="9"/>
  <c r="I42" i="9"/>
  <c r="B47" i="11"/>
  <c r="L40" i="9"/>
  <c r="F9" i="9"/>
  <c r="J39" i="52" s="1"/>
  <c r="F7" i="9"/>
  <c r="C294" i="60"/>
  <c r="B45" i="11"/>
  <c r="C47" i="11"/>
  <c r="I40" i="9"/>
  <c r="K40" i="9"/>
  <c r="K41" i="9"/>
  <c r="K42" i="9"/>
  <c r="C45" i="11"/>
  <c r="J42" i="9"/>
  <c r="I622" i="60" l="1"/>
  <c r="B16" i="17"/>
  <c r="O12" i="11" s="1"/>
  <c r="C111" i="58" s="1"/>
  <c r="E111" i="58" s="1"/>
  <c r="C110" i="56"/>
  <c r="E110" i="56" s="1"/>
  <c r="D426" i="60"/>
  <c r="D427" i="60"/>
  <c r="C427" i="60"/>
  <c r="C426" i="60"/>
  <c r="B427" i="60"/>
  <c r="B426" i="60"/>
  <c r="I615" i="60"/>
  <c r="I617" i="60"/>
  <c r="J597" i="60"/>
  <c r="I605" i="60" s="1"/>
  <c r="E605" i="60"/>
  <c r="N603" i="60" s="1"/>
  <c r="I634" i="60"/>
  <c r="B624" i="60"/>
  <c r="J615" i="60"/>
  <c r="E623" i="60"/>
  <c r="C600" i="60"/>
  <c r="E606" i="60"/>
  <c r="N604" i="60" s="1"/>
  <c r="J598" i="60"/>
  <c r="I606" i="60" s="1"/>
  <c r="G64" i="60"/>
  <c r="I621" i="60"/>
  <c r="E624" i="60"/>
  <c r="J616" i="60"/>
  <c r="I636" i="60"/>
  <c r="I616" i="60"/>
  <c r="G66" i="60"/>
  <c r="J596" i="60"/>
  <c r="I604" i="60" s="1"/>
  <c r="E604" i="60"/>
  <c r="N602" i="60" s="1"/>
  <c r="I635" i="60"/>
  <c r="E625" i="60"/>
  <c r="J617" i="60"/>
  <c r="B300" i="60"/>
  <c r="B143" i="60"/>
  <c r="B299" i="60"/>
  <c r="N12" i="11"/>
  <c r="X42" i="32"/>
  <c r="Z42" i="32"/>
  <c r="Y42" i="32"/>
  <c r="AA42" i="32"/>
  <c r="M37" i="9"/>
  <c r="M60" i="9" s="1"/>
  <c r="G318" i="60" s="1"/>
  <c r="G369" i="60" s="1"/>
  <c r="M59" i="9"/>
  <c r="G317" i="60" s="1"/>
  <c r="G368" i="60" s="1"/>
  <c r="G377" i="60" s="1"/>
  <c r="C15" i="17"/>
  <c r="C111" i="56" s="1"/>
  <c r="E111" i="56" s="1"/>
  <c r="F15" i="17"/>
  <c r="J27" i="7"/>
  <c r="J28" i="7" s="1"/>
  <c r="J27" i="52"/>
  <c r="J15" i="7"/>
  <c r="L15" i="7" s="1"/>
  <c r="J15" i="52"/>
  <c r="J3" i="7"/>
  <c r="J4" i="7" s="1"/>
  <c r="J3" i="52"/>
  <c r="J40" i="52"/>
  <c r="L39" i="52"/>
  <c r="M39" i="52" s="1"/>
  <c r="J54" i="52"/>
  <c r="L53" i="52"/>
  <c r="M53" i="52" s="1"/>
  <c r="D99" i="52"/>
  <c r="Q99" i="52" s="1"/>
  <c r="D135" i="52"/>
  <c r="D39" i="52"/>
  <c r="Q39" i="52" s="1"/>
  <c r="D75" i="52"/>
  <c r="Q75" i="52" s="1"/>
  <c r="D3" i="52"/>
  <c r="Q3" i="52" s="1"/>
  <c r="D111" i="52"/>
  <c r="Q111" i="52" s="1"/>
  <c r="D15" i="52"/>
  <c r="Q15" i="52" s="1"/>
  <c r="D147" i="52"/>
  <c r="D51" i="52"/>
  <c r="Q51" i="52" s="1"/>
  <c r="D87" i="52"/>
  <c r="D123" i="52"/>
  <c r="D27" i="52"/>
  <c r="Q27" i="52" s="1"/>
  <c r="D63" i="52"/>
  <c r="Q63" i="52" s="1"/>
  <c r="L27" i="7"/>
  <c r="J39" i="7"/>
  <c r="J40" i="7" s="1"/>
  <c r="J54" i="7"/>
  <c r="H12" i="11"/>
  <c r="H31" i="9"/>
  <c r="W42" i="32"/>
  <c r="V42" i="32"/>
  <c r="F12" i="11"/>
  <c r="U42" i="32"/>
  <c r="L43" i="32"/>
  <c r="D52" i="11"/>
  <c r="E52" i="11"/>
  <c r="B51" i="11"/>
  <c r="E51" i="11"/>
  <c r="E50" i="11"/>
  <c r="C51" i="11"/>
  <c r="D51" i="11"/>
  <c r="D50" i="11"/>
  <c r="C52" i="11"/>
  <c r="B50" i="11"/>
  <c r="B52" i="11"/>
  <c r="C50" i="11"/>
  <c r="F143" i="60" l="1"/>
  <c r="F166" i="60" s="1"/>
  <c r="F299" i="60"/>
  <c r="N32" i="11"/>
  <c r="I625" i="60"/>
  <c r="I624" i="60"/>
  <c r="I623" i="60"/>
  <c r="C670" i="60"/>
  <c r="B689" i="60"/>
  <c r="B651" i="60"/>
  <c r="C632" i="60"/>
  <c r="E15" i="17"/>
  <c r="E294" i="60"/>
  <c r="D15" i="17"/>
  <c r="D294" i="60"/>
  <c r="C143" i="60"/>
  <c r="C166" i="60" s="1"/>
  <c r="C299" i="60"/>
  <c r="N17" i="11"/>
  <c r="V13" i="11"/>
  <c r="V14" i="11"/>
  <c r="V12" i="11"/>
  <c r="T12" i="11"/>
  <c r="T14" i="11"/>
  <c r="T13" i="11"/>
  <c r="B166" i="60"/>
  <c r="M67" i="9"/>
  <c r="M63" i="9"/>
  <c r="F16" i="17"/>
  <c r="C16" i="17"/>
  <c r="O17" i="11" s="1"/>
  <c r="C112" i="58" s="1"/>
  <c r="E112" i="58" s="1"/>
  <c r="E120" i="58" s="1"/>
  <c r="H45" i="9"/>
  <c r="H46" i="9"/>
  <c r="J16" i="7"/>
  <c r="J17" i="7" s="1"/>
  <c r="L3" i="7"/>
  <c r="M3" i="7" s="1"/>
  <c r="J41" i="52"/>
  <c r="L40" i="52"/>
  <c r="M40" i="52" s="1"/>
  <c r="J4" i="52"/>
  <c r="L3" i="52"/>
  <c r="M3" i="52" s="1"/>
  <c r="J16" i="52"/>
  <c r="L15" i="52"/>
  <c r="M15" i="52" s="1"/>
  <c r="J28" i="52"/>
  <c r="L27" i="52"/>
  <c r="M27" i="52" s="1"/>
  <c r="L54" i="52"/>
  <c r="M54" i="52" s="1"/>
  <c r="J55" i="52"/>
  <c r="Q165" i="52"/>
  <c r="R15" i="52"/>
  <c r="S15" i="52" s="1"/>
  <c r="T15" i="52" s="1"/>
  <c r="Q173" i="52"/>
  <c r="U173" i="7" s="1"/>
  <c r="R63" i="52"/>
  <c r="S63" i="52" s="1"/>
  <c r="T63" i="52" s="1"/>
  <c r="Q169" i="52"/>
  <c r="R3" i="52"/>
  <c r="S3" i="52" s="1"/>
  <c r="T3" i="52" s="1"/>
  <c r="Q164" i="52"/>
  <c r="Q166" i="52"/>
  <c r="R27" i="52"/>
  <c r="S27" i="52" s="1"/>
  <c r="T27" i="52" s="1"/>
  <c r="R75" i="52"/>
  <c r="S75" i="52" s="1"/>
  <c r="T75" i="52" s="1"/>
  <c r="Q170" i="52"/>
  <c r="R39" i="52"/>
  <c r="S39" i="52" s="1"/>
  <c r="T39" i="52" s="1"/>
  <c r="Q167" i="52"/>
  <c r="R51" i="52"/>
  <c r="S51" i="52" s="1"/>
  <c r="T51" i="52" s="1"/>
  <c r="Q168" i="52"/>
  <c r="Q172" i="52"/>
  <c r="R99" i="52"/>
  <c r="S99" i="52" s="1"/>
  <c r="T99" i="52" s="1"/>
  <c r="M15" i="7"/>
  <c r="M27" i="7"/>
  <c r="J5" i="7"/>
  <c r="L4" i="7"/>
  <c r="J29" i="7"/>
  <c r="L28" i="7"/>
  <c r="J88" i="7"/>
  <c r="J55" i="7"/>
  <c r="J41" i="7"/>
  <c r="J12" i="11"/>
  <c r="I31" i="9"/>
  <c r="J32" i="11"/>
  <c r="C693" i="60" s="1"/>
  <c r="H32" i="11"/>
  <c r="F22" i="11"/>
  <c r="G12" i="11"/>
  <c r="H8" i="17"/>
  <c r="F45" i="11" s="1"/>
  <c r="G32" i="11"/>
  <c r="F32" i="11"/>
  <c r="O32" i="11" l="1"/>
  <c r="F300" i="60"/>
  <c r="T32" i="11"/>
  <c r="T34" i="11"/>
  <c r="T33" i="11"/>
  <c r="R167" i="52"/>
  <c r="S167" i="52" s="1"/>
  <c r="T167" i="52" s="1"/>
  <c r="U167" i="7"/>
  <c r="E236" i="60" s="1"/>
  <c r="F236" i="60" s="1"/>
  <c r="R169" i="52"/>
  <c r="S169" i="52" s="1"/>
  <c r="T169" i="52" s="1"/>
  <c r="U169" i="7"/>
  <c r="E238" i="60" s="1"/>
  <c r="F238" i="60" s="1"/>
  <c r="R165" i="52"/>
  <c r="S165" i="52" s="1"/>
  <c r="T165" i="52" s="1"/>
  <c r="U165" i="7"/>
  <c r="E234" i="60" s="1"/>
  <c r="F234" i="60" s="1"/>
  <c r="R170" i="52"/>
  <c r="S170" i="52" s="1"/>
  <c r="T170" i="52" s="1"/>
  <c r="U170" i="7"/>
  <c r="E239" i="60" s="1"/>
  <c r="F239" i="60" s="1"/>
  <c r="R172" i="52"/>
  <c r="S172" i="52" s="1"/>
  <c r="T172" i="52" s="1"/>
  <c r="U172" i="7"/>
  <c r="R166" i="52"/>
  <c r="S166" i="52" s="1"/>
  <c r="T166" i="52" s="1"/>
  <c r="U166" i="7"/>
  <c r="E235" i="60" s="1"/>
  <c r="F235" i="60" s="1"/>
  <c r="R168" i="52"/>
  <c r="S168" i="52" s="1"/>
  <c r="T168" i="52" s="1"/>
  <c r="U168" i="7"/>
  <c r="E237" i="60" s="1"/>
  <c r="F237" i="60" s="1"/>
  <c r="R164" i="52"/>
  <c r="S164" i="52" s="1"/>
  <c r="T164" i="52" s="1"/>
  <c r="U164" i="7"/>
  <c r="E233" i="60" s="1"/>
  <c r="F233" i="60" s="1"/>
  <c r="D63" i="60" s="1"/>
  <c r="E242" i="60"/>
  <c r="F242" i="60" s="1"/>
  <c r="V173" i="7"/>
  <c r="O15" i="9" s="1"/>
  <c r="H135" i="7"/>
  <c r="Q135" i="7" s="1"/>
  <c r="C112" i="56"/>
  <c r="E112" i="56" s="1"/>
  <c r="E119" i="56" s="1"/>
  <c r="H15" i="17"/>
  <c r="N45" i="11" s="1"/>
  <c r="D16" i="17"/>
  <c r="O22" i="11" s="1"/>
  <c r="C147" i="58"/>
  <c r="E147" i="58" s="1"/>
  <c r="H147" i="58" s="1"/>
  <c r="K147" i="58" s="1"/>
  <c r="C131" i="58"/>
  <c r="K128" i="58" s="1"/>
  <c r="C12" i="56"/>
  <c r="C26" i="56" s="1"/>
  <c r="N38" i="11"/>
  <c r="X15" i="11"/>
  <c r="T15" i="11"/>
  <c r="V15" i="11"/>
  <c r="B674" i="60"/>
  <c r="C655" i="60"/>
  <c r="C689" i="60"/>
  <c r="B670" i="60"/>
  <c r="B678" i="60" s="1"/>
  <c r="M677" i="60" s="1"/>
  <c r="C651" i="60"/>
  <c r="I689" i="60"/>
  <c r="B693" i="60"/>
  <c r="B701" i="60" s="1"/>
  <c r="M700" i="60" s="1"/>
  <c r="C674" i="60"/>
  <c r="I651" i="60"/>
  <c r="C636" i="60"/>
  <c r="B644" i="60" s="1"/>
  <c r="M643" i="60" s="1"/>
  <c r="B655" i="60"/>
  <c r="B653" i="60"/>
  <c r="C634" i="60"/>
  <c r="B642" i="60" s="1"/>
  <c r="M641" i="60" s="1"/>
  <c r="J670" i="60"/>
  <c r="B640" i="60"/>
  <c r="M639" i="60" s="1"/>
  <c r="J632" i="60"/>
  <c r="I640" i="60" s="1"/>
  <c r="P639" i="60" s="1"/>
  <c r="E143" i="60"/>
  <c r="E166" i="60" s="1"/>
  <c r="E299" i="60"/>
  <c r="E16" i="17"/>
  <c r="O27" i="11" s="1"/>
  <c r="N27" i="11"/>
  <c r="D143" i="60"/>
  <c r="D299" i="60"/>
  <c r="N22" i="11"/>
  <c r="T18" i="11"/>
  <c r="T17" i="11"/>
  <c r="T19" i="11"/>
  <c r="C300" i="60"/>
  <c r="AG12" i="11"/>
  <c r="H145" i="7"/>
  <c r="Q145" i="7" s="1"/>
  <c r="H146" i="7"/>
  <c r="Q146" i="7" s="1"/>
  <c r="H138" i="7"/>
  <c r="Q138" i="7" s="1"/>
  <c r="H142" i="7"/>
  <c r="Q142" i="7" s="1"/>
  <c r="H136" i="7"/>
  <c r="Q136" i="7" s="1"/>
  <c r="H135" i="52"/>
  <c r="Q135" i="52" s="1"/>
  <c r="H143" i="7"/>
  <c r="Q143" i="7" s="1"/>
  <c r="H140" i="7"/>
  <c r="Q140" i="7" s="1"/>
  <c r="H139" i="7"/>
  <c r="Q139" i="7" s="1"/>
  <c r="H137" i="7"/>
  <c r="Q137" i="7" s="1"/>
  <c r="H141" i="7"/>
  <c r="Q141" i="7" s="1"/>
  <c r="H147" i="7"/>
  <c r="Q147" i="7" s="1"/>
  <c r="L16" i="7"/>
  <c r="M16" i="7" s="1"/>
  <c r="I45" i="9"/>
  <c r="I46" i="9"/>
  <c r="J29" i="52"/>
  <c r="L28" i="52"/>
  <c r="M28" i="52" s="1"/>
  <c r="J17" i="52"/>
  <c r="L16" i="52"/>
  <c r="M16" i="52" s="1"/>
  <c r="J5" i="52"/>
  <c r="L4" i="52"/>
  <c r="M4" i="52" s="1"/>
  <c r="L55" i="52"/>
  <c r="M55" i="52" s="1"/>
  <c r="J56" i="52"/>
  <c r="J42" i="52"/>
  <c r="L41" i="52"/>
  <c r="M41" i="52" s="1"/>
  <c r="M28" i="7"/>
  <c r="L29" i="7"/>
  <c r="J30" i="7"/>
  <c r="M4" i="7"/>
  <c r="L17" i="7"/>
  <c r="J18" i="7"/>
  <c r="J6" i="7"/>
  <c r="L5" i="7"/>
  <c r="J89" i="7"/>
  <c r="J42" i="7"/>
  <c r="J56" i="7"/>
  <c r="M68" i="9"/>
  <c r="K31" i="9"/>
  <c r="J31" i="9"/>
  <c r="H22" i="11"/>
  <c r="H27" i="11"/>
  <c r="H10" i="17"/>
  <c r="G22" i="11"/>
  <c r="F27" i="11"/>
  <c r="G45" i="11"/>
  <c r="K44" i="9"/>
  <c r="T35" i="11" l="1"/>
  <c r="AG18" i="11"/>
  <c r="B682" i="60"/>
  <c r="M681" i="60" s="1"/>
  <c r="V33" i="11"/>
  <c r="V34" i="11"/>
  <c r="V32" i="11"/>
  <c r="F74" i="60"/>
  <c r="G74" i="60" s="1"/>
  <c r="D300" i="60"/>
  <c r="G233" i="60"/>
  <c r="H392" i="60"/>
  <c r="F392" i="60"/>
  <c r="G392" i="60"/>
  <c r="E63" i="60"/>
  <c r="H396" i="60"/>
  <c r="F396" i="60"/>
  <c r="H630" i="60"/>
  <c r="G396" i="60"/>
  <c r="D67" i="60"/>
  <c r="G237" i="60"/>
  <c r="H393" i="60"/>
  <c r="G234" i="60"/>
  <c r="F393" i="60"/>
  <c r="G393" i="60"/>
  <c r="D64" i="60"/>
  <c r="G235" i="60"/>
  <c r="G394" i="60"/>
  <c r="H394" i="60"/>
  <c r="H592" i="60"/>
  <c r="F394" i="60"/>
  <c r="D65" i="60"/>
  <c r="H649" i="60"/>
  <c r="G397" i="60"/>
  <c r="D68" i="60"/>
  <c r="H397" i="60"/>
  <c r="G238" i="60"/>
  <c r="F397" i="60"/>
  <c r="H668" i="60"/>
  <c r="G398" i="60"/>
  <c r="F398" i="60"/>
  <c r="H398" i="60"/>
  <c r="D69" i="60"/>
  <c r="E69" i="60" s="1"/>
  <c r="G239" i="60"/>
  <c r="E241" i="60"/>
  <c r="F241" i="60" s="1"/>
  <c r="V172" i="7"/>
  <c r="G395" i="60"/>
  <c r="H395" i="60"/>
  <c r="G236" i="60"/>
  <c r="F395" i="60"/>
  <c r="H611" i="60"/>
  <c r="D66" i="60"/>
  <c r="H144" i="7"/>
  <c r="Q144" i="7" s="1"/>
  <c r="V15" i="9"/>
  <c r="AC15" i="9" s="1"/>
  <c r="Q15" i="9"/>
  <c r="AC12" i="9" s="1"/>
  <c r="S15" i="9"/>
  <c r="AC14" i="9" s="1"/>
  <c r="T15" i="9"/>
  <c r="AC17" i="9" s="1"/>
  <c r="U15" i="9"/>
  <c r="AC16" i="9" s="1"/>
  <c r="R15" i="9"/>
  <c r="AC13" i="9" s="1"/>
  <c r="D72" i="60"/>
  <c r="F401" i="60"/>
  <c r="G401" i="60"/>
  <c r="H401" i="60"/>
  <c r="C130" i="56"/>
  <c r="C146" i="56"/>
  <c r="E146" i="56" s="1"/>
  <c r="H146" i="56" s="1"/>
  <c r="K146" i="56" s="1"/>
  <c r="H299" i="60"/>
  <c r="H16" i="17"/>
  <c r="O45" i="11" s="1"/>
  <c r="U39" i="11"/>
  <c r="U38" i="11"/>
  <c r="U37" i="11"/>
  <c r="K26" i="56"/>
  <c r="E104" i="56"/>
  <c r="G104" i="56" s="1"/>
  <c r="E26" i="56"/>
  <c r="X20" i="11"/>
  <c r="T20" i="11"/>
  <c r="B659" i="60"/>
  <c r="M658" i="60" s="1"/>
  <c r="J651" i="60"/>
  <c r="I659" i="60" s="1"/>
  <c r="P658" i="60" s="1"/>
  <c r="C635" i="60"/>
  <c r="B643" i="60" s="1"/>
  <c r="M642" i="60" s="1"/>
  <c r="B654" i="60"/>
  <c r="B657" i="60" s="1"/>
  <c r="I670" i="60"/>
  <c r="I678" i="60" s="1"/>
  <c r="P677" i="60" s="1"/>
  <c r="B697" i="60"/>
  <c r="M696" i="60" s="1"/>
  <c r="B691" i="60"/>
  <c r="C672" i="60"/>
  <c r="B672" i="60"/>
  <c r="C653" i="60"/>
  <c r="B661" i="60" s="1"/>
  <c r="M660" i="60" s="1"/>
  <c r="C673" i="60"/>
  <c r="B692" i="60"/>
  <c r="B663" i="60"/>
  <c r="M662" i="60" s="1"/>
  <c r="T28" i="11"/>
  <c r="X43" i="11" s="1"/>
  <c r="T27" i="11"/>
  <c r="T29" i="11"/>
  <c r="X44" i="11" s="1"/>
  <c r="E300" i="60"/>
  <c r="O41" i="11"/>
  <c r="O40" i="11" s="1"/>
  <c r="T24" i="11"/>
  <c r="T23" i="11"/>
  <c r="T22" i="11"/>
  <c r="X25" i="11" s="1"/>
  <c r="N41" i="11"/>
  <c r="N50" i="11" s="1"/>
  <c r="D166" i="60"/>
  <c r="H143" i="60"/>
  <c r="V24" i="11"/>
  <c r="V22" i="11"/>
  <c r="V23" i="11"/>
  <c r="AG14" i="11"/>
  <c r="V18" i="11"/>
  <c r="V17" i="11"/>
  <c r="V19" i="11"/>
  <c r="H143" i="52"/>
  <c r="Q143" i="52" s="1"/>
  <c r="H136" i="52"/>
  <c r="Q136" i="52" s="1"/>
  <c r="H141" i="52"/>
  <c r="Q141" i="52" s="1"/>
  <c r="H142" i="52"/>
  <c r="Q142" i="52" s="1"/>
  <c r="H144" i="52"/>
  <c r="Q144" i="52" s="1"/>
  <c r="H137" i="52"/>
  <c r="Q137" i="52" s="1"/>
  <c r="H138" i="52"/>
  <c r="Q138" i="52" s="1"/>
  <c r="H139" i="52"/>
  <c r="Q139" i="52" s="1"/>
  <c r="H146" i="52"/>
  <c r="Q146" i="52" s="1"/>
  <c r="H152" i="7"/>
  <c r="Q152" i="7" s="1"/>
  <c r="H150" i="7"/>
  <c r="Q150" i="7" s="1"/>
  <c r="H157" i="7"/>
  <c r="Q157" i="7" s="1"/>
  <c r="H151" i="7"/>
  <c r="Q151" i="7" s="1"/>
  <c r="H149" i="7"/>
  <c r="Q149" i="7" s="1"/>
  <c r="H156" i="7"/>
  <c r="Q156" i="7" s="1"/>
  <c r="H154" i="7"/>
  <c r="Q154" i="7" s="1"/>
  <c r="H153" i="7"/>
  <c r="Q153" i="7" s="1"/>
  <c r="H147" i="52"/>
  <c r="Q147" i="52" s="1"/>
  <c r="H158" i="7"/>
  <c r="Q158" i="7" s="1"/>
  <c r="H155" i="7"/>
  <c r="Q155" i="7" s="1"/>
  <c r="H148" i="7"/>
  <c r="Q148" i="7" s="1"/>
  <c r="H140" i="52"/>
  <c r="Q140" i="52" s="1"/>
  <c r="H145" i="52"/>
  <c r="Q145" i="52" s="1"/>
  <c r="J46" i="9"/>
  <c r="J45" i="9"/>
  <c r="K45" i="9"/>
  <c r="K46" i="9"/>
  <c r="J57" i="52"/>
  <c r="L56" i="52"/>
  <c r="M56" i="52" s="1"/>
  <c r="J6" i="52"/>
  <c r="L5" i="52"/>
  <c r="M5" i="52" s="1"/>
  <c r="J18" i="52"/>
  <c r="L17" i="52"/>
  <c r="M17" i="52" s="1"/>
  <c r="J43" i="52"/>
  <c r="L42" i="52"/>
  <c r="M42" i="52" s="1"/>
  <c r="J30" i="52"/>
  <c r="L29" i="52"/>
  <c r="M29" i="52" s="1"/>
  <c r="M5" i="7"/>
  <c r="J19" i="7"/>
  <c r="L18" i="7"/>
  <c r="J7" i="7"/>
  <c r="L6" i="7"/>
  <c r="M17" i="7"/>
  <c r="J31" i="7"/>
  <c r="L30" i="7"/>
  <c r="M29" i="7"/>
  <c r="J90" i="7"/>
  <c r="J57" i="7"/>
  <c r="J43" i="7"/>
  <c r="H11" i="17"/>
  <c r="J22" i="11"/>
  <c r="H45" i="11"/>
  <c r="J27" i="11"/>
  <c r="C692" i="60" s="1"/>
  <c r="H41" i="11"/>
  <c r="F69" i="60" s="1"/>
  <c r="J44" i="9"/>
  <c r="I44" i="9"/>
  <c r="I56" i="9" s="1"/>
  <c r="I54" i="9" s="1"/>
  <c r="F41" i="11"/>
  <c r="F67" i="60" s="1"/>
  <c r="G67" i="60" s="1"/>
  <c r="G27" i="11"/>
  <c r="H300" i="60" l="1"/>
  <c r="I393" i="60"/>
  <c r="I396" i="60"/>
  <c r="I394" i="60"/>
  <c r="E68" i="60"/>
  <c r="I395" i="60"/>
  <c r="E64" i="60"/>
  <c r="V35" i="11"/>
  <c r="AH18" i="11"/>
  <c r="J45" i="11"/>
  <c r="F70" i="60"/>
  <c r="G71" i="60" s="1"/>
  <c r="E65" i="60"/>
  <c r="G649" i="60"/>
  <c r="H632" i="60"/>
  <c r="H633" i="60"/>
  <c r="H637" i="60"/>
  <c r="H671" i="60"/>
  <c r="H670" i="60"/>
  <c r="G687" i="60"/>
  <c r="H675" i="60"/>
  <c r="O14" i="9"/>
  <c r="W172" i="7"/>
  <c r="I397" i="60"/>
  <c r="G611" i="60"/>
  <c r="H599" i="60"/>
  <c r="H594" i="60"/>
  <c r="H595" i="60"/>
  <c r="H596" i="60"/>
  <c r="H597" i="60"/>
  <c r="H598" i="60"/>
  <c r="H400" i="60"/>
  <c r="G400" i="60"/>
  <c r="D71" i="60"/>
  <c r="E72" i="60" s="1"/>
  <c r="F400" i="60"/>
  <c r="G241" i="60"/>
  <c r="I392" i="60"/>
  <c r="I398" i="60"/>
  <c r="H651" i="60"/>
  <c r="H652" i="60"/>
  <c r="G668" i="60"/>
  <c r="H656" i="60"/>
  <c r="E66" i="60"/>
  <c r="E67" i="60"/>
  <c r="G630" i="60"/>
  <c r="H618" i="60"/>
  <c r="H614" i="60"/>
  <c r="H613" i="60"/>
  <c r="H617" i="60"/>
  <c r="H616" i="60"/>
  <c r="H615" i="60"/>
  <c r="I401" i="60"/>
  <c r="F75" i="60"/>
  <c r="G75" i="60" s="1"/>
  <c r="G26" i="56"/>
  <c r="C140" i="56" s="1"/>
  <c r="E78" i="56"/>
  <c r="G78" i="56" s="1"/>
  <c r="E91" i="56"/>
  <c r="G91" i="56" s="1"/>
  <c r="E52" i="56"/>
  <c r="M104" i="56"/>
  <c r="O104" i="56" s="1"/>
  <c r="Y104" i="56" s="1"/>
  <c r="M26" i="56"/>
  <c r="AG23" i="11"/>
  <c r="U40" i="11"/>
  <c r="X30" i="11"/>
  <c r="X42" i="11"/>
  <c r="T30" i="11"/>
  <c r="T42" i="11"/>
  <c r="V20" i="11"/>
  <c r="T25" i="11"/>
  <c r="V25" i="11"/>
  <c r="T44" i="11"/>
  <c r="AH16" i="11"/>
  <c r="B700" i="60"/>
  <c r="M699" i="60" s="1"/>
  <c r="G70" i="60"/>
  <c r="C691" i="60"/>
  <c r="B680" i="60"/>
  <c r="M679" i="60" s="1"/>
  <c r="C676" i="60"/>
  <c r="C654" i="60"/>
  <c r="B662" i="60" s="1"/>
  <c r="M661" i="60" s="1"/>
  <c r="B673" i="60"/>
  <c r="B681" i="60" s="1"/>
  <c r="M680" i="60" s="1"/>
  <c r="AG16" i="11"/>
  <c r="C638" i="60"/>
  <c r="B695" i="60"/>
  <c r="T43" i="11"/>
  <c r="O50" i="11"/>
  <c r="V27" i="11"/>
  <c r="V29" i="11"/>
  <c r="V44" i="11" s="1"/>
  <c r="V28" i="11"/>
  <c r="V43" i="11" s="1"/>
  <c r="AG20" i="11"/>
  <c r="AH14" i="11"/>
  <c r="Q175" i="7"/>
  <c r="N5" i="11" s="1"/>
  <c r="Q175" i="52"/>
  <c r="H148" i="52"/>
  <c r="Q148" i="52" s="1"/>
  <c r="H151" i="52"/>
  <c r="Q151" i="52" s="1"/>
  <c r="H155" i="52"/>
  <c r="Q155" i="52" s="1"/>
  <c r="H157" i="52"/>
  <c r="Q157" i="52" s="1"/>
  <c r="H158" i="52"/>
  <c r="Q158" i="52" s="1"/>
  <c r="H150" i="52"/>
  <c r="Q150" i="52" s="1"/>
  <c r="H149" i="52"/>
  <c r="Q149" i="52" s="1"/>
  <c r="H152" i="52"/>
  <c r="Q152" i="52" s="1"/>
  <c r="H153" i="52"/>
  <c r="Q153" i="52" s="1"/>
  <c r="I36" i="9"/>
  <c r="H154" i="52"/>
  <c r="Q154" i="52" s="1"/>
  <c r="J56" i="9"/>
  <c r="J54" i="9" s="1"/>
  <c r="H156" i="52"/>
  <c r="Q156" i="52" s="1"/>
  <c r="K56" i="9"/>
  <c r="K54" i="9" s="1"/>
  <c r="L43" i="52"/>
  <c r="M43" i="52" s="1"/>
  <c r="J44" i="52"/>
  <c r="L18" i="52"/>
  <c r="M18" i="52" s="1"/>
  <c r="J19" i="52"/>
  <c r="J7" i="52"/>
  <c r="L6" i="52"/>
  <c r="M6" i="52" s="1"/>
  <c r="L30" i="52"/>
  <c r="M30" i="52" s="1"/>
  <c r="J31" i="52"/>
  <c r="L57" i="52"/>
  <c r="M57" i="52" s="1"/>
  <c r="J58" i="52"/>
  <c r="H50" i="11"/>
  <c r="R89" i="7"/>
  <c r="S89" i="7" s="1"/>
  <c r="M18" i="7"/>
  <c r="J20" i="7"/>
  <c r="L19" i="7"/>
  <c r="M30" i="7"/>
  <c r="M6" i="7"/>
  <c r="J32" i="7"/>
  <c r="L31" i="7"/>
  <c r="J8" i="7"/>
  <c r="L7" i="7"/>
  <c r="H187" i="7"/>
  <c r="J91" i="7"/>
  <c r="J58" i="7"/>
  <c r="J44" i="7"/>
  <c r="J41" i="11"/>
  <c r="F50" i="11"/>
  <c r="G41" i="11"/>
  <c r="F68" i="60" s="1"/>
  <c r="G68" i="60" s="1"/>
  <c r="I400" i="60" l="1"/>
  <c r="U175" i="7"/>
  <c r="L617" i="60"/>
  <c r="L656" i="60"/>
  <c r="G607" i="60"/>
  <c r="L599" i="60"/>
  <c r="K607" i="60" s="1"/>
  <c r="L671" i="60"/>
  <c r="G690" i="60"/>
  <c r="K690" i="60" s="1"/>
  <c r="G694" i="60"/>
  <c r="K694" i="60" s="1"/>
  <c r="G689" i="60"/>
  <c r="K689" i="60" s="1"/>
  <c r="L613" i="60"/>
  <c r="G671" i="60"/>
  <c r="K671" i="60" s="1"/>
  <c r="G675" i="60"/>
  <c r="K675" i="60" s="1"/>
  <c r="G670" i="60"/>
  <c r="K670" i="60" s="1"/>
  <c r="G618" i="60"/>
  <c r="K618" i="60" s="1"/>
  <c r="G613" i="60"/>
  <c r="K613" i="60" s="1"/>
  <c r="G614" i="60"/>
  <c r="K614" i="60" s="1"/>
  <c r="G615" i="60"/>
  <c r="K615" i="60" s="1"/>
  <c r="G617" i="60"/>
  <c r="K617" i="60" s="1"/>
  <c r="G616" i="60"/>
  <c r="K616" i="60" s="1"/>
  <c r="L637" i="60"/>
  <c r="L615" i="60"/>
  <c r="L614" i="60"/>
  <c r="L652" i="60"/>
  <c r="L633" i="60"/>
  <c r="L670" i="60"/>
  <c r="L618" i="60"/>
  <c r="L651" i="60"/>
  <c r="G606" i="60"/>
  <c r="L598" i="60"/>
  <c r="K606" i="60" s="1"/>
  <c r="L632" i="60"/>
  <c r="L595" i="60"/>
  <c r="K603" i="60" s="1"/>
  <c r="G603" i="60"/>
  <c r="L616" i="60"/>
  <c r="L594" i="60"/>
  <c r="K602" i="60" s="1"/>
  <c r="G602" i="60"/>
  <c r="G637" i="60"/>
  <c r="K637" i="60" s="1"/>
  <c r="G633" i="60"/>
  <c r="K633" i="60" s="1"/>
  <c r="G632" i="60"/>
  <c r="K632" i="60" s="1"/>
  <c r="G634" i="60"/>
  <c r="K634" i="60" s="1"/>
  <c r="G636" i="60"/>
  <c r="K636" i="60" s="1"/>
  <c r="G635" i="60"/>
  <c r="K635" i="60" s="1"/>
  <c r="L597" i="60"/>
  <c r="K605" i="60" s="1"/>
  <c r="G605" i="60"/>
  <c r="T14" i="9"/>
  <c r="AB17" i="9" s="1"/>
  <c r="S14" i="9"/>
  <c r="AB14" i="9" s="1"/>
  <c r="U14" i="9"/>
  <c r="AB16" i="9" s="1"/>
  <c r="Q14" i="9"/>
  <c r="AB12" i="9" s="1"/>
  <c r="V14" i="9"/>
  <c r="AB15" i="9" s="1"/>
  <c r="R14" i="9"/>
  <c r="AB13" i="9" s="1"/>
  <c r="G652" i="60"/>
  <c r="K652" i="60" s="1"/>
  <c r="G656" i="60"/>
  <c r="K656" i="60" s="1"/>
  <c r="G651" i="60"/>
  <c r="K651" i="60" s="1"/>
  <c r="G604" i="60"/>
  <c r="L596" i="60"/>
  <c r="K604" i="60" s="1"/>
  <c r="L675" i="60"/>
  <c r="C17" i="9"/>
  <c r="G17" i="9" s="1"/>
  <c r="G63" i="9" s="1"/>
  <c r="M91" i="56"/>
  <c r="O91" i="56" s="1"/>
  <c r="Y91" i="56" s="1"/>
  <c r="O26" i="56"/>
  <c r="M78" i="56"/>
  <c r="O78" i="56" s="1"/>
  <c r="Y78" i="56" s="1"/>
  <c r="E65" i="56"/>
  <c r="G65" i="56" s="1"/>
  <c r="Y65" i="56" s="1"/>
  <c r="G52" i="56"/>
  <c r="Y52" i="56" s="1"/>
  <c r="C657" i="60"/>
  <c r="V30" i="11"/>
  <c r="B699" i="60"/>
  <c r="M698" i="60" s="1"/>
  <c r="C695" i="60"/>
  <c r="G69" i="60"/>
  <c r="B676" i="60"/>
  <c r="AH20" i="11"/>
  <c r="V42" i="11"/>
  <c r="E244" i="60"/>
  <c r="V175" i="7"/>
  <c r="W175" i="7" s="1"/>
  <c r="G549" i="60"/>
  <c r="G553" i="60" s="1"/>
  <c r="G555" i="60" s="1"/>
  <c r="C244" i="60"/>
  <c r="Q176" i="7"/>
  <c r="C18" i="9" s="1"/>
  <c r="G18" i="9" s="1"/>
  <c r="Q176" i="52"/>
  <c r="U176" i="7" s="1"/>
  <c r="I37" i="9"/>
  <c r="I60" i="9" s="1"/>
  <c r="C318" i="60" s="1"/>
  <c r="C369" i="60" s="1"/>
  <c r="I59" i="9"/>
  <c r="J36" i="9"/>
  <c r="K36" i="9"/>
  <c r="L31" i="52"/>
  <c r="M31" i="52" s="1"/>
  <c r="J32" i="52"/>
  <c r="J8" i="52"/>
  <c r="L7" i="52"/>
  <c r="M7" i="52" s="1"/>
  <c r="J20" i="52"/>
  <c r="L19" i="52"/>
  <c r="M19" i="52" s="1"/>
  <c r="J59" i="52"/>
  <c r="L58" i="52"/>
  <c r="M58" i="52" s="1"/>
  <c r="J45" i="52"/>
  <c r="L44" i="52"/>
  <c r="M44" i="52" s="1"/>
  <c r="R129" i="7"/>
  <c r="S129" i="7" s="1"/>
  <c r="T129" i="7" s="1"/>
  <c r="Q129" i="52"/>
  <c r="R129" i="52" s="1"/>
  <c r="S129" i="52" s="1"/>
  <c r="T129" i="52" s="1"/>
  <c r="R134" i="7"/>
  <c r="S134" i="7" s="1"/>
  <c r="T134" i="7" s="1"/>
  <c r="Q134" i="52"/>
  <c r="R134" i="52" s="1"/>
  <c r="S134" i="52" s="1"/>
  <c r="T134" i="52" s="1"/>
  <c r="R133" i="7"/>
  <c r="S133" i="7" s="1"/>
  <c r="T133" i="7" s="1"/>
  <c r="Q133" i="52"/>
  <c r="R133" i="52" s="1"/>
  <c r="S133" i="52" s="1"/>
  <c r="T133" i="52" s="1"/>
  <c r="R131" i="7"/>
  <c r="S131" i="7" s="1"/>
  <c r="T131" i="7" s="1"/>
  <c r="Q131" i="52"/>
  <c r="R131" i="52" s="1"/>
  <c r="S131" i="52" s="1"/>
  <c r="T131" i="52" s="1"/>
  <c r="H191" i="52"/>
  <c r="Q93" i="52"/>
  <c r="R93" i="52" s="1"/>
  <c r="S93" i="52" s="1"/>
  <c r="T93" i="52" s="1"/>
  <c r="Q123" i="52"/>
  <c r="R126" i="7"/>
  <c r="S126" i="7" s="1"/>
  <c r="T126" i="7" s="1"/>
  <c r="Q126" i="52"/>
  <c r="R126" i="52" s="1"/>
  <c r="S126" i="52" s="1"/>
  <c r="T126" i="52" s="1"/>
  <c r="R124" i="7"/>
  <c r="S124" i="7" s="1"/>
  <c r="T124" i="7" s="1"/>
  <c r="Q124" i="52"/>
  <c r="R124" i="52" s="1"/>
  <c r="S124" i="52" s="1"/>
  <c r="T124" i="52" s="1"/>
  <c r="H186" i="52"/>
  <c r="Q88" i="52"/>
  <c r="R88" i="52" s="1"/>
  <c r="S88" i="52" s="1"/>
  <c r="T88" i="52" s="1"/>
  <c r="H193" i="7"/>
  <c r="R132" i="7"/>
  <c r="S132" i="7" s="1"/>
  <c r="T132" i="7" s="1"/>
  <c r="Q132" i="52"/>
  <c r="R132" i="52" s="1"/>
  <c r="S132" i="52" s="1"/>
  <c r="T132" i="52" s="1"/>
  <c r="H193" i="52"/>
  <c r="Q95" i="52"/>
  <c r="R95" i="52" s="1"/>
  <c r="S95" i="52" s="1"/>
  <c r="T95" i="52" s="1"/>
  <c r="H189" i="52"/>
  <c r="Q91" i="52"/>
  <c r="R91" i="52" s="1"/>
  <c r="S91" i="52" s="1"/>
  <c r="T91" i="52" s="1"/>
  <c r="R130" i="7"/>
  <c r="S130" i="7" s="1"/>
  <c r="T130" i="7" s="1"/>
  <c r="Q130" i="52"/>
  <c r="R130" i="52" s="1"/>
  <c r="S130" i="52" s="1"/>
  <c r="T130" i="52" s="1"/>
  <c r="H185" i="52"/>
  <c r="Q87" i="52"/>
  <c r="H195" i="52"/>
  <c r="Q97" i="52"/>
  <c r="R97" i="52" s="1"/>
  <c r="S97" i="52" s="1"/>
  <c r="T97" i="52" s="1"/>
  <c r="R127" i="7"/>
  <c r="S127" i="7" s="1"/>
  <c r="T127" i="7" s="1"/>
  <c r="Q127" i="52"/>
  <c r="R127" i="52" s="1"/>
  <c r="S127" i="52" s="1"/>
  <c r="T127" i="52" s="1"/>
  <c r="H187" i="52"/>
  <c r="Q89" i="52"/>
  <c r="R89" i="52" s="1"/>
  <c r="S89" i="52" s="1"/>
  <c r="T89" i="52" s="1"/>
  <c r="H192" i="52"/>
  <c r="Q94" i="52"/>
  <c r="R94" i="52" s="1"/>
  <c r="S94" i="52" s="1"/>
  <c r="T94" i="52" s="1"/>
  <c r="H194" i="52"/>
  <c r="Q96" i="52"/>
  <c r="R96" i="52" s="1"/>
  <c r="S96" i="52" s="1"/>
  <c r="T96" i="52" s="1"/>
  <c r="R88" i="7"/>
  <c r="S88" i="7" s="1"/>
  <c r="T88" i="7" s="1"/>
  <c r="H190" i="52"/>
  <c r="Q92" i="52"/>
  <c r="R92" i="52" s="1"/>
  <c r="S92" i="52" s="1"/>
  <c r="T92" i="52" s="1"/>
  <c r="H196" i="52"/>
  <c r="Q98" i="52"/>
  <c r="R98" i="52" s="1"/>
  <c r="S98" i="52" s="1"/>
  <c r="T98" i="52" s="1"/>
  <c r="R128" i="7"/>
  <c r="S128" i="7" s="1"/>
  <c r="T128" i="7" s="1"/>
  <c r="Q128" i="52"/>
  <c r="R128" i="52" s="1"/>
  <c r="S128" i="52" s="1"/>
  <c r="T128" i="52" s="1"/>
  <c r="H186" i="7"/>
  <c r="R95" i="7"/>
  <c r="S95" i="7" s="1"/>
  <c r="T95" i="7" s="1"/>
  <c r="H188" i="52"/>
  <c r="Q90" i="52"/>
  <c r="R90" i="52" s="1"/>
  <c r="S90" i="52" s="1"/>
  <c r="T90" i="52" s="1"/>
  <c r="R125" i="7"/>
  <c r="S125" i="7" s="1"/>
  <c r="T125" i="7" s="1"/>
  <c r="Q125" i="52"/>
  <c r="R125" i="52" s="1"/>
  <c r="S125" i="52" s="1"/>
  <c r="T125" i="52" s="1"/>
  <c r="T89" i="7"/>
  <c r="R92" i="7"/>
  <c r="S92" i="7" s="1"/>
  <c r="R97" i="7"/>
  <c r="S97" i="7" s="1"/>
  <c r="R94" i="7"/>
  <c r="S94" i="7" s="1"/>
  <c r="R93" i="7"/>
  <c r="S93" i="7" s="1"/>
  <c r="R91" i="7"/>
  <c r="S91" i="7" s="1"/>
  <c r="H188" i="7"/>
  <c r="R90" i="7"/>
  <c r="S90" i="7" s="1"/>
  <c r="H194" i="7"/>
  <c r="R96" i="7"/>
  <c r="S96" i="7" s="1"/>
  <c r="M7" i="7"/>
  <c r="J9" i="7"/>
  <c r="L8" i="7"/>
  <c r="L32" i="7"/>
  <c r="J33" i="7"/>
  <c r="J21" i="7"/>
  <c r="L20" i="7"/>
  <c r="M31" i="7"/>
  <c r="M19" i="7"/>
  <c r="H195" i="7"/>
  <c r="H185" i="7"/>
  <c r="H191" i="7"/>
  <c r="H190" i="7"/>
  <c r="H192" i="7"/>
  <c r="H196" i="7"/>
  <c r="H189" i="7"/>
  <c r="J92" i="7"/>
  <c r="J45" i="7"/>
  <c r="J59" i="7"/>
  <c r="J50" i="11"/>
  <c r="G50" i="11"/>
  <c r="G621" i="60" l="1"/>
  <c r="K621" i="60"/>
  <c r="G679" i="60"/>
  <c r="O678" i="60" s="1"/>
  <c r="K624" i="60"/>
  <c r="G624" i="60"/>
  <c r="K645" i="60"/>
  <c r="G645" i="60"/>
  <c r="O644" i="60" s="1"/>
  <c r="K622" i="60"/>
  <c r="G626" i="60"/>
  <c r="G641" i="60"/>
  <c r="O640" i="60" s="1"/>
  <c r="K626" i="60"/>
  <c r="G622" i="60"/>
  <c r="K678" i="60"/>
  <c r="K683" i="60"/>
  <c r="K659" i="60"/>
  <c r="N46" i="11"/>
  <c r="K660" i="60"/>
  <c r="K679" i="60"/>
  <c r="G659" i="60"/>
  <c r="O658" i="60" s="1"/>
  <c r="G660" i="60"/>
  <c r="O659" i="60" s="1"/>
  <c r="G683" i="60"/>
  <c r="O682" i="60" s="1"/>
  <c r="K664" i="60"/>
  <c r="G664" i="60"/>
  <c r="O663" i="60" s="1"/>
  <c r="K641" i="60"/>
  <c r="K640" i="60"/>
  <c r="G623" i="60"/>
  <c r="K625" i="60"/>
  <c r="G640" i="60"/>
  <c r="O639" i="60" s="1"/>
  <c r="G678" i="60"/>
  <c r="O677" i="60" s="1"/>
  <c r="K623" i="60"/>
  <c r="G625" i="60"/>
  <c r="N8" i="11"/>
  <c r="D140" i="56"/>
  <c r="E140" i="56" s="1"/>
  <c r="Y26" i="56"/>
  <c r="Y120" i="56" s="1"/>
  <c r="I67" i="9"/>
  <c r="C317" i="60"/>
  <c r="C368" i="60" s="1"/>
  <c r="O5" i="11"/>
  <c r="C245" i="60" s="1"/>
  <c r="E245" i="60"/>
  <c r="V176" i="7"/>
  <c r="W176" i="7" s="1"/>
  <c r="F244" i="60"/>
  <c r="G64" i="9"/>
  <c r="J59" i="9"/>
  <c r="J37" i="9"/>
  <c r="J60" i="9" s="1"/>
  <c r="D318" i="60" s="1"/>
  <c r="D369" i="60" s="1"/>
  <c r="K37" i="9"/>
  <c r="K60" i="9" s="1"/>
  <c r="E318" i="60" s="1"/>
  <c r="E369" i="60" s="1"/>
  <c r="K59" i="9"/>
  <c r="E317" i="60" s="1"/>
  <c r="E368" i="60" s="1"/>
  <c r="E377" i="60" s="1"/>
  <c r="L59" i="52"/>
  <c r="M59" i="52" s="1"/>
  <c r="J60" i="52"/>
  <c r="J21" i="52"/>
  <c r="L20" i="52"/>
  <c r="M20" i="52" s="1"/>
  <c r="J9" i="52"/>
  <c r="L8" i="52"/>
  <c r="M8" i="52" s="1"/>
  <c r="J33" i="52"/>
  <c r="L32" i="52"/>
  <c r="M32" i="52" s="1"/>
  <c r="J46" i="52"/>
  <c r="L45" i="52"/>
  <c r="M45" i="52" s="1"/>
  <c r="R123" i="7"/>
  <c r="S123" i="7" s="1"/>
  <c r="T123" i="7" s="1"/>
  <c r="Q174" i="7"/>
  <c r="M5" i="11" s="1"/>
  <c r="Q174" i="52"/>
  <c r="R87" i="52"/>
  <c r="S87" i="52" s="1"/>
  <c r="T87" i="52" s="1"/>
  <c r="Q171" i="52"/>
  <c r="U171" i="7" s="1"/>
  <c r="E240" i="60" s="1"/>
  <c r="Q162" i="52"/>
  <c r="R123" i="52"/>
  <c r="S123" i="52" s="1"/>
  <c r="T123" i="52" s="1"/>
  <c r="R87" i="7"/>
  <c r="S87" i="7" s="1"/>
  <c r="T87" i="7" s="1"/>
  <c r="Q171" i="7"/>
  <c r="R98" i="7"/>
  <c r="S98" i="7" s="1"/>
  <c r="T98" i="7" s="1"/>
  <c r="Q162" i="7"/>
  <c r="T97" i="7"/>
  <c r="T90" i="7"/>
  <c r="T92" i="7"/>
  <c r="T91" i="7"/>
  <c r="T93" i="7"/>
  <c r="T96" i="7"/>
  <c r="T94" i="7"/>
  <c r="M8" i="7"/>
  <c r="M32" i="7"/>
  <c r="J10" i="7"/>
  <c r="L9" i="7"/>
  <c r="L33" i="7"/>
  <c r="J34" i="7"/>
  <c r="M20" i="7"/>
  <c r="J22" i="7"/>
  <c r="L21" i="7"/>
  <c r="J93" i="7"/>
  <c r="J60" i="7"/>
  <c r="J46" i="7"/>
  <c r="Q178" i="52" l="1"/>
  <c r="H549" i="60"/>
  <c r="H553" i="60" s="1"/>
  <c r="H555" i="60" s="1"/>
  <c r="J67" i="9"/>
  <c r="D317" i="60"/>
  <c r="D368" i="60" s="1"/>
  <c r="R174" i="52"/>
  <c r="S174" i="52" s="1"/>
  <c r="T174" i="52" s="1"/>
  <c r="U174" i="7"/>
  <c r="E243" i="60" s="1"/>
  <c r="F245" i="60"/>
  <c r="M6" i="11"/>
  <c r="C243" i="60"/>
  <c r="D243" i="60" s="1"/>
  <c r="F549" i="60"/>
  <c r="F550" i="60" s="1"/>
  <c r="C13" i="9"/>
  <c r="J5" i="11"/>
  <c r="K67" i="9"/>
  <c r="K63" i="9"/>
  <c r="C13" i="18" s="1"/>
  <c r="J68" i="9"/>
  <c r="K68" i="9"/>
  <c r="R174" i="7"/>
  <c r="S174" i="7" s="1"/>
  <c r="T174" i="7" s="1"/>
  <c r="C16" i="9"/>
  <c r="D16" i="9" s="1"/>
  <c r="E16" i="9" s="1"/>
  <c r="L33" i="52"/>
  <c r="M33" i="52" s="1"/>
  <c r="J34" i="52"/>
  <c r="J10" i="52"/>
  <c r="L9" i="52"/>
  <c r="M9" i="52" s="1"/>
  <c r="J22" i="52"/>
  <c r="L21" i="52"/>
  <c r="M21" i="52" s="1"/>
  <c r="L60" i="52"/>
  <c r="M60" i="52" s="1"/>
  <c r="J61" i="52"/>
  <c r="J47" i="52"/>
  <c r="L46" i="52"/>
  <c r="M46" i="52" s="1"/>
  <c r="Q178" i="7"/>
  <c r="R171" i="52"/>
  <c r="S171" i="52" s="1"/>
  <c r="T171" i="52" s="1"/>
  <c r="Q180" i="52"/>
  <c r="L180" i="52" s="1"/>
  <c r="Q180" i="7"/>
  <c r="L180" i="7" s="1"/>
  <c r="R171" i="7"/>
  <c r="S171" i="7" s="1"/>
  <c r="T171" i="7" s="1"/>
  <c r="M21" i="7"/>
  <c r="J11" i="7"/>
  <c r="L10" i="7"/>
  <c r="L22" i="7"/>
  <c r="J23" i="7"/>
  <c r="M9" i="7"/>
  <c r="J35" i="7"/>
  <c r="L34" i="7"/>
  <c r="M33" i="7"/>
  <c r="J94" i="7"/>
  <c r="J47" i="7"/>
  <c r="J61" i="7"/>
  <c r="I68" i="9"/>
  <c r="V174" i="7" l="1"/>
  <c r="J6" i="11"/>
  <c r="C549" i="60"/>
  <c r="C550" i="60" s="1"/>
  <c r="C240" i="60"/>
  <c r="C10" i="56"/>
  <c r="N28" i="11"/>
  <c r="F243" i="60"/>
  <c r="J23" i="52"/>
  <c r="L22" i="52"/>
  <c r="M22" i="52" s="1"/>
  <c r="L10" i="52"/>
  <c r="M10" i="52" s="1"/>
  <c r="J11" i="52"/>
  <c r="J48" i="52"/>
  <c r="L47" i="52"/>
  <c r="M47" i="52" s="1"/>
  <c r="L34" i="52"/>
  <c r="M34" i="52" s="1"/>
  <c r="J35" i="52"/>
  <c r="J62" i="52"/>
  <c r="L62" i="52" s="1"/>
  <c r="M62" i="52" s="1"/>
  <c r="L61" i="52"/>
  <c r="M61" i="52" s="1"/>
  <c r="M10" i="7"/>
  <c r="J12" i="7"/>
  <c r="L11" i="7"/>
  <c r="M34" i="7"/>
  <c r="J24" i="7"/>
  <c r="L23" i="7"/>
  <c r="J36" i="7"/>
  <c r="L35" i="7"/>
  <c r="M22" i="7"/>
  <c r="J95" i="7"/>
  <c r="J62" i="7"/>
  <c r="J48" i="7"/>
  <c r="W174" i="7" l="1"/>
  <c r="O16" i="9"/>
  <c r="D240" i="60"/>
  <c r="F240" i="60"/>
  <c r="D10" i="56"/>
  <c r="N29" i="11"/>
  <c r="C24" i="56"/>
  <c r="E24" i="56" s="1"/>
  <c r="D73" i="60"/>
  <c r="E73" i="60" s="1"/>
  <c r="G402" i="60"/>
  <c r="F402" i="60"/>
  <c r="G243" i="60"/>
  <c r="H402" i="60"/>
  <c r="L35" i="52"/>
  <c r="M35" i="52" s="1"/>
  <c r="J36" i="52"/>
  <c r="J49" i="52"/>
  <c r="L48" i="52"/>
  <c r="M48" i="52" s="1"/>
  <c r="J12" i="52"/>
  <c r="L11" i="52"/>
  <c r="M11" i="52" s="1"/>
  <c r="J24" i="52"/>
  <c r="L23" i="52"/>
  <c r="M23" i="52" s="1"/>
  <c r="M23" i="7"/>
  <c r="M11" i="7"/>
  <c r="M35" i="7"/>
  <c r="J25" i="7"/>
  <c r="L24" i="7"/>
  <c r="J13" i="7"/>
  <c r="L12" i="7"/>
  <c r="J37" i="7"/>
  <c r="L36" i="7"/>
  <c r="J96" i="7"/>
  <c r="J49" i="7"/>
  <c r="V16" i="9" l="1"/>
  <c r="AD15" i="9" s="1"/>
  <c r="S16" i="9"/>
  <c r="AD14" i="9" s="1"/>
  <c r="T16" i="9"/>
  <c r="AD17" i="9" s="1"/>
  <c r="Q16" i="9"/>
  <c r="AD12" i="9" s="1"/>
  <c r="R16" i="9"/>
  <c r="AD13" i="9" s="1"/>
  <c r="U16" i="9"/>
  <c r="AD16" i="9" s="1"/>
  <c r="K24" i="56"/>
  <c r="M24" i="56" s="1"/>
  <c r="M89" i="56" s="1"/>
  <c r="O89" i="56" s="1"/>
  <c r="H399" i="60"/>
  <c r="H687" i="60"/>
  <c r="F399" i="60"/>
  <c r="G399" i="60"/>
  <c r="D70" i="60"/>
  <c r="G240" i="60"/>
  <c r="E89" i="56"/>
  <c r="G89" i="56" s="1"/>
  <c r="E76" i="56"/>
  <c r="G76" i="56" s="1"/>
  <c r="G24" i="56"/>
  <c r="C138" i="56" s="1"/>
  <c r="U29" i="11"/>
  <c r="U28" i="11"/>
  <c r="U27" i="11"/>
  <c r="M50" i="56"/>
  <c r="M102" i="56"/>
  <c r="O102" i="56" s="1"/>
  <c r="Y102" i="56" s="1"/>
  <c r="I402" i="60"/>
  <c r="L24" i="52"/>
  <c r="M24" i="52" s="1"/>
  <c r="J25" i="52"/>
  <c r="L12" i="52"/>
  <c r="M12" i="52" s="1"/>
  <c r="J13" i="52"/>
  <c r="J50" i="52"/>
  <c r="L50" i="52" s="1"/>
  <c r="M50" i="52" s="1"/>
  <c r="L49" i="52"/>
  <c r="M49" i="52" s="1"/>
  <c r="J37" i="52"/>
  <c r="L36" i="52"/>
  <c r="M36" i="52" s="1"/>
  <c r="M12" i="7"/>
  <c r="J14" i="7"/>
  <c r="L14" i="7" s="1"/>
  <c r="L13" i="7"/>
  <c r="M36" i="7"/>
  <c r="L37" i="7"/>
  <c r="J38" i="7"/>
  <c r="L38" i="7" s="1"/>
  <c r="J26" i="7"/>
  <c r="L26" i="7" s="1"/>
  <c r="L25" i="7"/>
  <c r="M24" i="7"/>
  <c r="J97" i="7"/>
  <c r="J98" i="7" s="1"/>
  <c r="J50" i="7"/>
  <c r="O24" i="56" l="1"/>
  <c r="Y24" i="56" s="1"/>
  <c r="Y89" i="56"/>
  <c r="M37" i="56"/>
  <c r="O37" i="56" s="1"/>
  <c r="M76" i="56"/>
  <c r="O76" i="56" s="1"/>
  <c r="U30" i="11"/>
  <c r="E70" i="60"/>
  <c r="E71" i="60"/>
  <c r="I399" i="60"/>
  <c r="H694" i="60"/>
  <c r="O50" i="56"/>
  <c r="M63" i="56"/>
  <c r="O63" i="56" s="1"/>
  <c r="Y63" i="56" s="1"/>
  <c r="AG21" i="11"/>
  <c r="L37" i="52"/>
  <c r="M37" i="52" s="1"/>
  <c r="J38" i="52"/>
  <c r="L38" i="52" s="1"/>
  <c r="M38" i="52" s="1"/>
  <c r="L13" i="52"/>
  <c r="M13" i="52" s="1"/>
  <c r="J14" i="52"/>
  <c r="L14" i="52" s="1"/>
  <c r="M14" i="52" s="1"/>
  <c r="J26" i="52"/>
  <c r="L26" i="52" s="1"/>
  <c r="M26" i="52" s="1"/>
  <c r="L25" i="52"/>
  <c r="M25" i="52" s="1"/>
  <c r="M25" i="7"/>
  <c r="M38" i="7"/>
  <c r="M14" i="7"/>
  <c r="M26" i="7"/>
  <c r="M37" i="7"/>
  <c r="M13" i="7"/>
  <c r="S75" i="56" l="1"/>
  <c r="Y76" i="56"/>
  <c r="S49" i="56"/>
  <c r="Y50" i="56"/>
  <c r="D138" i="56"/>
  <c r="E138" i="56" s="1"/>
  <c r="Y37" i="56"/>
  <c r="G702" i="60"/>
  <c r="O701" i="60" s="1"/>
  <c r="L694" i="60"/>
  <c r="K702" i="60" s="1"/>
  <c r="V164" i="7"/>
  <c r="W164" i="7" s="1"/>
  <c r="Y118" i="56" l="1"/>
  <c r="V165" i="7"/>
  <c r="W165" i="7" s="1"/>
  <c r="K39" i="7" l="1"/>
  <c r="K40" i="7" l="1"/>
  <c r="L40" i="7" s="1"/>
  <c r="L39" i="7"/>
  <c r="M39" i="7" l="1"/>
  <c r="M40" i="7"/>
  <c r="K41" i="7"/>
  <c r="V166" i="7" l="1"/>
  <c r="W166" i="7" s="1"/>
  <c r="L41" i="7"/>
  <c r="K42" i="7"/>
  <c r="L42" i="7" s="1"/>
  <c r="M42" i="7" l="1"/>
  <c r="K43" i="7"/>
  <c r="L43" i="7" s="1"/>
  <c r="M41" i="7"/>
  <c r="K44" i="7" l="1"/>
  <c r="M43" i="7"/>
  <c r="L44" i="7" l="1"/>
  <c r="K45" i="7"/>
  <c r="L45" i="7" s="1"/>
  <c r="M45" i="7" l="1"/>
  <c r="K46" i="7"/>
  <c r="L46" i="7" s="1"/>
  <c r="M44" i="7"/>
  <c r="K47" i="7" l="1"/>
  <c r="L47" i="7" s="1"/>
  <c r="M46" i="7"/>
  <c r="K48" i="7" l="1"/>
  <c r="L48" i="7" s="1"/>
  <c r="M47" i="7"/>
  <c r="K49" i="7" l="1"/>
  <c r="L49" i="7" s="1"/>
  <c r="M48" i="7"/>
  <c r="K50" i="7" l="1"/>
  <c r="M49" i="7"/>
  <c r="L50" i="7" l="1"/>
  <c r="K51" i="7"/>
  <c r="R50" i="7"/>
  <c r="S50" i="7" s="1"/>
  <c r="T50" i="7" s="1"/>
  <c r="L51" i="7" l="1"/>
  <c r="K52" i="7"/>
  <c r="L52" i="7" s="1"/>
  <c r="M50" i="7"/>
  <c r="R51" i="7"/>
  <c r="S51" i="7" s="1"/>
  <c r="T51" i="7" s="1"/>
  <c r="K53" i="7" l="1"/>
  <c r="M52" i="7"/>
  <c r="M51" i="7"/>
  <c r="R52" i="7"/>
  <c r="S52" i="7" s="1"/>
  <c r="T52" i="7" s="1"/>
  <c r="V167" i="7" l="1"/>
  <c r="W167" i="7" s="1"/>
  <c r="K54" i="7"/>
  <c r="L54" i="7" s="1"/>
  <c r="L53" i="7"/>
  <c r="R53" i="7"/>
  <c r="S53" i="7" s="1"/>
  <c r="T53" i="7" s="1"/>
  <c r="M53" i="7" l="1"/>
  <c r="M54" i="7"/>
  <c r="K55" i="7"/>
  <c r="L55" i="7" s="1"/>
  <c r="R54" i="7"/>
  <c r="S54" i="7" s="1"/>
  <c r="T54" i="7" s="1"/>
  <c r="K56" i="7" l="1"/>
  <c r="M55" i="7"/>
  <c r="R55" i="7"/>
  <c r="S55" i="7" s="1"/>
  <c r="T55" i="7" s="1"/>
  <c r="L56" i="7" l="1"/>
  <c r="K57" i="7"/>
  <c r="L57" i="7" s="1"/>
  <c r="R56" i="7"/>
  <c r="S56" i="7" s="1"/>
  <c r="T56" i="7" s="1"/>
  <c r="K58" i="7" l="1"/>
  <c r="M56" i="7"/>
  <c r="M57" i="7"/>
  <c r="R57" i="7"/>
  <c r="S57" i="7" s="1"/>
  <c r="T57" i="7" s="1"/>
  <c r="K59" i="7" l="1"/>
  <c r="L59" i="7" s="1"/>
  <c r="L58" i="7"/>
  <c r="R58" i="7"/>
  <c r="S58" i="7" s="1"/>
  <c r="T58" i="7" s="1"/>
  <c r="K60" i="7" l="1"/>
  <c r="L60" i="7" s="1"/>
  <c r="M59" i="7"/>
  <c r="M58" i="7"/>
  <c r="R59" i="7"/>
  <c r="S59" i="7" s="1"/>
  <c r="T59" i="7" s="1"/>
  <c r="K61" i="7" l="1"/>
  <c r="L61" i="7" s="1"/>
  <c r="M60" i="7"/>
  <c r="R60" i="7"/>
  <c r="S60" i="7" s="1"/>
  <c r="T60" i="7" s="1"/>
  <c r="K62" i="7" l="1"/>
  <c r="M61" i="7"/>
  <c r="R61" i="7"/>
  <c r="S61" i="7" s="1"/>
  <c r="T61" i="7" s="1"/>
  <c r="L62" i="7" l="1"/>
  <c r="K63" i="7"/>
  <c r="R62" i="7"/>
  <c r="S62" i="7" s="1"/>
  <c r="T62" i="7" s="1"/>
  <c r="L63" i="7" l="1"/>
  <c r="K64" i="7"/>
  <c r="L64" i="7" s="1"/>
  <c r="M62" i="7"/>
  <c r="R63" i="7"/>
  <c r="S63" i="7" s="1"/>
  <c r="T63" i="7" s="1"/>
  <c r="M64" i="7" l="1"/>
  <c r="M63" i="7"/>
  <c r="K65" i="7"/>
  <c r="L65" i="7" s="1"/>
  <c r="R64" i="7"/>
  <c r="S64" i="7" s="1"/>
  <c r="T64" i="7" s="1"/>
  <c r="V168" i="7" l="1"/>
  <c r="W168" i="7" s="1"/>
  <c r="K66" i="7"/>
  <c r="L66" i="7" s="1"/>
  <c r="M65" i="7"/>
  <c r="R65" i="7"/>
  <c r="S65" i="7" s="1"/>
  <c r="T65" i="7" s="1"/>
  <c r="K67" i="7" l="1"/>
  <c r="M66" i="7"/>
  <c r="R66" i="7"/>
  <c r="S66" i="7" s="1"/>
  <c r="T66" i="7" s="1"/>
  <c r="L67" i="7" l="1"/>
  <c r="K68" i="7"/>
  <c r="L68" i="7" s="1"/>
  <c r="R67" i="7"/>
  <c r="S67" i="7" s="1"/>
  <c r="T67" i="7" s="1"/>
  <c r="K69" i="7" l="1"/>
  <c r="M67" i="7"/>
  <c r="M68" i="7"/>
  <c r="R68" i="7"/>
  <c r="S68" i="7" s="1"/>
  <c r="T68" i="7" s="1"/>
  <c r="L69" i="7" l="1"/>
  <c r="K70" i="7"/>
  <c r="L70" i="7" s="1"/>
  <c r="R69" i="7"/>
  <c r="S69" i="7" s="1"/>
  <c r="T69" i="7" s="1"/>
  <c r="M70" i="7" l="1"/>
  <c r="K71" i="7"/>
  <c r="L71" i="7" s="1"/>
  <c r="M69" i="7"/>
  <c r="R70" i="7"/>
  <c r="S70" i="7" s="1"/>
  <c r="T70" i="7" s="1"/>
  <c r="K72" i="7" l="1"/>
  <c r="L72" i="7" s="1"/>
  <c r="M71" i="7"/>
  <c r="R71" i="7"/>
  <c r="S71" i="7" s="1"/>
  <c r="T71" i="7" s="1"/>
  <c r="M72" i="7" l="1"/>
  <c r="K73" i="7"/>
  <c r="L73" i="7" s="1"/>
  <c r="R72" i="7"/>
  <c r="S72" i="7" s="1"/>
  <c r="T72" i="7" s="1"/>
  <c r="M73" i="7" l="1"/>
  <c r="K74" i="7"/>
  <c r="R73" i="7"/>
  <c r="S73" i="7" s="1"/>
  <c r="T73" i="7" s="1"/>
  <c r="L74" i="7" l="1"/>
  <c r="K75" i="7"/>
  <c r="R75" i="7"/>
  <c r="S75" i="7" s="1"/>
  <c r="T75" i="7" s="1"/>
  <c r="R74" i="7"/>
  <c r="S74" i="7" s="1"/>
  <c r="T74" i="7" s="1"/>
  <c r="K76" i="7" l="1"/>
  <c r="L76" i="7" s="1"/>
  <c r="L75" i="7"/>
  <c r="M74" i="7"/>
  <c r="R76" i="7"/>
  <c r="S76" i="7" s="1"/>
  <c r="T76" i="7" s="1"/>
  <c r="M75" i="7" l="1"/>
  <c r="K77" i="7"/>
  <c r="M76" i="7"/>
  <c r="R77" i="7"/>
  <c r="S77" i="7" s="1"/>
  <c r="T77" i="7" s="1"/>
  <c r="V169" i="7" l="1"/>
  <c r="W169" i="7" s="1"/>
  <c r="K78" i="7"/>
  <c r="L78" i="7" s="1"/>
  <c r="L77" i="7"/>
  <c r="R78" i="7"/>
  <c r="S78" i="7" s="1"/>
  <c r="T78" i="7" s="1"/>
  <c r="B6" i="11"/>
  <c r="M77" i="7" l="1"/>
  <c r="K79" i="7"/>
  <c r="M78" i="7"/>
  <c r="R79" i="7"/>
  <c r="S79" i="7" s="1"/>
  <c r="T79" i="7" s="1"/>
  <c r="D6" i="9"/>
  <c r="E6" i="9" s="1"/>
  <c r="L79" i="7" l="1"/>
  <c r="K80" i="7"/>
  <c r="L80" i="7" s="1"/>
  <c r="R80" i="7"/>
  <c r="S80" i="7" s="1"/>
  <c r="T80" i="7" s="1"/>
  <c r="K81" i="7" l="1"/>
  <c r="M80" i="7"/>
  <c r="M79" i="7"/>
  <c r="R81" i="7"/>
  <c r="S81" i="7" s="1"/>
  <c r="T81" i="7" s="1"/>
  <c r="L81" i="7" l="1"/>
  <c r="K82" i="7"/>
  <c r="L82" i="7" s="1"/>
  <c r="R82" i="7"/>
  <c r="S82" i="7" s="1"/>
  <c r="T82" i="7" s="1"/>
  <c r="K83" i="7" l="1"/>
  <c r="L83" i="7" s="1"/>
  <c r="M81" i="7"/>
  <c r="M82" i="7"/>
  <c r="R83" i="7"/>
  <c r="S83" i="7" s="1"/>
  <c r="T83" i="7" s="1"/>
  <c r="M83" i="7" l="1"/>
  <c r="K84" i="7"/>
  <c r="L84" i="7" s="1"/>
  <c r="R84" i="7"/>
  <c r="S84" i="7" s="1"/>
  <c r="T84" i="7" s="1"/>
  <c r="K85" i="7" l="1"/>
  <c r="L85" i="7" s="1"/>
  <c r="M84" i="7"/>
  <c r="R85" i="7"/>
  <c r="S85" i="7" s="1"/>
  <c r="T85" i="7" s="1"/>
  <c r="K86" i="7" l="1"/>
  <c r="M85" i="7"/>
  <c r="R86" i="7"/>
  <c r="S86" i="7" s="1"/>
  <c r="T86" i="7" s="1"/>
  <c r="K87" i="7" l="1"/>
  <c r="L86" i="7"/>
  <c r="V170" i="7" l="1"/>
  <c r="H6" i="11"/>
  <c r="M86" i="7"/>
  <c r="L87" i="7"/>
  <c r="K88" i="7"/>
  <c r="L88" i="7" s="1"/>
  <c r="G185" i="7"/>
  <c r="Q185" i="7" s="1"/>
  <c r="O12" i="9" l="1"/>
  <c r="W170" i="7"/>
  <c r="D12" i="9"/>
  <c r="E12" i="9" s="1"/>
  <c r="K89" i="7"/>
  <c r="G186" i="7"/>
  <c r="Q186" i="7" s="1"/>
  <c r="V12" i="9" l="1"/>
  <c r="Z15" i="9" s="1"/>
  <c r="Q12" i="9"/>
  <c r="Z12" i="9" s="1"/>
  <c r="T12" i="9"/>
  <c r="Z17" i="9" s="1"/>
  <c r="R12" i="9"/>
  <c r="Z13" i="9" s="1"/>
  <c r="S12" i="9"/>
  <c r="Z14" i="9" s="1"/>
  <c r="U12" i="9"/>
  <c r="Z16" i="9" s="1"/>
  <c r="K90" i="7"/>
  <c r="L90" i="7" s="1"/>
  <c r="L89" i="7"/>
  <c r="G187" i="7"/>
  <c r="Q187" i="7" s="1"/>
  <c r="D7" i="9"/>
  <c r="E7" i="9" s="1"/>
  <c r="C6" i="11"/>
  <c r="K91" i="7" l="1"/>
  <c r="L91" i="7" s="1"/>
  <c r="G188" i="7"/>
  <c r="Q188" i="7" s="1"/>
  <c r="K92" i="7" l="1"/>
  <c r="G189" i="7"/>
  <c r="Q189" i="7" s="1"/>
  <c r="L92" i="7" l="1"/>
  <c r="K93" i="7"/>
  <c r="L93" i="7" s="1"/>
  <c r="G190" i="7"/>
  <c r="Q190" i="7" s="1"/>
  <c r="K94" i="7" l="1"/>
  <c r="L94" i="7" s="1"/>
  <c r="G191" i="7"/>
  <c r="Q191" i="7" s="1"/>
  <c r="K95" i="7" l="1"/>
  <c r="L95" i="7" s="1"/>
  <c r="G192" i="7"/>
  <c r="Q192" i="7" s="1"/>
  <c r="K96" i="7" l="1"/>
  <c r="L96" i="7" s="1"/>
  <c r="G193" i="7"/>
  <c r="Q193" i="7" s="1"/>
  <c r="K97" i="7" l="1"/>
  <c r="G194" i="7"/>
  <c r="Q194" i="7" s="1"/>
  <c r="L97" i="7" l="1"/>
  <c r="G195" i="7"/>
  <c r="Q195" i="7" s="1"/>
  <c r="R196" i="7" s="1"/>
  <c r="C246" i="60" s="1"/>
  <c r="E246" i="60" s="1"/>
  <c r="F246" i="60" s="1"/>
  <c r="G196" i="7" l="1"/>
  <c r="Q196" i="7" s="1"/>
  <c r="K162" i="7"/>
  <c r="V171" i="7" l="1"/>
  <c r="O13" i="9" l="1"/>
  <c r="W171" i="7"/>
  <c r="D8" i="9"/>
  <c r="E8" i="9" s="1"/>
  <c r="R40" i="7"/>
  <c r="S40" i="7" s="1"/>
  <c r="T40" i="7" s="1"/>
  <c r="R39" i="7"/>
  <c r="S39" i="7" s="1"/>
  <c r="T39" i="7" s="1"/>
  <c r="R13" i="9" l="1"/>
  <c r="AA13" i="9" s="1"/>
  <c r="T13" i="9"/>
  <c r="AA17" i="9" s="1"/>
  <c r="S13" i="9"/>
  <c r="AA14" i="9" s="1"/>
  <c r="Q13" i="9"/>
  <c r="AA12" i="9" s="1"/>
  <c r="U13" i="9"/>
  <c r="AA16" i="9" s="1"/>
  <c r="V13" i="9"/>
  <c r="AA15" i="9" s="1"/>
  <c r="D6" i="11"/>
  <c r="R41" i="7" l="1"/>
  <c r="S41" i="7" s="1"/>
  <c r="T41" i="7" s="1"/>
  <c r="R42" i="7"/>
  <c r="S42" i="7" s="1"/>
  <c r="T42" i="7" s="1"/>
  <c r="R43" i="7" l="1"/>
  <c r="S43" i="7" s="1"/>
  <c r="T43" i="7" s="1"/>
  <c r="R44" i="7" l="1"/>
  <c r="S44" i="7" s="1"/>
  <c r="T44" i="7" s="1"/>
  <c r="R45" i="7"/>
  <c r="S45" i="7" s="1"/>
  <c r="T45" i="7" s="1"/>
  <c r="R46" i="7" l="1"/>
  <c r="S46" i="7" s="1"/>
  <c r="T46" i="7" s="1"/>
  <c r="R47" i="7" l="1"/>
  <c r="S47" i="7" s="1"/>
  <c r="T47" i="7" s="1"/>
  <c r="R48" i="7" l="1"/>
  <c r="S48" i="7" s="1"/>
  <c r="T48" i="7" s="1"/>
  <c r="R49" i="7" l="1"/>
  <c r="S49" i="7" s="1"/>
  <c r="T49" i="7" s="1"/>
  <c r="E6" i="11" l="1"/>
  <c r="D9" i="9"/>
  <c r="E9" i="9" s="1"/>
  <c r="D10" i="9" l="1"/>
  <c r="E10" i="9" s="1"/>
  <c r="F6" i="11" l="1"/>
  <c r="F29" i="11"/>
  <c r="F34" i="11"/>
  <c r="F24" i="11"/>
  <c r="E653" i="60" l="1"/>
  <c r="F634" i="60"/>
  <c r="E655" i="60"/>
  <c r="F636" i="60"/>
  <c r="E654" i="60"/>
  <c r="F635" i="60"/>
  <c r="E6" i="18"/>
  <c r="F47" i="11" s="1"/>
  <c r="F43" i="11"/>
  <c r="G654" i="60" l="1"/>
  <c r="K654" i="60" s="1"/>
  <c r="I654" i="60"/>
  <c r="H636" i="60"/>
  <c r="J636" i="60"/>
  <c r="I644" i="60" s="1"/>
  <c r="P643" i="60" s="1"/>
  <c r="E644" i="60"/>
  <c r="N643" i="60" s="1"/>
  <c r="G655" i="60"/>
  <c r="K655" i="60" s="1"/>
  <c r="I655" i="60"/>
  <c r="J634" i="60"/>
  <c r="I642" i="60" s="1"/>
  <c r="P641" i="60" s="1"/>
  <c r="E642" i="60"/>
  <c r="N641" i="60" s="1"/>
  <c r="H634" i="60"/>
  <c r="H635" i="60"/>
  <c r="J635" i="60"/>
  <c r="I643" i="60" s="1"/>
  <c r="P642" i="60" s="1"/>
  <c r="E643" i="60"/>
  <c r="N642" i="60" s="1"/>
  <c r="I653" i="60"/>
  <c r="G653" i="60"/>
  <c r="K653" i="60" s="1"/>
  <c r="F52" i="11"/>
  <c r="L636" i="60" l="1"/>
  <c r="K644" i="60" s="1"/>
  <c r="G644" i="60"/>
  <c r="O643" i="60" s="1"/>
  <c r="L635" i="60"/>
  <c r="K643" i="60" s="1"/>
  <c r="G643" i="60"/>
  <c r="O642" i="60" s="1"/>
  <c r="L634" i="60"/>
  <c r="K642" i="60" s="1"/>
  <c r="G642" i="60"/>
  <c r="O641" i="60" s="1"/>
  <c r="D11" i="9"/>
  <c r="E11" i="9" s="1"/>
  <c r="G6" i="11" l="1"/>
  <c r="G29" i="11" l="1"/>
  <c r="G24" i="11"/>
  <c r="G34" i="11"/>
  <c r="F653" i="60" l="1"/>
  <c r="E672" i="60"/>
  <c r="F655" i="60"/>
  <c r="E674" i="60"/>
  <c r="E673" i="60"/>
  <c r="F654" i="60"/>
  <c r="E7" i="18"/>
  <c r="G47" i="11" s="1"/>
  <c r="G43" i="11"/>
  <c r="J654" i="60" l="1"/>
  <c r="I662" i="60" s="1"/>
  <c r="P661" i="60" s="1"/>
  <c r="E662" i="60"/>
  <c r="N661" i="60" s="1"/>
  <c r="H654" i="60"/>
  <c r="I673" i="60"/>
  <c r="G673" i="60"/>
  <c r="K673" i="60" s="1"/>
  <c r="I674" i="60"/>
  <c r="G674" i="60"/>
  <c r="K674" i="60" s="1"/>
  <c r="J655" i="60"/>
  <c r="I663" i="60" s="1"/>
  <c r="P662" i="60" s="1"/>
  <c r="E663" i="60"/>
  <c r="N662" i="60" s="1"/>
  <c r="H655" i="60"/>
  <c r="I672" i="60"/>
  <c r="G672" i="60"/>
  <c r="K672" i="60" s="1"/>
  <c r="J653" i="60"/>
  <c r="I661" i="60" s="1"/>
  <c r="P660" i="60" s="1"/>
  <c r="E661" i="60"/>
  <c r="N660" i="60" s="1"/>
  <c r="H653" i="60"/>
  <c r="G52" i="11"/>
  <c r="L653" i="60" l="1"/>
  <c r="K661" i="60" s="1"/>
  <c r="G661" i="60"/>
  <c r="O660" i="60" s="1"/>
  <c r="G662" i="60"/>
  <c r="O661" i="60" s="1"/>
  <c r="L654" i="60"/>
  <c r="K662" i="60" s="1"/>
  <c r="L655" i="60"/>
  <c r="K663" i="60" s="1"/>
  <c r="G663" i="60"/>
  <c r="O662" i="60" s="1"/>
  <c r="H44" i="9"/>
  <c r="H43" i="9"/>
  <c r="H56" i="9" s="1"/>
  <c r="H54" i="9" s="1"/>
  <c r="H36" i="9" l="1"/>
  <c r="H37" i="9" l="1"/>
  <c r="H60" i="9" s="1"/>
  <c r="H68" i="9" s="1"/>
  <c r="H59" i="9"/>
  <c r="B317" i="60" s="1"/>
  <c r="H67" i="9" l="1"/>
  <c r="B368" i="60"/>
  <c r="B318" i="60"/>
  <c r="F42" i="11"/>
  <c r="G42" i="11"/>
  <c r="B369" i="60" l="1"/>
  <c r="G51" i="11"/>
  <c r="F51" i="11"/>
  <c r="L44" i="9" l="1"/>
  <c r="L56" i="9" s="1"/>
  <c r="L36" i="9" l="1"/>
  <c r="L59" i="9" l="1"/>
  <c r="L37" i="9"/>
  <c r="L60" i="9" s="1"/>
  <c r="F318" i="60" s="1"/>
  <c r="F369" i="60" l="1"/>
  <c r="H369" i="60" s="1"/>
  <c r="H318" i="60"/>
  <c r="L63" i="9"/>
  <c r="F317" i="60"/>
  <c r="G59" i="9"/>
  <c r="G67" i="9" s="1"/>
  <c r="L67" i="9"/>
  <c r="N67" i="9" s="1"/>
  <c r="L68" i="9"/>
  <c r="N68" i="9" s="1"/>
  <c r="G60" i="9"/>
  <c r="G68" i="9" s="1"/>
  <c r="C11" i="56" l="1"/>
  <c r="D13" i="18"/>
  <c r="N33" i="11"/>
  <c r="F368" i="60"/>
  <c r="H317" i="60"/>
  <c r="D11" i="56"/>
  <c r="N34" i="11"/>
  <c r="C25" i="56"/>
  <c r="E25" i="56" s="1"/>
  <c r="H71" i="9"/>
  <c r="J71" i="9"/>
  <c r="I71" i="9"/>
  <c r="H34" i="11"/>
  <c r="H24" i="11"/>
  <c r="J34" i="11"/>
  <c r="F693" i="60" s="1"/>
  <c r="H29" i="11"/>
  <c r="F377" i="60" l="1"/>
  <c r="H368" i="60"/>
  <c r="E691" i="60"/>
  <c r="F672" i="60"/>
  <c r="E693" i="60"/>
  <c r="E701" i="60" s="1"/>
  <c r="N700" i="60" s="1"/>
  <c r="F674" i="60"/>
  <c r="F673" i="60"/>
  <c r="E692" i="60"/>
  <c r="J693" i="60"/>
  <c r="H693" i="60"/>
  <c r="J63" i="9"/>
  <c r="C7" i="56" s="1"/>
  <c r="C21" i="56" s="1"/>
  <c r="D371" i="60"/>
  <c r="D377" i="60" s="1"/>
  <c r="E433" i="60" s="1"/>
  <c r="I63" i="9"/>
  <c r="C6" i="56" s="1"/>
  <c r="C371" i="60"/>
  <c r="H63" i="9"/>
  <c r="C5" i="56" s="1"/>
  <c r="B371" i="60"/>
  <c r="B377" i="60" s="1"/>
  <c r="G25" i="56"/>
  <c r="C137" i="56" s="1"/>
  <c r="E90" i="56"/>
  <c r="G90" i="56" s="1"/>
  <c r="U32" i="11"/>
  <c r="U34" i="11"/>
  <c r="U33" i="11"/>
  <c r="K25" i="56"/>
  <c r="M25" i="56" s="1"/>
  <c r="M51" i="56"/>
  <c r="M103" i="56"/>
  <c r="O103" i="56" s="1"/>
  <c r="Y103" i="56" s="1"/>
  <c r="N71" i="9"/>
  <c r="E8" i="18"/>
  <c r="H47" i="11" s="1"/>
  <c r="H43" i="11"/>
  <c r="B13" i="18" l="1"/>
  <c r="N23" i="11"/>
  <c r="N18" i="11"/>
  <c r="U17" i="11" s="1"/>
  <c r="G5" i="60" s="1"/>
  <c r="U35" i="11"/>
  <c r="J674" i="60"/>
  <c r="I682" i="60" s="1"/>
  <c r="P681" i="60" s="1"/>
  <c r="H674" i="60"/>
  <c r="E682" i="60"/>
  <c r="N681" i="60" s="1"/>
  <c r="H673" i="60"/>
  <c r="E681" i="60"/>
  <c r="N680" i="60" s="1"/>
  <c r="J673" i="60"/>
  <c r="I681" i="60" s="1"/>
  <c r="P680" i="60" s="1"/>
  <c r="H672" i="60"/>
  <c r="E680" i="60"/>
  <c r="N679" i="60" s="1"/>
  <c r="J672" i="60"/>
  <c r="I680" i="60" s="1"/>
  <c r="P679" i="60" s="1"/>
  <c r="I693" i="60"/>
  <c r="I701" i="60" s="1"/>
  <c r="P700" i="60" s="1"/>
  <c r="G693" i="60"/>
  <c r="K693" i="60" s="1"/>
  <c r="L693" i="60"/>
  <c r="G692" i="60"/>
  <c r="K692" i="60" s="1"/>
  <c r="I692" i="60"/>
  <c r="G691" i="60"/>
  <c r="K691" i="60" s="1"/>
  <c r="I691" i="60"/>
  <c r="N63" i="9"/>
  <c r="N13" i="11"/>
  <c r="N42" i="11" s="1"/>
  <c r="H371" i="60"/>
  <c r="C377" i="60"/>
  <c r="H377" i="60" s="1"/>
  <c r="AG19" i="11"/>
  <c r="M90" i="56"/>
  <c r="O90" i="56" s="1"/>
  <c r="Y90" i="56" s="1"/>
  <c r="M38" i="56"/>
  <c r="O38" i="56" s="1"/>
  <c r="Y38" i="56" s="1"/>
  <c r="M77" i="56"/>
  <c r="O77" i="56" s="1"/>
  <c r="O25" i="56"/>
  <c r="Y25" i="56" s="1"/>
  <c r="O51" i="56"/>
  <c r="M64" i="56"/>
  <c r="O64" i="56" s="1"/>
  <c r="Y64" i="56" s="1"/>
  <c r="C14" i="56"/>
  <c r="C19" i="56"/>
  <c r="D7" i="56"/>
  <c r="N24" i="11"/>
  <c r="E13" i="18"/>
  <c r="N47" i="11" s="1"/>
  <c r="K21" i="56"/>
  <c r="M21" i="56" s="1"/>
  <c r="E21" i="56"/>
  <c r="U18" i="11"/>
  <c r="U19" i="11"/>
  <c r="C20" i="56"/>
  <c r="K20" i="56" s="1"/>
  <c r="H52" i="11"/>
  <c r="N51" i="11" l="1"/>
  <c r="D74" i="60"/>
  <c r="E74" i="60" s="1"/>
  <c r="K701" i="60"/>
  <c r="S48" i="56"/>
  <c r="Y51" i="56"/>
  <c r="S74" i="56"/>
  <c r="Y77" i="56"/>
  <c r="Y119" i="56" s="1"/>
  <c r="D137" i="56"/>
  <c r="E137" i="56" s="1"/>
  <c r="L672" i="60"/>
  <c r="K680" i="60" s="1"/>
  <c r="G680" i="60"/>
  <c r="O679" i="60" s="1"/>
  <c r="G701" i="60"/>
  <c r="O700" i="60" s="1"/>
  <c r="U20" i="11"/>
  <c r="L673" i="60"/>
  <c r="K681" i="60" s="1"/>
  <c r="G681" i="60"/>
  <c r="O680" i="60" s="1"/>
  <c r="L674" i="60"/>
  <c r="K682" i="60" s="1"/>
  <c r="G682" i="60"/>
  <c r="O681" i="60" s="1"/>
  <c r="M73" i="56"/>
  <c r="O73" i="56" s="1"/>
  <c r="M86" i="56"/>
  <c r="O86" i="56" s="1"/>
  <c r="M34" i="56"/>
  <c r="O34" i="56" s="1"/>
  <c r="Y34" i="56" s="1"/>
  <c r="O21" i="56"/>
  <c r="N43" i="11"/>
  <c r="N52" i="11" s="1"/>
  <c r="U22" i="11"/>
  <c r="G6" i="60" s="1"/>
  <c r="U24" i="11"/>
  <c r="U23" i="11"/>
  <c r="M98" i="56"/>
  <c r="O98" i="56" s="1"/>
  <c r="M20" i="56"/>
  <c r="E20" i="56"/>
  <c r="E98" i="56"/>
  <c r="G98" i="56" s="1"/>
  <c r="M47" i="56"/>
  <c r="M99" i="56"/>
  <c r="O99" i="56" s="1"/>
  <c r="Y99" i="56" s="1"/>
  <c r="D14" i="56"/>
  <c r="E86" i="56"/>
  <c r="G86" i="56" s="1"/>
  <c r="E73" i="56"/>
  <c r="G73" i="56" s="1"/>
  <c r="G21" i="56"/>
  <c r="AG15" i="11"/>
  <c r="K19" i="56"/>
  <c r="E19" i="56"/>
  <c r="C28" i="56"/>
  <c r="E97" i="56"/>
  <c r="S73" i="56" l="1"/>
  <c r="Y21" i="56"/>
  <c r="Y86" i="56"/>
  <c r="Y73" i="56"/>
  <c r="Y98" i="56"/>
  <c r="U43" i="11"/>
  <c r="G14" i="60" s="1"/>
  <c r="U44" i="11"/>
  <c r="U25" i="11"/>
  <c r="E84" i="56"/>
  <c r="E45" i="56"/>
  <c r="E28" i="56"/>
  <c r="G19" i="56"/>
  <c r="M60" i="56"/>
  <c r="O60" i="56" s="1"/>
  <c r="Y60" i="56" s="1"/>
  <c r="O47" i="56"/>
  <c r="AG17" i="11"/>
  <c r="AG24" i="11" s="1"/>
  <c r="U42" i="11"/>
  <c r="E85" i="56"/>
  <c r="G85" i="56" s="1"/>
  <c r="G20" i="56"/>
  <c r="C139" i="56" s="1"/>
  <c r="E46" i="56"/>
  <c r="M72" i="56"/>
  <c r="O72" i="56" s="1"/>
  <c r="M33" i="56"/>
  <c r="O20" i="56"/>
  <c r="Y20" i="56" s="1"/>
  <c r="M85" i="56"/>
  <c r="O85" i="56" s="1"/>
  <c r="G97" i="56"/>
  <c r="G106" i="56" s="1"/>
  <c r="E106" i="56"/>
  <c r="M97" i="56"/>
  <c r="K28" i="56"/>
  <c r="M19" i="56"/>
  <c r="T45" i="11" l="1"/>
  <c r="G15" i="60"/>
  <c r="Y85" i="56"/>
  <c r="S47" i="56"/>
  <c r="Y47" i="56"/>
  <c r="Y115" i="56" s="1"/>
  <c r="E59" i="56"/>
  <c r="G46" i="56"/>
  <c r="C136" i="56"/>
  <c r="G28" i="56"/>
  <c r="O33" i="56"/>
  <c r="M46" i="56"/>
  <c r="O19" i="56"/>
  <c r="Y19" i="56" s="1"/>
  <c r="Y28" i="56" s="1"/>
  <c r="M32" i="56"/>
  <c r="M28" i="56"/>
  <c r="M84" i="56"/>
  <c r="O84" i="56" s="1"/>
  <c r="M71" i="56"/>
  <c r="O71" i="56" s="1"/>
  <c r="M106" i="56"/>
  <c r="O97" i="56"/>
  <c r="G45" i="56"/>
  <c r="E54" i="56"/>
  <c r="E58" i="56"/>
  <c r="C144" i="56"/>
  <c r="E93" i="56"/>
  <c r="G84" i="56"/>
  <c r="G93" i="56" s="1"/>
  <c r="O93" i="56" l="1"/>
  <c r="Y84" i="56"/>
  <c r="Y93" i="56" s="1"/>
  <c r="O106" i="56"/>
  <c r="C129" i="56" s="1"/>
  <c r="Y97" i="56"/>
  <c r="D139" i="56"/>
  <c r="E139" i="56" s="1"/>
  <c r="Y33" i="56"/>
  <c r="G54" i="56"/>
  <c r="C142" i="56" s="1"/>
  <c r="O32" i="56"/>
  <c r="M45" i="56"/>
  <c r="O28" i="56"/>
  <c r="Q28" i="56" s="1"/>
  <c r="M59" i="56"/>
  <c r="O59" i="56" s="1"/>
  <c r="O46" i="56"/>
  <c r="C145" i="56"/>
  <c r="C128" i="56"/>
  <c r="K127" i="56" s="1"/>
  <c r="O80" i="56"/>
  <c r="D145" i="56"/>
  <c r="Q93" i="56"/>
  <c r="E71" i="56"/>
  <c r="G58" i="56"/>
  <c r="E67" i="56"/>
  <c r="D144" i="56"/>
  <c r="E144" i="56" s="1"/>
  <c r="H144" i="56" s="1"/>
  <c r="K144" i="56" s="1"/>
  <c r="Q106" i="56"/>
  <c r="G59" i="56"/>
  <c r="E72" i="56"/>
  <c r="G72" i="56" s="1"/>
  <c r="Y106" i="56" l="1"/>
  <c r="Y59" i="56"/>
  <c r="S46" i="56"/>
  <c r="Y46" i="56"/>
  <c r="S72" i="56"/>
  <c r="Y72" i="56"/>
  <c r="Y114" i="56" s="1"/>
  <c r="O41" i="56"/>
  <c r="C124" i="56" s="1"/>
  <c r="K124" i="56" s="1"/>
  <c r="Y32" i="56"/>
  <c r="Y41" i="56" s="1"/>
  <c r="E145" i="56"/>
  <c r="H145" i="56" s="1"/>
  <c r="K145" i="56" s="1"/>
  <c r="D136" i="56"/>
  <c r="E136" i="56" s="1"/>
  <c r="D141" i="56"/>
  <c r="O45" i="56"/>
  <c r="Y45" i="56" s="1"/>
  <c r="Y54" i="56" s="1"/>
  <c r="M58" i="56"/>
  <c r="O58" i="56" s="1"/>
  <c r="O67" i="56" s="1"/>
  <c r="G67" i="56"/>
  <c r="G71" i="56"/>
  <c r="Y71" i="56" s="1"/>
  <c r="E80" i="56"/>
  <c r="C123" i="56"/>
  <c r="Y113" i="56" l="1"/>
  <c r="Y122" i="56" s="1"/>
  <c r="Y67" i="56"/>
  <c r="Q41" i="56"/>
  <c r="Y68" i="56"/>
  <c r="G80" i="56"/>
  <c r="Y80" i="56" s="1"/>
  <c r="S71" i="56"/>
  <c r="S45" i="56"/>
  <c r="O54" i="56"/>
  <c r="D143" i="56"/>
  <c r="Q67" i="56"/>
  <c r="F140" i="56"/>
  <c r="F136" i="56"/>
  <c r="F138" i="56"/>
  <c r="F137" i="56"/>
  <c r="F139" i="56"/>
  <c r="C143" i="56"/>
  <c r="C127" i="56"/>
  <c r="F13" i="9"/>
  <c r="D13" i="9"/>
  <c r="E13" i="9" s="1"/>
  <c r="E143" i="56" l="1"/>
  <c r="H143" i="56" s="1"/>
  <c r="K143" i="56" s="1"/>
  <c r="C126" i="56"/>
  <c r="K126" i="56" s="1"/>
  <c r="D142" i="56"/>
  <c r="Q54" i="56"/>
  <c r="C125" i="56"/>
  <c r="C141" i="56"/>
  <c r="C131" i="56"/>
  <c r="K123" i="56" s="1"/>
  <c r="Q80" i="56"/>
  <c r="G138" i="56" l="1"/>
  <c r="H138" i="56" s="1"/>
  <c r="K138" i="56" s="1"/>
  <c r="G137" i="56"/>
  <c r="H137" i="56" s="1"/>
  <c r="K137" i="56" s="1"/>
  <c r="G139" i="56"/>
  <c r="H139" i="56" s="1"/>
  <c r="K139" i="56" s="1"/>
  <c r="E142" i="56"/>
  <c r="H142" i="56" s="1"/>
  <c r="K142" i="56" s="1"/>
  <c r="D147" i="56"/>
  <c r="C147" i="56"/>
  <c r="E141" i="56"/>
  <c r="G140" i="56"/>
  <c r="H140" i="56" s="1"/>
  <c r="K140" i="56" s="1"/>
  <c r="K125" i="56"/>
  <c r="C132" i="56"/>
  <c r="G136" i="56"/>
  <c r="H72" i="9"/>
  <c r="M72" i="9"/>
  <c r="L72" i="9"/>
  <c r="J72" i="9"/>
  <c r="K72" i="9"/>
  <c r="I72" i="9"/>
  <c r="M64" i="9" l="1"/>
  <c r="O38" i="11" s="1"/>
  <c r="G372" i="60"/>
  <c r="G378" i="60" s="1"/>
  <c r="L64" i="9"/>
  <c r="D14" i="18" s="1"/>
  <c r="F372" i="60"/>
  <c r="F378" i="60" s="1"/>
  <c r="K64" i="9"/>
  <c r="E372" i="60"/>
  <c r="E378" i="60" s="1"/>
  <c r="J64" i="9"/>
  <c r="O23" i="11" s="1"/>
  <c r="H568" i="60" s="1"/>
  <c r="D372" i="60"/>
  <c r="D378" i="60" s="1"/>
  <c r="B372" i="60"/>
  <c r="B378" i="60" s="1"/>
  <c r="H64" i="9"/>
  <c r="C5" i="58" s="1"/>
  <c r="I64" i="9"/>
  <c r="C6" i="58" s="1"/>
  <c r="C372" i="60"/>
  <c r="G147" i="56"/>
  <c r="H136" i="56"/>
  <c r="H141" i="56"/>
  <c r="K141" i="56" s="1"/>
  <c r="E147" i="56"/>
  <c r="C12" i="58"/>
  <c r="N72" i="9"/>
  <c r="C10" i="58" l="1"/>
  <c r="C14" i="18"/>
  <c r="O33" i="11"/>
  <c r="O18" i="11"/>
  <c r="W19" i="11" s="1"/>
  <c r="C11" i="58"/>
  <c r="C25" i="58" s="1"/>
  <c r="C7" i="58"/>
  <c r="C21" i="58" s="1"/>
  <c r="B14" i="18"/>
  <c r="E14" i="18" s="1"/>
  <c r="O47" i="11" s="1"/>
  <c r="O28" i="11"/>
  <c r="O13" i="11"/>
  <c r="H560" i="60" s="1"/>
  <c r="F689" i="60" s="1"/>
  <c r="H372" i="60"/>
  <c r="C378" i="60"/>
  <c r="H378" i="60" s="1"/>
  <c r="D10" i="58"/>
  <c r="O29" i="11"/>
  <c r="C24" i="58"/>
  <c r="W37" i="11"/>
  <c r="H9" i="60" s="1"/>
  <c r="W38" i="11"/>
  <c r="W39" i="11"/>
  <c r="C26" i="58"/>
  <c r="D11" i="58"/>
  <c r="O34" i="11"/>
  <c r="H147" i="56"/>
  <c r="K136" i="56"/>
  <c r="C19" i="58"/>
  <c r="K19" i="58" s="1"/>
  <c r="M98" i="58" s="1"/>
  <c r="C20" i="58"/>
  <c r="K20" i="58" s="1"/>
  <c r="M99" i="58" s="1"/>
  <c r="N64" i="9"/>
  <c r="J29" i="11"/>
  <c r="F692" i="60" s="1"/>
  <c r="W18" i="11" l="1"/>
  <c r="H564" i="60"/>
  <c r="F690" i="60" s="1"/>
  <c r="E697" i="60"/>
  <c r="N696" i="60" s="1"/>
  <c r="J689" i="60"/>
  <c r="I697" i="60" s="1"/>
  <c r="P696" i="60" s="1"/>
  <c r="H689" i="60"/>
  <c r="O42" i="11"/>
  <c r="E21" i="58"/>
  <c r="G21" i="58" s="1"/>
  <c r="E100" i="58"/>
  <c r="E25" i="58"/>
  <c r="E78" i="58" s="1"/>
  <c r="G78" i="58" s="1"/>
  <c r="E104" i="58"/>
  <c r="K26" i="58"/>
  <c r="M26" i="58" s="1"/>
  <c r="E105" i="58"/>
  <c r="G105" i="58" s="1"/>
  <c r="E24" i="58"/>
  <c r="G24" i="58" s="1"/>
  <c r="C139" i="58" s="1"/>
  <c r="E103" i="58"/>
  <c r="W17" i="11"/>
  <c r="H5" i="60" s="1"/>
  <c r="C14" i="58"/>
  <c r="O24" i="11"/>
  <c r="D7" i="58"/>
  <c r="K21" i="58"/>
  <c r="E51" i="58"/>
  <c r="G51" i="58" s="1"/>
  <c r="E52" i="58"/>
  <c r="M52" i="58" s="1"/>
  <c r="Y40" i="11"/>
  <c r="Y44" i="11"/>
  <c r="Y35" i="11"/>
  <c r="Y43" i="11"/>
  <c r="Y20" i="11"/>
  <c r="W40" i="11"/>
  <c r="J692" i="60"/>
  <c r="I700" i="60" s="1"/>
  <c r="P699" i="60" s="1"/>
  <c r="E700" i="60"/>
  <c r="N699" i="60" s="1"/>
  <c r="H692" i="60"/>
  <c r="K25" i="58"/>
  <c r="M19" i="58"/>
  <c r="D14" i="58"/>
  <c r="G25" i="58"/>
  <c r="C138" i="58" s="1"/>
  <c r="W34" i="11"/>
  <c r="W32" i="11"/>
  <c r="H8" i="60" s="1"/>
  <c r="W33" i="11"/>
  <c r="E99" i="58"/>
  <c r="G99" i="58" s="1"/>
  <c r="E20" i="58"/>
  <c r="AH23" i="11"/>
  <c r="K24" i="58"/>
  <c r="M24" i="58" s="1"/>
  <c r="M20" i="58"/>
  <c r="E26" i="58"/>
  <c r="W27" i="11"/>
  <c r="H7" i="60" s="1"/>
  <c r="W29" i="11"/>
  <c r="W28" i="11"/>
  <c r="E19" i="58"/>
  <c r="C28" i="58"/>
  <c r="E98" i="58"/>
  <c r="W24" i="11"/>
  <c r="J24" i="11"/>
  <c r="J47" i="11"/>
  <c r="J42" i="11"/>
  <c r="E87" i="58" l="1"/>
  <c r="E74" i="58"/>
  <c r="G74" i="58" s="1"/>
  <c r="O43" i="11"/>
  <c r="B434" i="60"/>
  <c r="E434" i="60" s="1"/>
  <c r="H569" i="60"/>
  <c r="F691" i="60" s="1"/>
  <c r="E698" i="60"/>
  <c r="N697" i="60" s="1"/>
  <c r="J690" i="60"/>
  <c r="I698" i="60" s="1"/>
  <c r="P697" i="60" s="1"/>
  <c r="H690" i="60"/>
  <c r="AH15" i="11"/>
  <c r="D75" i="60"/>
  <c r="E75" i="60" s="1"/>
  <c r="H587" i="60"/>
  <c r="L689" i="60"/>
  <c r="K697" i="60" s="1"/>
  <c r="G697" i="60"/>
  <c r="O696" i="60" s="1"/>
  <c r="O51" i="11"/>
  <c r="W23" i="11"/>
  <c r="W22" i="11"/>
  <c r="H6" i="60" s="1"/>
  <c r="H10" i="60" s="1"/>
  <c r="W20" i="11"/>
  <c r="E77" i="58"/>
  <c r="G77" i="58" s="1"/>
  <c r="E91" i="58"/>
  <c r="G91" i="58" s="1"/>
  <c r="M21" i="58"/>
  <c r="M100" i="58"/>
  <c r="O100" i="58" s="1"/>
  <c r="M25" i="58"/>
  <c r="M91" i="58" s="1"/>
  <c r="O91" i="58" s="1"/>
  <c r="M104" i="58"/>
  <c r="O104" i="58" s="1"/>
  <c r="E90" i="58"/>
  <c r="G90" i="58" s="1"/>
  <c r="E61" i="58"/>
  <c r="G61" i="58" s="1"/>
  <c r="E48" i="58"/>
  <c r="G48" i="58" s="1"/>
  <c r="M51" i="58"/>
  <c r="O51" i="58" s="1"/>
  <c r="G87" i="58"/>
  <c r="G100" i="58"/>
  <c r="G104" i="58"/>
  <c r="E65" i="58"/>
  <c r="G65" i="58" s="1"/>
  <c r="G52" i="58"/>
  <c r="E53" i="58"/>
  <c r="M53" i="58" s="1"/>
  <c r="G103" i="58"/>
  <c r="Y30" i="11"/>
  <c r="Y42" i="11"/>
  <c r="X45" i="11" s="1"/>
  <c r="Y25" i="11"/>
  <c r="W35" i="11"/>
  <c r="W30" i="11"/>
  <c r="L692" i="60"/>
  <c r="K700" i="60" s="1"/>
  <c r="G700" i="60"/>
  <c r="O699" i="60" s="1"/>
  <c r="W44" i="11"/>
  <c r="H15" i="60" s="1"/>
  <c r="W43" i="11"/>
  <c r="H14" i="60" s="1"/>
  <c r="O26" i="58"/>
  <c r="M79" i="58"/>
  <c r="O79" i="58" s="1"/>
  <c r="M92" i="58"/>
  <c r="M86" i="58"/>
  <c r="O20" i="58"/>
  <c r="M33" i="58"/>
  <c r="K33" i="58" s="1"/>
  <c r="M73" i="58"/>
  <c r="O73" i="58" s="1"/>
  <c r="G26" i="58"/>
  <c r="C141" i="58" s="1"/>
  <c r="E79" i="58"/>
  <c r="G79" i="58" s="1"/>
  <c r="E92" i="58"/>
  <c r="G92" i="58" s="1"/>
  <c r="M65" i="58"/>
  <c r="O65" i="58" s="1"/>
  <c r="O52" i="58"/>
  <c r="E86" i="58"/>
  <c r="G86" i="58" s="1"/>
  <c r="E47" i="58"/>
  <c r="G20" i="58"/>
  <c r="C140" i="58" s="1"/>
  <c r="G98" i="58"/>
  <c r="M77" i="58"/>
  <c r="O77" i="58" s="1"/>
  <c r="Y77" i="58" s="1"/>
  <c r="O24" i="58"/>
  <c r="Y24" i="58" s="1"/>
  <c r="M90" i="58"/>
  <c r="M38" i="58"/>
  <c r="AH19" i="11"/>
  <c r="M32" i="58"/>
  <c r="K32" i="58" s="1"/>
  <c r="M85" i="58"/>
  <c r="O19" i="58"/>
  <c r="M72" i="58"/>
  <c r="O72" i="58" s="1"/>
  <c r="AH21" i="11"/>
  <c r="E85" i="58"/>
  <c r="G19" i="58"/>
  <c r="E46" i="58"/>
  <c r="E28" i="58"/>
  <c r="K28" i="58"/>
  <c r="J51" i="11"/>
  <c r="J43" i="11"/>
  <c r="J52" i="11" s="1"/>
  <c r="AH17" i="11" l="1"/>
  <c r="W25" i="11"/>
  <c r="W42" i="11"/>
  <c r="V47" i="11" s="1"/>
  <c r="O52" i="11"/>
  <c r="H588" i="60"/>
  <c r="L690" i="60"/>
  <c r="K698" i="60" s="1"/>
  <c r="G698" i="60"/>
  <c r="O697" i="60" s="1"/>
  <c r="H18" i="60"/>
  <c r="O38" i="58"/>
  <c r="Y38" i="58" s="1"/>
  <c r="K38" i="58"/>
  <c r="Y65" i="58"/>
  <c r="Y52" i="58"/>
  <c r="Y100" i="58"/>
  <c r="Y19" i="58"/>
  <c r="M78" i="58"/>
  <c r="O78" i="58" s="1"/>
  <c r="Y78" i="58" s="1"/>
  <c r="M39" i="58"/>
  <c r="Y104" i="58"/>
  <c r="O25" i="58"/>
  <c r="Y25" i="58" s="1"/>
  <c r="M28" i="58"/>
  <c r="Y79" i="58"/>
  <c r="Y91" i="58"/>
  <c r="S50" i="58"/>
  <c r="Y51" i="58"/>
  <c r="Y20" i="58"/>
  <c r="M64" i="58"/>
  <c r="O64" i="58" s="1"/>
  <c r="Y64" i="58" s="1"/>
  <c r="Y119" i="58" s="1"/>
  <c r="D141" i="58"/>
  <c r="E141" i="58" s="1"/>
  <c r="Y26" i="58"/>
  <c r="M74" i="58"/>
  <c r="O74" i="58" s="1"/>
  <c r="Y74" i="58" s="1"/>
  <c r="M34" i="58"/>
  <c r="M87" i="58"/>
  <c r="O87" i="58" s="1"/>
  <c r="Y87" i="58" s="1"/>
  <c r="O21" i="58"/>
  <c r="Y21" i="58" s="1"/>
  <c r="M49" i="58"/>
  <c r="M48" i="58"/>
  <c r="S49" i="58"/>
  <c r="E107" i="58"/>
  <c r="M66" i="58"/>
  <c r="O66" i="58" s="1"/>
  <c r="O53" i="58"/>
  <c r="G107" i="58"/>
  <c r="C145" i="58" s="1"/>
  <c r="O85" i="58"/>
  <c r="O90" i="58"/>
  <c r="Y90" i="58" s="1"/>
  <c r="M103" i="58"/>
  <c r="O103" i="58" s="1"/>
  <c r="Y103" i="58" s="1"/>
  <c r="O92" i="58"/>
  <c r="Y92" i="58" s="1"/>
  <c r="M105" i="58"/>
  <c r="O105" i="58" s="1"/>
  <c r="Y105" i="58" s="1"/>
  <c r="O86" i="58"/>
  <c r="Y86" i="58" s="1"/>
  <c r="O99" i="58"/>
  <c r="Y99" i="58" s="1"/>
  <c r="H27" i="60"/>
  <c r="H691" i="60"/>
  <c r="J691" i="60"/>
  <c r="I699" i="60" s="1"/>
  <c r="P698" i="60" s="1"/>
  <c r="E699" i="60"/>
  <c r="N698" i="60" s="1"/>
  <c r="G10" i="60"/>
  <c r="G18" i="60" s="1"/>
  <c r="V45" i="11"/>
  <c r="AH24" i="11"/>
  <c r="G46" i="58"/>
  <c r="E59" i="58"/>
  <c r="E55" i="58"/>
  <c r="M46" i="58"/>
  <c r="O32" i="58"/>
  <c r="C137" i="58"/>
  <c r="G28" i="58"/>
  <c r="D139" i="58"/>
  <c r="E139" i="58" s="1"/>
  <c r="E60" i="58"/>
  <c r="G47" i="58"/>
  <c r="G53" i="58"/>
  <c r="E66" i="58"/>
  <c r="G66" i="58" s="1"/>
  <c r="O33" i="58"/>
  <c r="M47" i="58"/>
  <c r="G85" i="58"/>
  <c r="G94" i="58" s="1"/>
  <c r="E94" i="58"/>
  <c r="Z45" i="11" l="1"/>
  <c r="V49" i="11"/>
  <c r="O34" i="58"/>
  <c r="Y34" i="58" s="1"/>
  <c r="K34" i="58"/>
  <c r="O39" i="58"/>
  <c r="Y39" i="58" s="1"/>
  <c r="Y120" i="58" s="1"/>
  <c r="K39" i="58"/>
  <c r="D140" i="58"/>
  <c r="E140" i="58" s="1"/>
  <c r="Y85" i="58"/>
  <c r="Y94" i="58" s="1"/>
  <c r="S75" i="58"/>
  <c r="O81" i="58"/>
  <c r="D142" i="58" s="1"/>
  <c r="O28" i="58"/>
  <c r="Q28" i="58" s="1"/>
  <c r="Y53" i="58"/>
  <c r="Y121" i="58" s="1"/>
  <c r="D137" i="58"/>
  <c r="E137" i="58" s="1"/>
  <c r="Y32" i="58"/>
  <c r="S74" i="58"/>
  <c r="Y28" i="58"/>
  <c r="Y33" i="58"/>
  <c r="Y66" i="58"/>
  <c r="O48" i="58"/>
  <c r="M61" i="58"/>
  <c r="O61" i="58" s="1"/>
  <c r="Y61" i="58" s="1"/>
  <c r="M62" i="58"/>
  <c r="O62" i="58" s="1"/>
  <c r="Y62" i="58" s="1"/>
  <c r="O49" i="58"/>
  <c r="Y49" i="58" s="1"/>
  <c r="Y117" i="58" s="1"/>
  <c r="O94" i="58"/>
  <c r="D146" i="58" s="1"/>
  <c r="S76" i="58"/>
  <c r="O98" i="58"/>
  <c r="M107" i="58"/>
  <c r="H20" i="60"/>
  <c r="G699" i="60"/>
  <c r="O698" i="60" s="1"/>
  <c r="L691" i="60"/>
  <c r="K699" i="60" s="1"/>
  <c r="C481" i="60"/>
  <c r="C479" i="60"/>
  <c r="C484" i="60"/>
  <c r="C482" i="60"/>
  <c r="C480" i="60"/>
  <c r="C483" i="60"/>
  <c r="G55" i="58"/>
  <c r="C143" i="58" s="1"/>
  <c r="E72" i="58"/>
  <c r="G59" i="58"/>
  <c r="E68" i="58"/>
  <c r="M59" i="58"/>
  <c r="O59" i="58" s="1"/>
  <c r="O46" i="58"/>
  <c r="Y46" i="58" s="1"/>
  <c r="C146" i="58"/>
  <c r="M60" i="58"/>
  <c r="O60" i="58" s="1"/>
  <c r="O47" i="58"/>
  <c r="E73" i="58"/>
  <c r="G73" i="58" s="1"/>
  <c r="G60" i="58"/>
  <c r="O42" i="58"/>
  <c r="D138" i="58" l="1"/>
  <c r="E138" i="58" s="1"/>
  <c r="Y59" i="58"/>
  <c r="C124" i="58"/>
  <c r="Q94" i="58"/>
  <c r="F140" i="58"/>
  <c r="S73" i="58"/>
  <c r="Y73" i="58"/>
  <c r="Y48" i="58"/>
  <c r="Y116" i="58" s="1"/>
  <c r="S48" i="58"/>
  <c r="Y60" i="58"/>
  <c r="Y68" i="58" s="1"/>
  <c r="O107" i="58"/>
  <c r="Q107" i="58" s="1"/>
  <c r="Y98" i="58"/>
  <c r="Y107" i="58" s="1"/>
  <c r="Y41" i="58"/>
  <c r="S47" i="58"/>
  <c r="Y47" i="58"/>
  <c r="Y115" i="58" s="1"/>
  <c r="E146" i="58"/>
  <c r="H146" i="58" s="1"/>
  <c r="K146" i="58" s="1"/>
  <c r="F139" i="58"/>
  <c r="C129" i="58"/>
  <c r="D480" i="60"/>
  <c r="E480" i="60" s="1"/>
  <c r="B490" i="60"/>
  <c r="D490" i="60" s="1"/>
  <c r="E490" i="60" s="1"/>
  <c r="D482" i="60"/>
  <c r="E482" i="60" s="1"/>
  <c r="B492" i="60"/>
  <c r="D492" i="60" s="1"/>
  <c r="E492" i="60" s="1"/>
  <c r="D484" i="60"/>
  <c r="E484" i="60" s="1"/>
  <c r="B494" i="60"/>
  <c r="D494" i="60" s="1"/>
  <c r="E494" i="60" s="1"/>
  <c r="D479" i="60"/>
  <c r="C485" i="60"/>
  <c r="B489" i="60"/>
  <c r="B491" i="60"/>
  <c r="D491" i="60" s="1"/>
  <c r="E491" i="60" s="1"/>
  <c r="D481" i="60"/>
  <c r="E481" i="60" s="1"/>
  <c r="B493" i="60"/>
  <c r="D493" i="60" s="1"/>
  <c r="E493" i="60" s="1"/>
  <c r="D483" i="60"/>
  <c r="E483" i="60" s="1"/>
  <c r="G20" i="60"/>
  <c r="G27" i="60"/>
  <c r="G68" i="58"/>
  <c r="O68" i="58"/>
  <c r="D144" i="58" s="1"/>
  <c r="S46" i="58"/>
  <c r="O55" i="58"/>
  <c r="C125" i="58"/>
  <c r="K125" i="58" s="1"/>
  <c r="Q42" i="58"/>
  <c r="G72" i="58"/>
  <c r="E81" i="58"/>
  <c r="F137" i="58"/>
  <c r="F138" i="58"/>
  <c r="F141" i="58"/>
  <c r="S72" i="58" l="1"/>
  <c r="S77" i="58" s="1"/>
  <c r="Y72" i="58"/>
  <c r="Y114" i="58" s="1"/>
  <c r="C130" i="58"/>
  <c r="D145" i="58"/>
  <c r="E145" i="58" s="1"/>
  <c r="H145" i="58" s="1"/>
  <c r="K145" i="58" s="1"/>
  <c r="Y55" i="58"/>
  <c r="E479" i="60"/>
  <c r="D485" i="60"/>
  <c r="E485" i="60" s="1"/>
  <c r="B495" i="60"/>
  <c r="D489" i="60"/>
  <c r="C128" i="58"/>
  <c r="C144" i="58"/>
  <c r="E144" i="58" s="1"/>
  <c r="H144" i="58" s="1"/>
  <c r="K144" i="58" s="1"/>
  <c r="Q68" i="58"/>
  <c r="G81" i="58"/>
  <c r="D143" i="58"/>
  <c r="Q55" i="58"/>
  <c r="C127" i="58"/>
  <c r="K127" i="58" s="1"/>
  <c r="Y81" i="58" l="1"/>
  <c r="Y123" i="58"/>
  <c r="D495" i="60"/>
  <c r="E495" i="60" s="1"/>
  <c r="E489" i="60"/>
  <c r="D148" i="58"/>
  <c r="E143" i="58"/>
  <c r="H143" i="58" s="1"/>
  <c r="K143" i="58" s="1"/>
  <c r="C142" i="58"/>
  <c r="C126" i="58"/>
  <c r="K126" i="58" s="1"/>
  <c r="C132" i="58"/>
  <c r="Q81" i="58"/>
  <c r="G139" i="58" l="1"/>
  <c r="H139" i="58" s="1"/>
  <c r="K139" i="58" s="1"/>
  <c r="G140" i="58"/>
  <c r="H140" i="58" s="1"/>
  <c r="K140" i="58" s="1"/>
  <c r="K124" i="58"/>
  <c r="K129" i="58" s="1"/>
  <c r="G138" i="58"/>
  <c r="H138" i="58" s="1"/>
  <c r="K138" i="58" s="1"/>
  <c r="G137" i="58"/>
  <c r="G141" i="58"/>
  <c r="H141" i="58" s="1"/>
  <c r="K141" i="58" s="1"/>
  <c r="C133" i="58"/>
  <c r="E142" i="58"/>
  <c r="C148" i="58"/>
  <c r="H137" i="58" l="1"/>
  <c r="K137" i="58" s="1"/>
  <c r="G148" i="58"/>
  <c r="H142" i="58"/>
  <c r="K142" i="58" s="1"/>
  <c r="E148" i="58"/>
  <c r="H148" i="58" l="1"/>
  <c r="R111" i="7" l="1"/>
  <c r="S111" i="7" s="1"/>
  <c r="T111" i="7" s="1"/>
  <c r="C211" i="60" s="1"/>
  <c r="B111" i="52"/>
  <c r="R111" i="52" s="1"/>
  <c r="S111" i="52" s="1"/>
  <c r="T111" i="52" s="1"/>
  <c r="B173" i="7"/>
  <c r="B178" i="7" s="1"/>
  <c r="L178" i="7" s="1"/>
  <c r="B173" i="52" l="1"/>
  <c r="R173" i="52" s="1"/>
  <c r="S173" i="52" s="1"/>
  <c r="T173" i="52" s="1"/>
  <c r="B15" i="9"/>
  <c r="W173" i="7"/>
  <c r="R173" i="7"/>
  <c r="S173" i="7" s="1"/>
  <c r="T173" i="7" s="1"/>
  <c r="B178" i="52"/>
  <c r="L178" i="52" s="1"/>
  <c r="L4" i="11"/>
  <c r="E548" i="60" l="1"/>
  <c r="E550" i="60" s="1"/>
  <c r="L6" i="11"/>
  <c r="B242" i="60"/>
  <c r="D15" i="9"/>
  <c r="E15" i="9" s="1"/>
  <c r="F15" i="9"/>
  <c r="G242" i="60" l="1"/>
  <c r="D24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Z45" authorId="0" shapeId="0" xr:uid="{DC98B296-73D8-4FF8-927D-5C84BFD7E714}">
      <text>
        <r>
          <rPr>
            <b/>
            <sz val="9"/>
            <color indexed="81"/>
            <rFont val="Tahoma"/>
            <family val="2"/>
          </rPr>
          <t>Tyler Kasubeck:</t>
        </r>
        <r>
          <rPr>
            <sz val="9"/>
            <color indexed="81"/>
            <rFont val="Tahoma"/>
            <family val="2"/>
          </rPr>
          <t xml:space="preserve">
this is the amount of revenue deficiency created as a result of the laod forecast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00000000-0006-0000-0200-000001000000}">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00000000-0006-0000-0200-000002000000}">
      <text>
        <r>
          <rPr>
            <b/>
            <sz val="9"/>
            <color indexed="81"/>
            <rFont val="Tahoma"/>
            <family val="2"/>
          </rPr>
          <t>Andrew Belsito:</t>
        </r>
        <r>
          <rPr>
            <sz val="9"/>
            <color indexed="81"/>
            <rFont val="Tahoma"/>
            <family val="2"/>
          </rPr>
          <t xml:space="preserve">
Statscan - employment and unemployment table</t>
        </r>
      </text>
    </comment>
    <comment ref="W2" authorId="1" shapeId="0" xr:uid="{35391244-3115-4C19-B143-4888D9FB89EC}">
      <text>
        <r>
          <rPr>
            <b/>
            <sz val="9"/>
            <color indexed="81"/>
            <rFont val="Tahoma"/>
            <family val="2"/>
          </rPr>
          <t>Tyler Kasubeck:</t>
        </r>
        <r>
          <rPr>
            <sz val="9"/>
            <color indexed="81"/>
            <rFont val="Tahoma"/>
            <family val="2"/>
          </rPr>
          <t xml:space="preserve">
to be re-run once I have 2021 actual information</t>
        </r>
      </text>
    </comment>
    <comment ref="W28" authorId="1" shapeId="0" xr:uid="{9F22FF1F-C0C2-4C8A-876C-5F949EDEE1A0}">
      <text>
        <r>
          <rPr>
            <b/>
            <sz val="9"/>
            <color indexed="81"/>
            <rFont val="Tahoma"/>
            <family val="2"/>
          </rPr>
          <t>Tyler Kasubeck:</t>
        </r>
        <r>
          <rPr>
            <sz val="9"/>
            <color indexed="81"/>
            <rFont val="Tahoma"/>
            <family val="2"/>
          </rPr>
          <t xml:space="preserve">
updated for 2021 actual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E52A6DA6-E185-41FE-989B-3BB4ED81B8F9}">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DA1712FA-BF5B-4FD1-8DBE-0D89C12F7802}">
      <text>
        <r>
          <rPr>
            <b/>
            <sz val="9"/>
            <color indexed="81"/>
            <rFont val="Tahoma"/>
            <family val="2"/>
          </rPr>
          <t>Andrew Belsito:</t>
        </r>
        <r>
          <rPr>
            <sz val="9"/>
            <color indexed="81"/>
            <rFont val="Tahoma"/>
            <family val="2"/>
          </rPr>
          <t xml:space="preserve">
Statscan - employment and unemployment table</t>
        </r>
      </text>
    </comment>
    <comment ref="L178" authorId="1" shapeId="0" xr:uid="{B849485E-0C09-4215-803E-D886C59D8A76}">
      <text>
        <r>
          <rPr>
            <b/>
            <sz val="9"/>
            <color indexed="81"/>
            <rFont val="Tahoma"/>
            <family val="2"/>
          </rPr>
          <t>Tyler Kasubeck:</t>
        </r>
        <r>
          <rPr>
            <sz val="9"/>
            <color indexed="81"/>
            <rFont val="Tahoma"/>
            <family val="2"/>
          </rPr>
          <t xml:space="preserve">
this wont be 0 because your using data on previous tab for the regression model.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H66" authorId="0" shapeId="0" xr:uid="{00000000-0006-0000-0400-000004000000}">
      <text>
        <r>
          <rPr>
            <b/>
            <sz val="9"/>
            <color indexed="81"/>
            <rFont val="Tahoma"/>
            <family val="2"/>
          </rPr>
          <t>Tyler Kasubeck:</t>
        </r>
        <r>
          <rPr>
            <sz val="9"/>
            <color indexed="81"/>
            <rFont val="Tahoma"/>
            <family val="2"/>
          </rPr>
          <t xml:space="preserve">
%'s from 2012 &amp; 2018 
COS application</t>
        </r>
      </text>
    </comment>
    <comment ref="I66" authorId="0" shapeId="0" xr:uid="{1ACBD59F-2074-4B2A-AB5A-55AF420037A8}">
      <text>
        <r>
          <rPr>
            <b/>
            <sz val="9"/>
            <color indexed="81"/>
            <rFont val="Tahoma"/>
            <family val="2"/>
          </rPr>
          <t>Tyler Kasubeck:</t>
        </r>
        <r>
          <rPr>
            <sz val="9"/>
            <color indexed="81"/>
            <rFont val="Tahoma"/>
            <family val="2"/>
          </rPr>
          <t xml:space="preserve">
%'s from 2012 &amp; 2018 
COS application</t>
        </r>
      </text>
    </comment>
    <comment ref="J66" authorId="0" shapeId="0" xr:uid="{B28C6455-F732-4A28-8823-B2E11092A206}">
      <text>
        <r>
          <rPr>
            <b/>
            <sz val="9"/>
            <color indexed="81"/>
            <rFont val="Tahoma"/>
            <family val="2"/>
          </rPr>
          <t>Tyler Kasubeck:</t>
        </r>
        <r>
          <rPr>
            <sz val="9"/>
            <color indexed="81"/>
            <rFont val="Tahoma"/>
            <family val="2"/>
          </rPr>
          <t xml:space="preserve">
%'s from 2012 &amp; 2018 
COS application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E2" authorId="0" shapeId="0" xr:uid="{00000000-0006-0000-0500-000001000000}">
      <text>
        <r>
          <rPr>
            <b/>
            <sz val="9"/>
            <color indexed="81"/>
            <rFont val="Tahoma"/>
            <family val="2"/>
          </rPr>
          <t>Andrew Belsito:</t>
        </r>
        <r>
          <rPr>
            <sz val="9"/>
            <color indexed="81"/>
            <rFont val="Tahoma"/>
            <family val="2"/>
          </rPr>
          <t xml:space="preserve">
Connections
</t>
        </r>
      </text>
    </comment>
    <comment ref="F9" authorId="1" shapeId="0" xr:uid="{2B259A03-3470-4E6E-8332-B29FB70FC938}">
      <text>
        <r>
          <rPr>
            <b/>
            <sz val="9"/>
            <color indexed="81"/>
            <rFont val="Tahoma"/>
            <family val="2"/>
          </rPr>
          <t>Tyler Kasubeck:</t>
        </r>
        <r>
          <rPr>
            <sz val="9"/>
            <color indexed="81"/>
            <rFont val="Tahoma"/>
            <family val="2"/>
          </rPr>
          <t xml:space="preserve">
used devices from 2003-2016
</t>
        </r>
      </text>
    </comment>
    <comment ref="F10" authorId="0" shapeId="0" xr:uid="{00000000-0006-0000-0500-000004000000}">
      <text>
        <r>
          <rPr>
            <b/>
            <sz val="9"/>
            <color indexed="81"/>
            <rFont val="Tahoma"/>
            <family val="2"/>
          </rPr>
          <t>Tyler Kasubeck:</t>
        </r>
        <r>
          <rPr>
            <sz val="9"/>
            <color indexed="81"/>
            <rFont val="Tahoma"/>
            <family val="2"/>
          </rPr>
          <t xml:space="preserve">
Used Connections for 2017 &amp; 2018
</t>
        </r>
      </text>
    </comment>
    <comment ref="F11" authorId="1" shapeId="0" xr:uid="{4B468504-075E-4558-8E94-C17A4F9207C7}">
      <text>
        <r>
          <rPr>
            <b/>
            <sz val="9"/>
            <color indexed="81"/>
            <rFont val="Tahoma"/>
            <family val="2"/>
          </rPr>
          <t>Tyler Kasubeck:</t>
        </r>
        <r>
          <rPr>
            <sz val="9"/>
            <color indexed="81"/>
            <rFont val="Tahoma"/>
            <family val="2"/>
          </rPr>
          <t xml:space="preserve">
9317 was reported but this must have been prior to knowing the approval of connections instead of devices. </t>
        </r>
      </text>
    </comment>
    <comment ref="E34" authorId="0" shapeId="0" xr:uid="{1E6E5392-3AF8-4F65-AD71-5A376A25598A}">
      <text>
        <r>
          <rPr>
            <b/>
            <sz val="9"/>
            <color indexed="81"/>
            <rFont val="Tahoma"/>
            <family val="2"/>
          </rPr>
          <t>Andrew Belsito:</t>
        </r>
        <r>
          <rPr>
            <sz val="9"/>
            <color indexed="81"/>
            <rFont val="Tahoma"/>
            <family val="2"/>
          </rPr>
          <t xml:space="preserve">
Connections
</t>
        </r>
      </text>
    </comment>
    <comment ref="B35" authorId="1" shapeId="0" xr:uid="{5CCA805F-AD94-4E67-8195-A4F37BE5CCE0}">
      <text>
        <r>
          <rPr>
            <b/>
            <sz val="9"/>
            <color indexed="81"/>
            <rFont val="Tahoma"/>
            <family val="2"/>
          </rPr>
          <t>Tyler Kasubeck:</t>
        </r>
        <r>
          <rPr>
            <sz val="9"/>
            <color indexed="81"/>
            <rFont val="Tahoma"/>
            <family val="2"/>
          </rPr>
          <t xml:space="preserve">
covid didn’t effect the number of residential customers in northern ontario. The increase has remained relatively flat whether you compare the 10 year geoman of 1.0031 to that excluding covid which is 1.0029. thus 1.0031 will be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A1" authorId="0" shapeId="0" xr:uid="{00000000-0006-0000-0600-000001000000}">
      <text>
        <r>
          <rPr>
            <b/>
            <sz val="9"/>
            <color indexed="81"/>
            <rFont val="Tahoma"/>
            <family val="2"/>
          </rPr>
          <t>Andrew Belsito:</t>
        </r>
        <r>
          <rPr>
            <sz val="9"/>
            <color indexed="81"/>
            <rFont val="Tahoma"/>
            <family val="2"/>
          </rPr>
          <t xml:space="preserve">
Converts kwh to kW's for these classes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AB44" authorId="0" shapeId="0" xr:uid="{A0419574-313A-43DA-A3E2-6456A2F367D9}">
      <text>
        <r>
          <rPr>
            <b/>
            <sz val="9"/>
            <color indexed="81"/>
            <rFont val="Tahoma"/>
            <family val="2"/>
          </rPr>
          <t>Tyler Kasubeck:</t>
        </r>
        <r>
          <rPr>
            <sz val="9"/>
            <color indexed="81"/>
            <rFont val="Tahoma"/>
            <family val="2"/>
          </rPr>
          <t xml:space="preserve">
to be updated once I have the numbers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4DB95B4-7D75-4B16-9BAD-A941427A13B4}">
      <text>
        <r>
          <rPr>
            <b/>
            <sz val="9"/>
            <color indexed="81"/>
            <rFont val="Tahoma"/>
            <family val="2"/>
          </rPr>
          <t>Tyler Kasubeck:</t>
        </r>
        <r>
          <rPr>
            <sz val="9"/>
            <color indexed="81"/>
            <rFont val="Tahoma"/>
            <family val="2"/>
          </rPr>
          <t xml:space="preserve">
2020 RRR master file tab 2.1.5</t>
        </r>
      </text>
    </comment>
    <comment ref="D19" authorId="1" shapeId="0" xr:uid="{0DF1DD8C-BF76-43AC-92D5-5FA0DF1C3799}">
      <text>
        <r>
          <rPr>
            <b/>
            <sz val="9"/>
            <color indexed="81"/>
            <rFont val="Tahoma"/>
            <family val="2"/>
          </rPr>
          <t>Andrew Belsito:</t>
        </r>
        <r>
          <rPr>
            <sz val="9"/>
            <color indexed="81"/>
            <rFont val="Tahoma"/>
            <family val="2"/>
          </rPr>
          <t xml:space="preserve">
Proposed Loss factor from Appendix 2R in the appendices spreadsheet
</t>
        </r>
      </text>
    </comment>
    <comment ref="F19" authorId="1" shapeId="0" xr:uid="{41A03178-E6D2-440D-B41A-FF428FDECB57}">
      <text>
        <r>
          <rPr>
            <b/>
            <sz val="9"/>
            <color indexed="81"/>
            <rFont val="Tahoma"/>
            <family val="2"/>
          </rPr>
          <t>Andrew Belsito:</t>
        </r>
        <r>
          <rPr>
            <sz val="9"/>
            <color indexed="81"/>
            <rFont val="Tahoma"/>
            <family val="2"/>
          </rPr>
          <t xml:space="preserve">
from http://www.ontarioenergyboard.ca/oeb/_Documents/EB-2004-0205/RPP_Price_Report_May2016.pdf
Average Supply Cost
</t>
        </r>
        <r>
          <rPr>
            <b/>
            <sz val="9"/>
            <color indexed="81"/>
            <rFont val="Tahoma"/>
            <family val="2"/>
          </rPr>
          <t>Tyler Kasubeck:</t>
        </r>
        <r>
          <rPr>
            <sz val="9"/>
            <color indexed="81"/>
            <rFont val="Tahoma"/>
            <family val="2"/>
          </rPr>
          <t xml:space="preserve">
https://www.oeb.ca/sites/default/files/rpp-price-report-20191022.pdf
</t>
        </r>
      </text>
    </comment>
    <comment ref="N19" authorId="1" shapeId="0" xr:uid="{569E3D1C-9D3B-4113-B732-A0D3C62C74C9}">
      <text>
        <r>
          <rPr>
            <b/>
            <sz val="9"/>
            <color indexed="81"/>
            <rFont val="Tahoma"/>
            <family val="2"/>
          </rPr>
          <t>Andrew Belsito:</t>
        </r>
        <r>
          <rPr>
            <sz val="9"/>
            <color indexed="81"/>
            <rFont val="Tahoma"/>
            <family val="2"/>
          </rPr>
          <t xml:space="preserve">
from http://www.ontarioenergyboard.ca/oeb/_Documents/EB-2004-0205/RPP_Price_Report_May2016.pdf
Forecast WEP + GA</t>
        </r>
      </text>
    </comment>
    <comment ref="D109" authorId="0" shapeId="0" xr:uid="{70C0A823-623F-422A-949E-F3A068B774F9}">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7C78253-33E8-4CF9-9E0F-9F0C2E7C80C8}">
      <text>
        <r>
          <rPr>
            <b/>
            <sz val="9"/>
            <color indexed="81"/>
            <rFont val="Tahoma"/>
            <family val="2"/>
          </rPr>
          <t>Tyler Kasubeck:</t>
        </r>
        <r>
          <rPr>
            <sz val="9"/>
            <color indexed="81"/>
            <rFont val="Tahoma"/>
            <family val="2"/>
          </rPr>
          <t xml:space="preserve">
2020 RRR master file tab 2.1.5</t>
        </r>
      </text>
    </comment>
    <comment ref="D19" authorId="1" shapeId="0" xr:uid="{01BD6869-E3D7-4D38-842D-BD4CB7E9FED9}">
      <text>
        <r>
          <rPr>
            <b/>
            <sz val="9"/>
            <color indexed="81"/>
            <rFont val="Tahoma"/>
            <family val="2"/>
          </rPr>
          <t>Andrew Belsito:</t>
        </r>
        <r>
          <rPr>
            <sz val="9"/>
            <color indexed="81"/>
            <rFont val="Tahoma"/>
            <family val="2"/>
          </rPr>
          <t xml:space="preserve">
Proposed Loss factor from Appendix 2R in the appendices spreadsheet
</t>
        </r>
      </text>
    </comment>
    <comment ref="D110" authorId="0" shapeId="0" xr:uid="{BB83DD15-3127-460D-BFED-7D3564EBE1B4}">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sharedStrings.xml><?xml version="1.0" encoding="utf-8"?>
<sst xmlns="http://schemas.openxmlformats.org/spreadsheetml/2006/main" count="1735" uniqueCount="417">
  <si>
    <t>Loss Factor</t>
  </si>
  <si>
    <t xml:space="preserve">Residential </t>
  </si>
  <si>
    <t xml:space="preserve">Unmetered Loads </t>
  </si>
  <si>
    <t>Total Billed</t>
  </si>
  <si>
    <t>Heating Degree Days</t>
  </si>
  <si>
    <t>Cooling Degree Days</t>
  </si>
  <si>
    <t>Number of Days in Month</t>
  </si>
  <si>
    <t>Number of Peak Hours</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</si>
  <si>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</si>
  <si>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</si>
  <si>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</si>
  <si>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</si>
  <si>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</si>
  <si>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</si>
  <si>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</si>
  <si>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</si>
  <si>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</si>
  <si>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</si>
  <si>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</si>
  <si>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Check</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</si>
  <si>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</si>
  <si>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</si>
  <si>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</si>
  <si>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</si>
  <si>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</si>
  <si>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</si>
  <si>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</si>
  <si>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</si>
  <si>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</si>
  <si>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</si>
  <si>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</si>
  <si>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</si>
  <si>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</si>
  <si>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</si>
  <si>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</si>
  <si>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</si>
  <si>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</si>
  <si>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</si>
  <si>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</si>
  <si>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</si>
  <si>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</si>
  <si>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</si>
  <si>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</si>
  <si>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</si>
  <si>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</si>
  <si>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</si>
  <si>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</si>
  <si>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</si>
  <si>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</si>
  <si>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</si>
  <si>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</si>
  <si>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</si>
  <si>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</si>
  <si>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</si>
  <si>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</si>
  <si>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</si>
  <si>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</si>
  <si>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</si>
  <si>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Used</t>
  </si>
  <si>
    <t>kW/kWh</t>
  </si>
  <si>
    <t>Purchased kWh</t>
  </si>
  <si>
    <t>Street Lights</t>
  </si>
  <si>
    <t>Weather Normal</t>
  </si>
  <si>
    <t>May</t>
  </si>
  <si>
    <t>kWh</t>
  </si>
  <si>
    <t>kW</t>
  </si>
  <si>
    <t>TOTAL</t>
  </si>
  <si>
    <t>Electricity - Commodity RPP</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</si>
  <si>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</si>
  <si>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</si>
  <si>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</si>
  <si>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</si>
  <si>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</si>
  <si>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</si>
  <si>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</si>
  <si>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</si>
  <si>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</si>
  <si>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</si>
  <si>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4714-Charges-NW</t>
  </si>
  <si>
    <t>4716-Charges-CN</t>
  </si>
  <si>
    <t xml:space="preserve">4730-Rural Rate Assistance </t>
  </si>
  <si>
    <t>Number of Customers</t>
  </si>
  <si>
    <t>% Variance (Abs)</t>
  </si>
  <si>
    <t xml:space="preserve">2011 Actual </t>
  </si>
  <si>
    <t xml:space="preserve">2012 Actual </t>
  </si>
  <si>
    <t xml:space="preserve">Billed kWh </t>
  </si>
  <si>
    <t>CDM Activity</t>
  </si>
  <si>
    <t>Summary of Degree Day Information</t>
  </si>
  <si>
    <t>Summary of All Heating Degree Days</t>
  </si>
  <si>
    <t>Month</t>
  </si>
  <si>
    <t>10 Year Avg</t>
  </si>
  <si>
    <t>20 Year Trend</t>
  </si>
  <si>
    <t>January</t>
  </si>
  <si>
    <t>February</t>
  </si>
  <si>
    <t>March</t>
  </si>
  <si>
    <t>April</t>
  </si>
  <si>
    <t>June</t>
  </si>
  <si>
    <t>July</t>
  </si>
  <si>
    <t>August</t>
  </si>
  <si>
    <t>September</t>
  </si>
  <si>
    <t>October</t>
  </si>
  <si>
    <t>November</t>
  </si>
  <si>
    <t>December</t>
  </si>
  <si>
    <t>Summary of All Cooling Degree Days</t>
  </si>
  <si>
    <t>4751 - Smart Metering Entity charge</t>
  </si>
  <si>
    <t>General Service &lt; 50 kW</t>
  </si>
  <si>
    <t xml:space="preserve">2013 Actual </t>
  </si>
  <si>
    <t xml:space="preserve">2014 Actual </t>
  </si>
  <si>
    <t>Regional Employment (000's)</t>
  </si>
  <si>
    <t>Regional Unemployment (000's)</t>
  </si>
  <si>
    <t>Weather Normal Projection</t>
  </si>
  <si>
    <t>Residential</t>
  </si>
  <si>
    <t>USL</t>
  </si>
  <si>
    <t>Sentinel Lights</t>
  </si>
  <si>
    <t>Check totals above should be zero</t>
  </si>
  <si>
    <t>Year</t>
  </si>
  <si>
    <t>Growth 
(GWh)</t>
  </si>
  <si>
    <t>Customer/
Connection
Count</t>
  </si>
  <si>
    <t xml:space="preserve">Growth </t>
  </si>
  <si>
    <t>Billed Energy (GWh) and Customer Count / Connections</t>
  </si>
  <si>
    <t>Sentinel Lighting</t>
  </si>
  <si>
    <t xml:space="preserve">Unmetered Scattered Load </t>
  </si>
  <si>
    <t>Number of Customers/Connections</t>
  </si>
  <si>
    <t>F Test</t>
  </si>
  <si>
    <t xml:space="preserve">MAPE (Monthly) </t>
  </si>
  <si>
    <t>T-stats by Coefficient</t>
  </si>
  <si>
    <t>Constant</t>
  </si>
  <si>
    <t xml:space="preserve">Actual </t>
  </si>
  <si>
    <t xml:space="preserve">Predicted </t>
  </si>
  <si>
    <t>Purchased Energy (GWh)</t>
  </si>
  <si>
    <t>Growth Rate in Customers/Connections</t>
  </si>
  <si>
    <t>Non-normalized Weather Billed Energy Forecast (GWh)</t>
  </si>
  <si>
    <t>Weather Normalized Billed Energy Forecast (GWh)</t>
  </si>
  <si>
    <t>Billed Annual kW</t>
  </si>
  <si>
    <t>Variance</t>
  </si>
  <si>
    <t>2015 Actual</t>
  </si>
  <si>
    <t>2016 Actual</t>
  </si>
  <si>
    <t>Smart Meter Entity Charge</t>
  </si>
  <si>
    <t>Customers</t>
  </si>
  <si>
    <t>2017 Programs</t>
  </si>
  <si>
    <t>2018 Programs</t>
  </si>
  <si>
    <t>Billed 
Actual
(GWh)</t>
  </si>
  <si>
    <t>Billed 
Weather 
Normal
(GWh)</t>
  </si>
  <si>
    <t>Billed Energy (GWh) - Actual</t>
  </si>
  <si>
    <t>Billed Energy (GWh) - Weather Normal</t>
  </si>
  <si>
    <t>Actual Annual Energy Usage per Customer/Connection (kWh per customer/connection)</t>
  </si>
  <si>
    <t>Normalized Annual Energy Usage per Customer/Connection (kWh per customer/connection)</t>
  </si>
  <si>
    <t>Predicted 
Weather 
Normal</t>
  </si>
  <si>
    <t>Weather 
Normal Conversion 
Factor</t>
  </si>
  <si>
    <t>Actual 
Weather 
Normal</t>
  </si>
  <si>
    <t>Total Including Persistence</t>
  </si>
  <si>
    <t>2018 Test - kWh</t>
  </si>
  <si>
    <t>2018 Test - kW Annual</t>
  </si>
  <si>
    <t>2018 Test - kW Monthly</t>
  </si>
  <si>
    <t>Weather Adjustment (GWh)</t>
  </si>
  <si>
    <t>CDM Adjustment (GWh)</t>
  </si>
  <si>
    <t>Actual</t>
  </si>
  <si>
    <t>Billing Quantiites</t>
  </si>
  <si>
    <t>Customers / 
Connections</t>
  </si>
  <si>
    <t>Units</t>
  </si>
  <si>
    <t>Annual Usage Per Customer / Connection</t>
  </si>
  <si>
    <t>Annual Usage Per Customer / Connection Weather Normal</t>
  </si>
  <si>
    <t>Total Annual CDM Results  (kWh)</t>
  </si>
  <si>
    <t>OPA Annual CDM Final Results 2006 to 2010 programs (kWh)</t>
  </si>
  <si>
    <t>IESO Annual Final CDM Results 2015 programs  (kWh)</t>
  </si>
  <si>
    <t>IESO Annual Final CDM Results 2016 programs  (kWh)</t>
  </si>
  <si>
    <t>OPA/IESO Annual CDM Final Results 2011 to 2014 programs  (kWh)</t>
  </si>
  <si>
    <t>Geometric Mean</t>
  </si>
  <si>
    <t>Forecast Number of Customers/Connections</t>
  </si>
  <si>
    <t xml:space="preserve">Annual kWh Usage Per Customer/Connection </t>
  </si>
  <si>
    <t>Forecast Annual kWh Usage per Customers/Connection</t>
  </si>
  <si>
    <t>NON-normalized Weather Billed Energy Forecast (GWh)</t>
  </si>
  <si>
    <t>Weather Sensitivity</t>
  </si>
  <si>
    <t>Table 3-6: CDM Activity Variable Supporting Data</t>
  </si>
  <si>
    <t>Table 3-16: 2017-2018 Expected Full Year Total kWh Savings</t>
  </si>
  <si>
    <t>Table 3-17: 2017-2018 Expected Full Year Residential kWh Savings</t>
  </si>
  <si>
    <t>Table 3-18: 2017-2018 Expected Full Year GS &lt; 50 KW kWh Savings</t>
  </si>
  <si>
    <t>Table 3-19: 2017-2018 Expected Full Year GS &gt; 50 KW kWh Savings</t>
  </si>
  <si>
    <t>Table 3-20: Manual CDM Adjustment by Rate Class (kWh)</t>
  </si>
  <si>
    <t>Table 3-21: 2017 Expected CDM Savings by Rate Class for LRAM Variance Account</t>
  </si>
  <si>
    <t xml:space="preserve">Table 3-22: Alignment of Non-normal to Weather Normal Forecast </t>
  </si>
  <si>
    <t>Ratio of kW to kWh</t>
  </si>
  <si>
    <t>Used for Forecast</t>
  </si>
  <si>
    <t>Predicted Billed kW</t>
  </si>
  <si>
    <t>Predicted kWh Purchases before CDM adjustment</t>
  </si>
  <si>
    <t>% Difference between actual and predicted purchases</t>
  </si>
  <si>
    <t>Total Billed Before CDM Adjustments</t>
  </si>
  <si>
    <t>CDM Adjustment</t>
  </si>
  <si>
    <t>Total Billed After Adjustments</t>
  </si>
  <si>
    <t>Billing Determinants</t>
  </si>
  <si>
    <t xml:space="preserve">  kW from applicable  classes</t>
  </si>
  <si>
    <t xml:space="preserve">  Connections </t>
  </si>
  <si>
    <t>Volume Weather Normal</t>
  </si>
  <si>
    <t>Table 3-1: Summary of Operating Revenue</t>
  </si>
  <si>
    <t>General Service &lt;50 kW</t>
  </si>
  <si>
    <t>Street Lighting</t>
  </si>
  <si>
    <t>Unmetered Scattered Load</t>
  </si>
  <si>
    <t>Late Payment Charges</t>
  </si>
  <si>
    <t>Miscellaneous Service Revenue</t>
  </si>
  <si>
    <t>Other Operating Revenues</t>
  </si>
  <si>
    <t>Other Income or Deductions</t>
  </si>
  <si>
    <t>Grand Total</t>
  </si>
  <si>
    <t>Distribution Throughput Revenue</t>
  </si>
  <si>
    <t>Difference $</t>
  </si>
  <si>
    <t>Difference %</t>
  </si>
  <si>
    <t>Other Distribution Revenue</t>
  </si>
  <si>
    <t>Specific Service Charges</t>
  </si>
  <si>
    <t>Total Distribution</t>
  </si>
  <si>
    <t>General Service 50 to 4,999 kW</t>
  </si>
  <si>
    <r>
      <t xml:space="preserve">General Service </t>
    </r>
    <r>
      <rPr>
        <sz val="10"/>
        <rFont val="Calibri"/>
        <family val="2"/>
      </rPr>
      <t>50 to 4,999 kW</t>
    </r>
  </si>
  <si>
    <t>2017 Actual</t>
  </si>
  <si>
    <t>PUC Distribution Inc. Weather Normal Load Forecast for 2018 Rate Application</t>
  </si>
  <si>
    <t>CDM Wholesale</t>
  </si>
  <si>
    <t>Purchased with CDM</t>
  </si>
  <si>
    <t>Trend</t>
  </si>
  <si>
    <t>regiona</t>
  </si>
  <si>
    <t>Lower 95.0%</t>
  </si>
  <si>
    <t>Upper 95.0%</t>
  </si>
  <si>
    <t>Annual Purchases</t>
  </si>
  <si>
    <t>Annual Predicted Purchases</t>
  </si>
  <si>
    <t>Total to 2021</t>
  </si>
  <si>
    <t>Weather Normal Conversion Factor</t>
  </si>
  <si>
    <t>Geomean (10 year)</t>
  </si>
  <si>
    <t>Geomean (5 Year)</t>
  </si>
  <si>
    <t>Winter</t>
  </si>
  <si>
    <t>Spring</t>
  </si>
  <si>
    <t>Summer</t>
  </si>
  <si>
    <t>Fall</t>
  </si>
  <si>
    <t>2020%RPP</t>
  </si>
  <si>
    <t>General Service &gt; 50 to 4999 kW</t>
  </si>
  <si>
    <t>General Service &gt; 1000 to 4999 kW</t>
  </si>
  <si>
    <t>Large User</t>
  </si>
  <si>
    <t>Embedded Distributors - Hydro One</t>
  </si>
  <si>
    <t>Global Adjustment Non Rpp</t>
  </si>
  <si>
    <t>Low Voltage</t>
  </si>
  <si>
    <t>4707  - Global Adjustment</t>
  </si>
  <si>
    <t>RPP</t>
  </si>
  <si>
    <t>Non RPP</t>
  </si>
  <si>
    <t>Percentage</t>
  </si>
  <si>
    <t>Total for Trial Balance</t>
  </si>
  <si>
    <t xml:space="preserve">4006- Residential </t>
  </si>
  <si>
    <t>4025 Street Lighting</t>
  </si>
  <si>
    <t>4030 Sentinel</t>
  </si>
  <si>
    <t>4035 General Energy</t>
  </si>
  <si>
    <t>4055 Energy for Resale (USL)</t>
  </si>
  <si>
    <t>4062 -  WMS</t>
  </si>
  <si>
    <t>4066 - NW</t>
  </si>
  <si>
    <t>4068 CN</t>
  </si>
  <si>
    <t>4076 Billed SME</t>
  </si>
  <si>
    <t>2018 Actual</t>
  </si>
  <si>
    <t>2019 Actual</t>
  </si>
  <si>
    <t>2020 Actual</t>
  </si>
  <si>
    <t>2021 Actual</t>
  </si>
  <si>
    <t>2022 Bridge Year</t>
  </si>
  <si>
    <t>2023 Test Year</t>
  </si>
  <si>
    <t>Inputs</t>
  </si>
  <si>
    <t>OER Rebate</t>
  </si>
  <si>
    <t>Average Supply Cost</t>
  </si>
  <si>
    <t>Weighted Electricity Cost - RPP Weighted</t>
  </si>
  <si>
    <t>Global Adjustment</t>
  </si>
  <si>
    <t>Wholesale Market Service &amp; CBR</t>
  </si>
  <si>
    <t>Rate Rider for Embedded Generation Adjusment?</t>
  </si>
  <si>
    <t>Allocated 17%</t>
  </si>
  <si>
    <t>OER 17% credit</t>
  </si>
  <si>
    <t>4708-Charges-WMS &amp;CBR</t>
  </si>
  <si>
    <t>Current Dx Rates effective May 1, 2022</t>
  </si>
  <si>
    <t>Service Charge</t>
  </si>
  <si>
    <t>ICM Sub 16</t>
  </si>
  <si>
    <t>ICM Smart Grid</t>
  </si>
  <si>
    <t>Fixed</t>
  </si>
  <si>
    <t>Variable</t>
  </si>
  <si>
    <t>2023 Distribution Revenue</t>
  </si>
  <si>
    <t>2022 Distribution Revenue</t>
  </si>
  <si>
    <t>Trial Balance import</t>
  </si>
  <si>
    <t>Dst Serv Rev Res Mnth Chg</t>
  </si>
  <si>
    <t>Dst Serv Rev Res KWH</t>
  </si>
  <si>
    <t>Dst Serv Rev Gen Mnth LT 50</t>
  </si>
  <si>
    <t>Dst Serv Rev Gen KWH LT 50</t>
  </si>
  <si>
    <t>Dst Serv Rev Gen Mnth GT 50</t>
  </si>
  <si>
    <t>Dst Serv Rev Gen KW GT 50</t>
  </si>
  <si>
    <t>Dst Serv Rev S/L Mnth Chg</t>
  </si>
  <si>
    <t>Dst Serv Rev S/L KW</t>
  </si>
  <si>
    <t>Dist Serv Sent L Mnth Chg</t>
  </si>
  <si>
    <t>Dist Serv Sent L KW</t>
  </si>
  <si>
    <t xml:space="preserve">Fixed </t>
  </si>
  <si>
    <t>Dst Serv Rev USL Mnth Chg</t>
  </si>
  <si>
    <t>Dst Serv Rev USL KWH</t>
  </si>
  <si>
    <t>Power Purchased - IMO</t>
  </si>
  <si>
    <t>Cost of Power - Global Adj</t>
  </si>
  <si>
    <t>WMS</t>
  </si>
  <si>
    <t>Trans Network Service Ch</t>
  </si>
  <si>
    <t>Rural Rate Charges</t>
  </si>
  <si>
    <t>Residential 2004</t>
  </si>
  <si>
    <t>Street Light Energy 2004</t>
  </si>
  <si>
    <t>Sentinel Lt 2004</t>
  </si>
  <si>
    <t>Gen 2004</t>
  </si>
  <si>
    <t>En Sales Resale Res</t>
  </si>
  <si>
    <t>WMS - Res</t>
  </si>
  <si>
    <t>WMS - Gen LT 50</t>
  </si>
  <si>
    <t>WMS - Gen GT 50</t>
  </si>
  <si>
    <t>WMS - S/L</t>
  </si>
  <si>
    <t>WMS - Sentinel Lights</t>
  </si>
  <si>
    <t>Trans Network Res</t>
  </si>
  <si>
    <t>Trans Network Gen LT 50</t>
  </si>
  <si>
    <t>Trans Network Gen GT 50</t>
  </si>
  <si>
    <t>Trans Network S/L</t>
  </si>
  <si>
    <t>Trans Network Sentinel L</t>
  </si>
  <si>
    <t>1580 Embedded Gen Adj</t>
  </si>
  <si>
    <t>2022 Rates</t>
  </si>
  <si>
    <t>2018 Board Approved</t>
  </si>
  <si>
    <t>2022 Bridge</t>
  </si>
  <si>
    <t>2023 Test at Current Rates</t>
  </si>
  <si>
    <t>2023 Test at Proposed Rates</t>
  </si>
  <si>
    <t>LRAMVA</t>
  </si>
  <si>
    <t>Tax Change</t>
  </si>
  <si>
    <t>Foregone Revenue IRM</t>
  </si>
  <si>
    <t>Lost Revenue COVID</t>
  </si>
  <si>
    <t>ICM SSG</t>
  </si>
  <si>
    <t>2023 Test</t>
  </si>
  <si>
    <t>2023 - 20 year trend</t>
  </si>
  <si>
    <t>Average 2011 to 2021</t>
  </si>
  <si>
    <t>CDM</t>
  </si>
  <si>
    <t>Actual Weather Normalized</t>
  </si>
  <si>
    <t>Weather Conversion</t>
  </si>
  <si>
    <t>SME</t>
  </si>
  <si>
    <t>2023 @ 2018 Board Approved Load Forecast</t>
  </si>
  <si>
    <t>5 Year Avg</t>
  </si>
  <si>
    <t>General Service &gt; 50 to 4999 kW Interval</t>
  </si>
  <si>
    <t>2021%RPP</t>
  </si>
  <si>
    <t>Unmetered Scattered Load Connections</t>
  </si>
  <si>
    <t>Sentinel Lighting Connections</t>
  </si>
  <si>
    <t>Street Lighting Connections</t>
  </si>
  <si>
    <t>Class A Customers</t>
  </si>
  <si>
    <t>Hist. Avg GA/kWH Class A</t>
  </si>
  <si>
    <t>Rolling 5 year Average</t>
  </si>
  <si>
    <t>Variance/ Trend</t>
  </si>
  <si>
    <t>2020 normalized</t>
  </si>
  <si>
    <t>2021 normalized</t>
  </si>
  <si>
    <t>2020 Normalized</t>
  </si>
  <si>
    <t>2021 Normalized</t>
  </si>
  <si>
    <t>2012-2019 average</t>
  </si>
  <si>
    <t>2012-2019 Average</t>
  </si>
  <si>
    <t>GS&lt;50</t>
  </si>
  <si>
    <t>GS&gt;50</t>
  </si>
  <si>
    <t>Adjustment</t>
  </si>
  <si>
    <t xml:space="preserve">Change in Total Consumption </t>
  </si>
  <si>
    <t>Actual Yearly Consumption</t>
  </si>
  <si>
    <t>Normalized Yearly Consumption</t>
  </si>
  <si>
    <t>Yearly Loss Facotr</t>
  </si>
  <si>
    <t>Normalized Yearly Purchass</t>
  </si>
  <si>
    <t>Change in Total Customers</t>
  </si>
  <si>
    <t>August 5 2022</t>
  </si>
  <si>
    <t>Table 3-31: Comparison 2018 Board Approved to 2018 Actual</t>
  </si>
  <si>
    <t>2023 Revenue at current rates excluding ICM revenue</t>
  </si>
  <si>
    <t>2011 (Actual)</t>
  </si>
  <si>
    <t>2012 (Actual)</t>
  </si>
  <si>
    <t>2013 (Actual)</t>
  </si>
  <si>
    <t>2014 (Actual)</t>
  </si>
  <si>
    <t>2015 (Actual)</t>
  </si>
  <si>
    <t>2016 (Actual)</t>
  </si>
  <si>
    <t>2017 (Actual)</t>
  </si>
  <si>
    <t>2018 (Actual)</t>
  </si>
  <si>
    <t>2019 (Actual)</t>
  </si>
  <si>
    <t>2020 (Actual)</t>
  </si>
  <si>
    <t>2021 (Actual)</t>
  </si>
  <si>
    <t>2022 (Bridge)</t>
  </si>
  <si>
    <t>2023 (Test)</t>
  </si>
  <si>
    <t>Table 3-2: Customer Count Prior to COVID Normalization</t>
  </si>
  <si>
    <t>Table 3-7 Summary of Consumption Changes for General Service Rate Classes</t>
  </si>
  <si>
    <t>Table 3-8 Normalized Yearly Purchases</t>
  </si>
  <si>
    <t>Table 3-9 Change in General Service Customer Count</t>
  </si>
  <si>
    <t>Table 3-10 Normalizaed Customer Count</t>
  </si>
  <si>
    <t>Table 3-11 Comparison of Regression Analysis</t>
  </si>
  <si>
    <t>2023 Regression Actual</t>
  </si>
  <si>
    <t>2023 Regression Normalized for COVID</t>
  </si>
  <si>
    <t>Table 3-12: Summary of Load and Customer/Connection Forecast</t>
  </si>
  <si>
    <r>
      <t>General Service</t>
    </r>
    <r>
      <rPr>
        <b/>
        <sz val="10.199999999999999"/>
        <rFont val="Calibri"/>
        <family val="2"/>
        <scheme val="minor"/>
      </rPr>
      <t xml:space="preserve"> </t>
    </r>
    <r>
      <rPr>
        <b/>
        <sz val="12"/>
        <rFont val="Calibri"/>
        <family val="2"/>
        <scheme val="minor"/>
      </rPr>
      <t>50 to 4,999 kW</t>
    </r>
  </si>
  <si>
    <t>Table 3-3 and 3-5</t>
  </si>
  <si>
    <t>Table 3-4 and 3-6</t>
  </si>
  <si>
    <t>Tables 3-3 through 3-11 in COVID Analysis tab</t>
  </si>
  <si>
    <t>Table 3-13 Billed Energy by Rate Class</t>
  </si>
  <si>
    <t>Table 3-14: Number of Customers/Connections</t>
  </si>
  <si>
    <t>Table 3-15: Annual Usage by Rate Class</t>
  </si>
  <si>
    <t>Table 3-16: Statistcial Results</t>
  </si>
  <si>
    <t>Table 3-18: Historical Customer/Connection Data</t>
  </si>
  <si>
    <t xml:space="preserve">Table 3-17: Total System Purchases </t>
  </si>
  <si>
    <t>Table  3-19: Growth Rate in Customer/Connections</t>
  </si>
  <si>
    <t>Table 3-20: Customer/Connection Forecast</t>
  </si>
  <si>
    <t>Table 3-21: 2021 Actual Annual Usage per Customer</t>
  </si>
  <si>
    <t>Table 3-22: Forecast Annual kWh Usage per Customer/Connection</t>
  </si>
  <si>
    <t>Table 3-23: Non-normalized Weather Billed Energy Forecast</t>
  </si>
  <si>
    <t>Table 3-24: Weather Sensitivity by Rate Class</t>
  </si>
  <si>
    <t>Table 3-29: Historical Annual kW per Applicable Rate Class</t>
  </si>
  <si>
    <t>Table 3-30: Historical kW/kWh Ratio per Applicable Rate Class</t>
  </si>
  <si>
    <t>Table 3-31: kW Forecast by Applicable Rate Class</t>
  </si>
  <si>
    <t>Table 3-33: Distribution Revenue - 2018 Board Approved vs 2018 Actual</t>
  </si>
  <si>
    <t xml:space="preserve">Table 3-32: Forecast Summary </t>
  </si>
  <si>
    <t>Table 3-35: Distribution Revenue - 2018 Actual vs 2019 Actual</t>
  </si>
  <si>
    <t>Table 3-37: Distribution Revenue - 2019 Actual vs 2020 Actual</t>
  </si>
  <si>
    <t>Table 3-39: Distribution Revenue - 2020 Actual vs 2021 Actual</t>
  </si>
  <si>
    <t>Table 3-41: Distribution Revenue - 2021 Actual vs 2022 Bridge</t>
  </si>
  <si>
    <t>Table 3-43: Distribution Revenue - 2022 Bridge vs 2023 Test</t>
  </si>
  <si>
    <t>Table 3-45: Comparison 2018 Board Approved to 2018 Actual</t>
  </si>
  <si>
    <t>Table 3-44: Comparison 2018 Actual to 2019 Actual</t>
  </si>
  <si>
    <t>Table 3-45: Comparison 20149 Actual to 2020 Actual</t>
  </si>
  <si>
    <t>Table 3-46: Comparison 2020 Actual to 2021 Actual</t>
  </si>
  <si>
    <t>Table 3-47: Comparison 2021 Actual to 2022 Bridge</t>
  </si>
  <si>
    <t>Table 3-48: Comparison 2022 Bridge to 2023 Test</t>
  </si>
  <si>
    <t>Table 3-34: Comparison 2018 Board Approved to 2018 Actual</t>
  </si>
  <si>
    <t>Table 3-36: Comparison 2018 Actual to 2019 Actual</t>
  </si>
  <si>
    <t>Table 3-38: Comparison 2019 Actual to 2020 Actual</t>
  </si>
  <si>
    <t>Table 3-40: Comparison 2020 Actual to 2021 Actual</t>
  </si>
  <si>
    <t>Table 3-42: Comparison 2021 Actual to 2022 Bridge</t>
  </si>
  <si>
    <t>Table 3-44: Comparison 2022 Bridge to 2023 Test</t>
  </si>
  <si>
    <t>Actual Yearly Customer Count</t>
  </si>
  <si>
    <t>Normalized Yearly Customer Count</t>
  </si>
  <si>
    <t>OER 11.7%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</si>
</sst>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5" formatCode="&quot;$&quot;#,##0_);\(&quot;$&quot;#,##0\)"/>
    <numFmt numFmtId="7" formatCode="&quot;$&quot;#,##0.00_);\(&quot;$&quot;#,##0.0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
    <numFmt numFmtId="168" formatCode="0.0000"/>
    <numFmt numFmtId="169" formatCode="#,##0.0000"/>
    <numFmt numFmtId="170" formatCode="0.0000%"/>
    <numFmt numFmtId="171" formatCode="#,##0.0000_);\(#,##0.0000\)"/>
    <numFmt numFmtId="172" formatCode="_(* #,##0_);_(* \(#,##0\);_(* &quot;-&quot;??_);_(@_)"/>
    <numFmt numFmtId="173" formatCode="_(* #,##0.0_);_(* \(#,##0.0\);_(* &quot;-&quot;??_);_(@_)"/>
    <numFmt numFmtId="174" formatCode="_(* #,##0.0000_);_(* \(#,##0.0000\);_(* &quot;-&quot;??_);_(@_)"/>
    <numFmt numFmtId="175" formatCode="&quot;$&quot;#,##0.00000_);\(&quot;$&quot;#,##0.00000\)"/>
    <numFmt numFmtId="176" formatCode="#,##0.00000_);\(#,##0.00000\)"/>
    <numFmt numFmtId="177" formatCode="&quot;$&quot;#,##0.0000_);\(&quot;$&quot;#,##0.0000\)"/>
    <numFmt numFmtId="178" formatCode="0.0%;\(0.0%\)"/>
    <numFmt numFmtId="179" formatCode="#,##0.0"/>
    <numFmt numFmtId="180" formatCode="#,##0.0;\(#,##0.0\)"/>
    <numFmt numFmtId="181" formatCode="0.0;\(0.0\)"/>
    <numFmt numFmtId="182" formatCode="&quot;£ &quot;#,##0.00;[Red]\-&quot;£ &quot;#,##0.00"/>
    <numFmt numFmtId="183" formatCode="##\-#"/>
    <numFmt numFmtId="184" formatCode="mm/dd/yyyy"/>
    <numFmt numFmtId="185" formatCode="0\-0"/>
    <numFmt numFmtId="186" formatCode="0;\(0\)"/>
    <numFmt numFmtId="187" formatCode="_(* #,##0.000_);_(* \(#,##0.000\);_(* &quot;-&quot;??_);_(@_)"/>
    <numFmt numFmtId="188" formatCode="#,000;\(#,000\)"/>
    <numFmt numFmtId="189" formatCode="0.0000%;\(0.0%\)"/>
    <numFmt numFmtId="190" formatCode="&quot;$&quot;#,##0.00"/>
    <numFmt numFmtId="191" formatCode="_(&quot;$&quot;* #,##0_);_(&quot;$&quot;* \(#,##0\);_(&quot;$&quot;* &quot;-&quot;??_);_(@_)"/>
    <numFmt numFmtId="192" formatCode="&quot;$&quot;#,##0"/>
    <numFmt numFmtId="193" formatCode="0.00000"/>
    <numFmt numFmtId="194" formatCode="_-* #,##0_-;\-* #,##0_-;_-* &quot;-&quot;??_-;_-@_-"/>
    <numFmt numFmtId="195" formatCode="0.000"/>
    <numFmt numFmtId="196" formatCode="0.0%;\(0%\)"/>
    <numFmt numFmtId="197" formatCode="0.00%;\(0.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name val="Arial"/>
      <family val="2"/>
    </font>
    <font>
      <sz val="10"/>
      <name val="Arial"/>
      <family val="2"/>
    </font>
    <font>
      <b/>
      <i/>
      <u/>
      <sz val="10"/>
      <name val="Arial"/>
      <family val="2"/>
    </font>
    <font>
      <sz val="10"/>
      <color rgb="FFFF0000"/>
      <name val="Arial"/>
      <family val="2"/>
    </font>
    <font>
      <sz val="10"/>
      <name val="Arial"/>
      <family val="2"/>
    </font>
    <font>
      <i/>
      <sz val="8"/>
      <name val="Arial"/>
      <family val="2"/>
    </font>
    <font>
      <b/>
      <u/>
      <sz val="8"/>
      <name val="Arial"/>
      <family val="2"/>
    </font>
    <font>
      <b/>
      <sz val="8"/>
      <name val="Arial"/>
      <family val="2"/>
    </font>
    <font>
      <sz val="10"/>
      <color rgb="FF00B0F0"/>
      <name val="Arial"/>
      <family val="2"/>
    </font>
    <font>
      <sz val="10"/>
      <name val="Arial"/>
      <family val="2"/>
    </font>
    <font>
      <sz val="9"/>
      <color indexed="81"/>
      <name val="Tahoma"/>
      <family val="2"/>
    </font>
    <font>
      <b/>
      <sz val="9"/>
      <color indexed="8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family val="2"/>
    </font>
    <font>
      <b/>
      <sz val="11"/>
      <color indexed="63"/>
      <name val="Calibri"/>
      <family val="2"/>
    </font>
    <font>
      <sz val="10"/>
      <color indexed="8"/>
      <name val="Arial"/>
      <family val="2"/>
    </font>
    <font>
      <b/>
      <sz val="14"/>
      <name val="Arial"/>
      <family val="2"/>
    </font>
    <font>
      <b/>
      <sz val="18"/>
      <color indexed="56"/>
      <name val="Cambria"/>
      <family val="2"/>
    </font>
    <font>
      <b/>
      <sz val="11"/>
      <color indexed="8"/>
      <name val="Calibri"/>
      <family val="2"/>
    </font>
    <font>
      <sz val="11"/>
      <color indexed="10"/>
      <name val="Calibri"/>
      <family val="2"/>
    </font>
    <font>
      <b/>
      <sz val="12"/>
      <color indexed="8"/>
      <name val="Times New Roman"/>
      <family val="1"/>
    </font>
    <font>
      <b/>
      <sz val="10"/>
      <color indexed="8"/>
      <name val="Times New Roman"/>
      <family val="1"/>
    </font>
    <font>
      <sz val="10"/>
      <name val="Arial"/>
      <family val="2"/>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sz val="10"/>
      <name val="MS Sans Serif"/>
      <family val="2"/>
    </font>
    <font>
      <sz val="10"/>
      <name val="Calibri"/>
      <family val="2"/>
    </font>
    <font>
      <sz val="10"/>
      <name val="Arial"/>
      <family val="2"/>
    </font>
    <font>
      <sz val="11"/>
      <name val="Calibri"/>
      <family val="2"/>
      <scheme val="minor"/>
    </font>
    <font>
      <u val="singleAccounting"/>
      <sz val="10"/>
      <name val="Arial"/>
      <family val="2"/>
    </font>
    <font>
      <b/>
      <sz val="9"/>
      <name val="Arial"/>
      <family val="2"/>
    </font>
    <font>
      <b/>
      <sz val="10"/>
      <color rgb="FFFF0000"/>
      <name val="Arial"/>
      <family val="2"/>
    </font>
    <font>
      <i/>
      <sz val="11"/>
      <color theme="1"/>
      <name val="Calibri"/>
      <family val="2"/>
      <scheme val="minor"/>
    </font>
    <font>
      <b/>
      <u/>
      <sz val="10"/>
      <name val="Arial"/>
      <family val="2"/>
    </font>
    <font>
      <b/>
      <sz val="10"/>
      <name val="Calibri"/>
      <family val="2"/>
      <scheme val="minor"/>
    </font>
    <font>
      <b/>
      <u/>
      <sz val="10"/>
      <name val="Calibri"/>
      <family val="2"/>
      <scheme val="minor"/>
    </font>
    <font>
      <sz val="10"/>
      <name val="Calibri"/>
      <family val="2"/>
      <scheme val="minor"/>
    </font>
    <font>
      <u/>
      <sz val="10"/>
      <name val="Calibri"/>
      <family val="2"/>
      <scheme val="minor"/>
    </font>
    <font>
      <sz val="12"/>
      <name val="Calibri"/>
      <family val="2"/>
      <scheme val="minor"/>
    </font>
    <font>
      <b/>
      <sz val="12"/>
      <name val="Calibri"/>
      <family val="2"/>
      <scheme val="minor"/>
    </font>
    <font>
      <b/>
      <sz val="10.199999999999999"/>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4"/>
      <name val="Calibri"/>
      <family val="2"/>
      <scheme val="minor"/>
    </font>
  </fonts>
  <fills count="68">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00B0F0"/>
        <bgColor indexed="64"/>
      </patternFill>
    </fill>
    <fill>
      <patternFill patternType="solid">
        <fgColor rgb="FF00FF00"/>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2">
    <xf numFmtId="0" fontId="0" fillId="0" borderId="0"/>
    <xf numFmtId="43" fontId="9" fillId="0" borderId="0" applyFont="0" applyFill="0" applyBorder="0" applyAlignment="0" applyProtection="0"/>
    <xf numFmtId="9" fontId="9" fillId="0" borderId="0" applyFont="0" applyFill="0" applyBorder="0" applyAlignment="0" applyProtection="0"/>
    <xf numFmtId="0" fontId="19" fillId="7" borderId="1" applyNumberFormat="0" applyProtection="0">
      <alignment horizontal="left" vertical="center"/>
    </xf>
    <xf numFmtId="0" fontId="9" fillId="0" borderId="0"/>
    <xf numFmtId="43" fontId="9" fillId="0" borderId="0" applyFont="0" applyFill="0" applyBorder="0" applyAlignment="0" applyProtection="0"/>
    <xf numFmtId="43" fontId="9" fillId="0" borderId="0" applyFont="0" applyFill="0" applyBorder="0" applyAlignment="0" applyProtection="0"/>
    <xf numFmtId="3" fontId="9" fillId="0" borderId="0" applyFont="0" applyFill="0" applyBorder="0" applyAlignment="0" applyProtection="0"/>
    <xf numFmtId="5"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173" fontId="9" fillId="0" borderId="0"/>
    <xf numFmtId="179" fontId="9" fillId="0" borderId="0"/>
    <xf numFmtId="184" fontId="9" fillId="0" borderId="0"/>
    <xf numFmtId="185" fontId="9" fillId="0" borderId="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3" fillId="49" borderId="0" applyNumberFormat="0" applyBorder="0" applyAlignment="0" applyProtection="0"/>
    <xf numFmtId="0" fontId="43" fillId="44" borderId="0" applyNumberFormat="0" applyBorder="0" applyAlignment="0" applyProtection="0"/>
    <xf numFmtId="0" fontId="43" fillId="47" borderId="0" applyNumberFormat="0" applyBorder="0" applyAlignment="0" applyProtection="0"/>
    <xf numFmtId="0" fontId="43" fillId="50" borderId="0" applyNumberFormat="0" applyBorder="0" applyAlignment="0" applyProtection="0"/>
    <xf numFmtId="0" fontId="44" fillId="51"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4" borderId="0" applyNumberFormat="0" applyBorder="0" applyAlignment="0" applyProtection="0"/>
    <xf numFmtId="0" fontId="44" fillId="55" borderId="0" applyNumberFormat="0" applyBorder="0" applyAlignment="0" applyProtection="0"/>
    <xf numFmtId="0" fontId="44" fillId="56" borderId="0" applyNumberFormat="0" applyBorder="0" applyAlignment="0" applyProtection="0"/>
    <xf numFmtId="0" fontId="44" fillId="57"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8" borderId="0" applyNumberFormat="0" applyBorder="0" applyAlignment="0" applyProtection="0"/>
    <xf numFmtId="0" fontId="45" fillId="42" borderId="0" applyNumberFormat="0" applyBorder="0" applyAlignment="0" applyProtection="0"/>
    <xf numFmtId="0" fontId="46" fillId="59" borderId="30" applyNumberFormat="0" applyAlignment="0" applyProtection="0"/>
    <xf numFmtId="0" fontId="47" fillId="60" borderId="31" applyNumberFormat="0" applyAlignment="0" applyProtection="0"/>
    <xf numFmtId="0" fontId="48" fillId="0" borderId="0" applyNumberFormat="0" applyFill="0" applyBorder="0" applyAlignment="0" applyProtection="0"/>
    <xf numFmtId="0" fontId="49" fillId="43" borderId="0" applyNumberFormat="0" applyBorder="0" applyAlignment="0" applyProtection="0"/>
    <xf numFmtId="38" fontId="15" fillId="61" borderId="0" applyNumberFormat="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46" borderId="30" applyNumberFormat="0" applyAlignment="0" applyProtection="0"/>
    <xf numFmtId="10" fontId="15" fillId="62" borderId="1" applyNumberFormat="0" applyBorder="0" applyAlignment="0" applyProtection="0"/>
    <xf numFmtId="0" fontId="54" fillId="0" borderId="35" applyNumberFormat="0" applyFill="0" applyAlignment="0" applyProtection="0"/>
    <xf numFmtId="183" fontId="9" fillId="0" borderId="0"/>
    <xf numFmtId="172" fontId="9" fillId="0" borderId="0"/>
    <xf numFmtId="0" fontId="55" fillId="63" borderId="0" applyNumberFormat="0" applyBorder="0" applyAlignment="0" applyProtection="0"/>
    <xf numFmtId="182" fontId="9" fillId="0" borderId="0"/>
    <xf numFmtId="0" fontId="9" fillId="0" borderId="0"/>
    <xf numFmtId="0" fontId="56" fillId="0" borderId="0"/>
    <xf numFmtId="0" fontId="9" fillId="64" borderId="36" applyNumberFormat="0" applyFont="0" applyAlignment="0" applyProtection="0"/>
    <xf numFmtId="0" fontId="57" fillId="59" borderId="37" applyNumberFormat="0" applyAlignment="0" applyProtection="0"/>
    <xf numFmtId="10" fontId="9" fillId="0" borderId="0" applyFont="0" applyFill="0" applyBorder="0" applyAlignment="0" applyProtection="0"/>
    <xf numFmtId="0" fontId="58" fillId="0" borderId="0" applyNumberFormat="0" applyBorder="0" applyAlignment="0"/>
    <xf numFmtId="0" fontId="63" fillId="0" borderId="0" applyNumberFormat="0" applyBorder="0" applyAlignment="0"/>
    <xf numFmtId="0" fontId="64" fillId="0" borderId="0" applyNumberFormat="0" applyBorder="0" applyAlignment="0"/>
    <xf numFmtId="0" fontId="59" fillId="0" borderId="38">
      <alignment horizontal="center" vertical="center"/>
    </xf>
    <xf numFmtId="0" fontId="60" fillId="0" borderId="0" applyNumberFormat="0" applyFill="0" applyBorder="0" applyAlignment="0" applyProtection="0"/>
    <xf numFmtId="0" fontId="61" fillId="0" borderId="39" applyNumberFormat="0" applyFill="0" applyAlignment="0" applyProtection="0"/>
    <xf numFmtId="0" fontId="62" fillId="0" borderId="0" applyNumberForma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27" fillId="0" borderId="0" applyNumberFormat="0" applyFill="0" applyBorder="0" applyAlignment="0" applyProtection="0"/>
    <xf numFmtId="0" fontId="29" fillId="0" borderId="22" applyNumberFormat="0" applyFill="0" applyAlignment="0" applyProtection="0"/>
    <xf numFmtId="0" fontId="28" fillId="0" borderId="21" applyNumberFormat="0" applyFill="0" applyAlignment="0" applyProtection="0"/>
    <xf numFmtId="0" fontId="8" fillId="0" borderId="0"/>
    <xf numFmtId="0" fontId="30" fillId="0" borderId="23" applyNumberFormat="0" applyFill="0" applyAlignment="0" applyProtection="0"/>
    <xf numFmtId="0" fontId="30" fillId="0" borderId="0" applyNumberFormat="0" applyFill="0" applyBorder="0" applyAlignment="0" applyProtection="0"/>
    <xf numFmtId="0" fontId="31" fillId="10"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4" fillId="13" borderId="24" applyNumberFormat="0" applyAlignment="0" applyProtection="0"/>
    <xf numFmtId="0" fontId="35" fillId="14" borderId="25" applyNumberFormat="0" applyAlignment="0" applyProtection="0"/>
    <xf numFmtId="0" fontId="36" fillId="14" borderId="24" applyNumberFormat="0" applyAlignment="0" applyProtection="0"/>
    <xf numFmtId="0" fontId="37" fillId="0" borderId="26" applyNumberFormat="0" applyFill="0" applyAlignment="0" applyProtection="0"/>
    <xf numFmtId="0" fontId="38" fillId="15" borderId="27" applyNumberFormat="0" applyAlignment="0" applyProtection="0"/>
    <xf numFmtId="0" fontId="39" fillId="0" borderId="0" applyNumberFormat="0" applyFill="0" applyBorder="0" applyAlignment="0" applyProtection="0"/>
    <xf numFmtId="0" fontId="8" fillId="16" borderId="28" applyNumberFormat="0" applyFont="0" applyAlignment="0" applyProtection="0"/>
    <xf numFmtId="0" fontId="40" fillId="0" borderId="0" applyNumberFormat="0" applyFill="0" applyBorder="0" applyAlignment="0" applyProtection="0"/>
    <xf numFmtId="0" fontId="41" fillId="0" borderId="29" applyNumberFormat="0" applyFill="0" applyAlignment="0" applyProtection="0"/>
    <xf numFmtId="0" fontId="4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42" fillId="40" borderId="0" applyNumberFormat="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173" fontId="9" fillId="0" borderId="0"/>
    <xf numFmtId="173" fontId="9" fillId="0" borderId="0"/>
    <xf numFmtId="173" fontId="9" fillId="0" borderId="0"/>
    <xf numFmtId="173" fontId="9" fillId="0" borderId="0"/>
    <xf numFmtId="184" fontId="9" fillId="0" borderId="0"/>
    <xf numFmtId="38" fontId="15" fillId="61" borderId="0" applyNumberFormat="0" applyBorder="0" applyAlignment="0" applyProtection="0"/>
    <xf numFmtId="10" fontId="15" fillId="62" borderId="1" applyNumberFormat="0" applyBorder="0" applyAlignment="0" applyProtection="0"/>
    <xf numFmtId="183" fontId="9" fillId="0" borderId="0"/>
    <xf numFmtId="183" fontId="9" fillId="0" borderId="0"/>
    <xf numFmtId="183" fontId="9" fillId="0" borderId="0"/>
    <xf numFmtId="183"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9" fillId="0" borderId="0" applyFont="0" applyFill="0" applyBorder="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9" fillId="0" borderId="0"/>
    <xf numFmtId="0" fontId="9" fillId="7" borderId="1" applyNumberFormat="0" applyProtection="0">
      <alignment horizontal="left" vertical="center"/>
    </xf>
    <xf numFmtId="43" fontId="9" fillId="0" borderId="0" applyFont="0" applyFill="0" applyBorder="0" applyAlignment="0" applyProtection="0"/>
    <xf numFmtId="9" fontId="9" fillId="0" borderId="0" applyFont="0" applyFill="0" applyBorder="0" applyAlignment="0" applyProtection="0"/>
    <xf numFmtId="0" fontId="7" fillId="0" borderId="0"/>
    <xf numFmtId="0" fontId="7" fillId="16" borderId="28" applyNumberFormat="0" applyFont="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53" fillId="46" borderId="30" applyNumberFormat="0" applyAlignment="0" applyProtection="0"/>
    <xf numFmtId="3" fontId="65" fillId="0" borderId="0" applyFont="0" applyFill="0" applyBorder="0" applyAlignment="0" applyProtection="0"/>
    <xf numFmtId="5" fontId="65" fillId="0" borderId="0" applyFont="0" applyFill="0" applyBorder="0" applyAlignment="0" applyProtection="0"/>
    <xf numFmtId="14" fontId="65" fillId="0" borderId="0" applyFont="0" applyFill="0" applyBorder="0" applyAlignment="0" applyProtection="0"/>
    <xf numFmtId="2" fontId="65" fillId="0" borderId="0" applyFont="0" applyFill="0" applyBorder="0" applyAlignment="0" applyProtection="0"/>
    <xf numFmtId="0" fontId="53" fillId="46" borderId="30" applyNumberFormat="0" applyAlignment="0" applyProtection="0"/>
    <xf numFmtId="0" fontId="65" fillId="64" borderId="36" applyNumberFormat="0" applyFont="0" applyAlignment="0" applyProtection="0"/>
    <xf numFmtId="43"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6" fillId="0" borderId="0"/>
    <xf numFmtId="9" fontId="6" fillId="0" borderId="0" applyFont="0" applyFill="0" applyBorder="0" applyAlignment="0" applyProtection="0"/>
    <xf numFmtId="0" fontId="9" fillId="0" borderId="0"/>
    <xf numFmtId="0" fontId="6" fillId="0" borderId="0"/>
    <xf numFmtId="0" fontId="9" fillId="0" borderId="0"/>
    <xf numFmtId="0" fontId="9" fillId="0" borderId="0"/>
    <xf numFmtId="0" fontId="5" fillId="0" borderId="0"/>
    <xf numFmtId="0" fontId="38" fillId="15" borderId="27"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 fillId="23" borderId="0" applyNumberFormat="0" applyBorder="0" applyAlignment="0" applyProtection="0"/>
    <xf numFmtId="0" fontId="42" fillId="33" borderId="0" applyNumberFormat="0" applyBorder="0" applyAlignment="0" applyProtection="0"/>
    <xf numFmtId="0" fontId="4" fillId="34" borderId="0" applyNumberFormat="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59" borderId="0" applyNumberFormat="0" applyBorder="0" applyAlignment="0" applyProtection="0"/>
    <xf numFmtId="0" fontId="4" fillId="47" borderId="0" applyNumberFormat="0" applyBorder="0" applyAlignment="0" applyProtection="0"/>
    <xf numFmtId="0" fontId="4" fillId="49"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2" fillId="51"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7" borderId="0" applyNumberFormat="0" applyBorder="0" applyAlignment="0" applyProtection="0"/>
    <xf numFmtId="0" fontId="42" fillId="52" borderId="0" applyNumberFormat="0" applyBorder="0" applyAlignment="0" applyProtection="0"/>
    <xf numFmtId="0" fontId="42" fillId="58" borderId="0" applyNumberFormat="0" applyBorder="0" applyAlignment="0" applyProtection="0"/>
    <xf numFmtId="0" fontId="32" fillId="42" borderId="0" applyNumberFormat="0" applyBorder="0" applyAlignment="0" applyProtection="0"/>
    <xf numFmtId="0" fontId="66" fillId="59" borderId="24" applyNumberFormat="0" applyAlignment="0" applyProtection="0"/>
    <xf numFmtId="43" fontId="4" fillId="0" borderId="0" applyFont="0" applyFill="0" applyBorder="0" applyAlignment="0" applyProtection="0"/>
    <xf numFmtId="43" fontId="43" fillId="0" borderId="0" applyFont="0" applyFill="0" applyBorder="0" applyAlignment="0" applyProtection="0"/>
    <xf numFmtId="0" fontId="31" fillId="43" borderId="0" applyNumberFormat="0" applyBorder="0" applyAlignment="0" applyProtection="0"/>
    <xf numFmtId="0" fontId="67" fillId="0" borderId="32" applyNumberFormat="0" applyFill="0" applyAlignment="0" applyProtection="0"/>
    <xf numFmtId="0" fontId="4" fillId="0" borderId="0"/>
    <xf numFmtId="0" fontId="68" fillId="0" borderId="33" applyNumberFormat="0" applyFill="0" applyAlignment="0" applyProtection="0"/>
    <xf numFmtId="0" fontId="69" fillId="0" borderId="34" applyNumberFormat="0" applyFill="0" applyAlignment="0" applyProtection="0"/>
    <xf numFmtId="0" fontId="69" fillId="0" borderId="0" applyNumberFormat="0" applyFill="0" applyBorder="0" applyAlignment="0" applyProtection="0"/>
    <xf numFmtId="0" fontId="34" fillId="59" borderId="24" applyNumberFormat="0" applyAlignment="0" applyProtection="0"/>
    <xf numFmtId="0" fontId="70" fillId="0" borderId="35" applyNumberFormat="0" applyFill="0" applyAlignment="0" applyProtection="0"/>
    <xf numFmtId="0" fontId="71" fillId="12" borderId="0" applyNumberFormat="0" applyBorder="0" applyAlignment="0" applyProtection="0"/>
    <xf numFmtId="0" fontId="43" fillId="16" borderId="28" applyNumberFormat="0" applyFont="0" applyAlignment="0" applyProtection="0"/>
    <xf numFmtId="0" fontId="43" fillId="16" borderId="28" applyNumberFormat="0" applyFont="0" applyAlignment="0" applyProtection="0"/>
    <xf numFmtId="0" fontId="35" fillId="59" borderId="25" applyNumberFormat="0" applyAlignment="0" applyProtection="0"/>
    <xf numFmtId="9" fontId="4" fillId="0" borderId="0" applyFont="0" applyFill="0" applyBorder="0" applyAlignment="0" applyProtection="0"/>
    <xf numFmtId="0" fontId="72" fillId="0" borderId="0" applyNumberFormat="0" applyFill="0" applyBorder="0" applyAlignment="0" applyProtection="0"/>
    <xf numFmtId="0" fontId="41" fillId="0" borderId="39" applyNumberFormat="0" applyFill="0" applyAlignment="0" applyProtection="0"/>
    <xf numFmtId="0" fontId="9" fillId="0" borderId="0"/>
    <xf numFmtId="43" fontId="73" fillId="0" borderId="0" applyFont="0" applyFill="0" applyBorder="0" applyAlignment="0" applyProtection="0"/>
    <xf numFmtId="9" fontId="4" fillId="0" borderId="0" applyFont="0" applyFill="0" applyBorder="0" applyAlignment="0" applyProtection="0"/>
    <xf numFmtId="0" fontId="73" fillId="0" borderId="0"/>
    <xf numFmtId="0" fontId="73" fillId="0" borderId="0"/>
    <xf numFmtId="9" fontId="4" fillId="0" borderId="0" applyFont="0" applyFill="0" applyBorder="0" applyAlignment="0" applyProtection="0"/>
    <xf numFmtId="0" fontId="4" fillId="0" borderId="0"/>
    <xf numFmtId="0" fontId="9" fillId="0" borderId="0"/>
    <xf numFmtId="0" fontId="3" fillId="0" borderId="0"/>
    <xf numFmtId="9" fontId="9" fillId="0" borderId="0" applyFont="0" applyFill="0" applyBorder="0" applyAlignment="0" applyProtection="0"/>
    <xf numFmtId="0" fontId="2" fillId="0" borderId="0"/>
    <xf numFmtId="44" fontId="2" fillId="0" borderId="0" applyFont="0" applyFill="0" applyBorder="0" applyAlignment="0" applyProtection="0"/>
    <xf numFmtId="44" fontId="75" fillId="0" borderId="0" applyFont="0" applyFill="0" applyBorder="0" applyAlignment="0" applyProtection="0"/>
    <xf numFmtId="0" fontId="1" fillId="0" borderId="0"/>
  </cellStyleXfs>
  <cellXfs count="669">
    <xf numFmtId="0" fontId="0" fillId="0" borderId="0" xfId="0"/>
    <xf numFmtId="0" fontId="0" fillId="0" borderId="0" xfId="0" applyAlignment="1">
      <alignment horizontal="center"/>
    </xf>
    <xf numFmtId="0" fontId="11"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11" fillId="0" borderId="0" xfId="0" applyNumberFormat="1" applyFont="1" applyAlignment="1">
      <alignment horizontal="center"/>
    </xf>
    <xf numFmtId="3" fontId="10" fillId="0" borderId="0" xfId="0" applyNumberFormat="1" applyFont="1" applyAlignment="1">
      <alignment horizontal="center" wrapText="1"/>
    </xf>
    <xf numFmtId="3" fontId="11" fillId="0" borderId="0" xfId="0" applyNumberFormat="1" applyFont="1" applyAlignment="1">
      <alignment horizontal="center" wrapText="1"/>
    </xf>
    <xf numFmtId="37" fontId="10" fillId="0" borderId="0" xfId="0" applyNumberFormat="1" applyFont="1" applyAlignment="1">
      <alignment horizontal="center"/>
    </xf>
    <xf numFmtId="3" fontId="10" fillId="0" borderId="0" xfId="0" applyNumberFormat="1" applyFont="1" applyAlignment="1">
      <alignment horizontal="center"/>
    </xf>
    <xf numFmtId="3" fontId="9" fillId="0" borderId="0" xfId="1" applyNumberFormat="1" applyAlignment="1">
      <alignment horizontal="center"/>
    </xf>
    <xf numFmtId="165" fontId="10" fillId="0" borderId="0" xfId="0" applyNumberFormat="1" applyFont="1" applyAlignment="1">
      <alignment horizontal="center"/>
    </xf>
    <xf numFmtId="10" fontId="0" fillId="0" borderId="0" xfId="0" applyNumberFormat="1" applyAlignment="1">
      <alignment horizontal="center"/>
    </xf>
    <xf numFmtId="0" fontId="0" fillId="2" borderId="0" xfId="0" applyFill="1" applyAlignment="1">
      <alignment horizontal="center"/>
    </xf>
    <xf numFmtId="0" fontId="12" fillId="0" borderId="0" xfId="0" applyFont="1"/>
    <xf numFmtId="17" fontId="12" fillId="0" borderId="0" xfId="0" applyNumberFormat="1" applyFont="1"/>
    <xf numFmtId="168" fontId="0" fillId="0" borderId="0" xfId="0" applyNumberFormat="1" applyAlignment="1">
      <alignment horizontal="center"/>
    </xf>
    <xf numFmtId="169" fontId="0" fillId="0" borderId="0" xfId="0" applyNumberFormat="1" applyAlignment="1">
      <alignment horizontal="center"/>
    </xf>
    <xf numFmtId="9" fontId="0" fillId="0" borderId="0" xfId="0" applyNumberFormat="1" applyAlignment="1">
      <alignment horizontal="center"/>
    </xf>
    <xf numFmtId="170" fontId="0" fillId="0" borderId="0" xfId="0" applyNumberFormat="1" applyAlignment="1">
      <alignment horizontal="center"/>
    </xf>
    <xf numFmtId="0" fontId="0" fillId="0" borderId="1" xfId="0" applyBorder="1" applyAlignment="1">
      <alignment horizontal="right"/>
    </xf>
    <xf numFmtId="3" fontId="10" fillId="2" borderId="1" xfId="0" applyNumberFormat="1" applyFont="1" applyFill="1" applyBorder="1" applyAlignment="1">
      <alignment horizontal="center"/>
    </xf>
    <xf numFmtId="0" fontId="0" fillId="0" borderId="2" xfId="0" applyBorder="1"/>
    <xf numFmtId="0" fontId="14" fillId="0" borderId="3" xfId="0" applyFont="1" applyBorder="1" applyAlignment="1">
      <alignment horizontal="center"/>
    </xf>
    <xf numFmtId="0" fontId="14" fillId="0" borderId="3" xfId="0" applyFont="1" applyBorder="1" applyAlignment="1">
      <alignment horizontal="centerContinuous"/>
    </xf>
    <xf numFmtId="167" fontId="0" fillId="0" borderId="0" xfId="0" applyNumberFormat="1" applyAlignment="1">
      <alignment horizontal="center"/>
    </xf>
    <xf numFmtId="3" fontId="0" fillId="3" borderId="0" xfId="0" applyNumberFormat="1" applyFill="1" applyAlignment="1">
      <alignment horizontal="center"/>
    </xf>
    <xf numFmtId="3" fontId="10" fillId="3" borderId="0" xfId="0" applyNumberFormat="1" applyFont="1" applyFill="1" applyAlignment="1">
      <alignment horizontal="center"/>
    </xf>
    <xf numFmtId="0" fontId="0" fillId="0" borderId="0" xfId="0" applyAlignment="1">
      <alignment horizontal="left"/>
    </xf>
    <xf numFmtId="3" fontId="12" fillId="0" borderId="0" xfId="0" applyNumberFormat="1" applyFont="1"/>
    <xf numFmtId="0" fontId="13" fillId="0" borderId="0" xfId="0" applyFont="1"/>
    <xf numFmtId="165" fontId="0" fillId="0" borderId="0" xfId="0" applyNumberFormat="1" applyAlignment="1">
      <alignment horizontal="center" wrapText="1"/>
    </xf>
    <xf numFmtId="0" fontId="12" fillId="0" borderId="0" xfId="0" applyFont="1" applyAlignment="1">
      <alignment horizontal="center" wrapText="1"/>
    </xf>
    <xf numFmtId="3" fontId="11" fillId="3" borderId="0" xfId="0" applyNumberFormat="1" applyFont="1" applyFill="1" applyAlignment="1">
      <alignment horizontal="center"/>
    </xf>
    <xf numFmtId="37" fontId="0" fillId="0" borderId="0" xfId="0" applyNumberFormat="1" applyAlignment="1">
      <alignment horizontal="center"/>
    </xf>
    <xf numFmtId="17" fontId="0" fillId="0" borderId="0" xfId="0" applyNumberFormat="1" applyAlignment="1">
      <alignment horizontal="left"/>
    </xf>
    <xf numFmtId="1" fontId="0" fillId="0" borderId="0" xfId="0" applyNumberFormat="1" applyAlignment="1">
      <alignment horizontal="left"/>
    </xf>
    <xf numFmtId="43" fontId="0" fillId="0" borderId="0" xfId="1" applyFont="1" applyAlignment="1">
      <alignment horizontal="center"/>
    </xf>
    <xf numFmtId="43" fontId="0" fillId="0" borderId="0" xfId="1" applyFont="1"/>
    <xf numFmtId="172" fontId="0" fillId="0" borderId="0" xfId="1" applyNumberFormat="1" applyFont="1" applyAlignment="1">
      <alignment horizontal="center"/>
    </xf>
    <xf numFmtId="0" fontId="0" fillId="0" borderId="0" xfId="0" quotePrefix="1" applyAlignment="1">
      <alignment horizontal="center"/>
    </xf>
    <xf numFmtId="3" fontId="0" fillId="0" borderId="0" xfId="0" applyNumberFormat="1"/>
    <xf numFmtId="10" fontId="0" fillId="0" borderId="0" xfId="2" applyNumberFormat="1" applyFont="1" applyAlignment="1">
      <alignment horizontal="center"/>
    </xf>
    <xf numFmtId="173" fontId="0" fillId="0" borderId="0" xfId="1" applyNumberFormat="1" applyFont="1" applyAlignment="1">
      <alignment horizontal="center"/>
    </xf>
    <xf numFmtId="172" fontId="0" fillId="0" borderId="0" xfId="0" applyNumberFormat="1" applyAlignment="1">
      <alignment horizontal="center"/>
    </xf>
    <xf numFmtId="0" fontId="12" fillId="0" borderId="0" xfId="0" applyFont="1" applyAlignment="1">
      <alignment horizontal="center"/>
    </xf>
    <xf numFmtId="3" fontId="0" fillId="4" borderId="0" xfId="0" applyNumberFormat="1" applyFill="1" applyAlignment="1">
      <alignment horizontal="center"/>
    </xf>
    <xf numFmtId="0" fontId="0" fillId="5" borderId="0" xfId="0" applyFill="1" applyAlignment="1">
      <alignment horizontal="center"/>
    </xf>
    <xf numFmtId="0" fontId="0" fillId="5" borderId="0" xfId="0" applyFill="1"/>
    <xf numFmtId="3" fontId="0" fillId="0" borderId="0" xfId="0" applyNumberFormat="1" applyAlignment="1">
      <alignment horizontal="center" wrapText="1"/>
    </xf>
    <xf numFmtId="0" fontId="0" fillId="0" borderId="0" xfId="0" applyAlignment="1">
      <alignment horizontal="center" wrapText="1"/>
    </xf>
    <xf numFmtId="3" fontId="10" fillId="4" borderId="1" xfId="0" applyNumberFormat="1" applyFont="1" applyFill="1" applyBorder="1" applyAlignment="1">
      <alignment horizontal="center"/>
    </xf>
    <xf numFmtId="1" fontId="0" fillId="0" borderId="0" xfId="0" applyNumberFormat="1" applyAlignment="1">
      <alignment horizontal="center"/>
    </xf>
    <xf numFmtId="3" fontId="0" fillId="6" borderId="0" xfId="0" applyNumberFormat="1" applyFill="1" applyAlignment="1">
      <alignment horizontal="center"/>
    </xf>
    <xf numFmtId="3" fontId="18" fillId="0" borderId="0" xfId="0" applyNumberFormat="1" applyFont="1" applyAlignment="1">
      <alignment horizontal="left"/>
    </xf>
    <xf numFmtId="172" fontId="9" fillId="0" borderId="1" xfId="1" applyNumberFormat="1" applyFill="1" applyBorder="1"/>
    <xf numFmtId="165" fontId="0" fillId="0" borderId="0" xfId="2" applyNumberFormat="1" applyFont="1" applyAlignment="1">
      <alignment horizontal="center"/>
    </xf>
    <xf numFmtId="166" fontId="10" fillId="2" borderId="0" xfId="0" applyNumberFormat="1" applyFont="1" applyFill="1" applyAlignment="1">
      <alignment horizontal="center"/>
    </xf>
    <xf numFmtId="0" fontId="9" fillId="0" borderId="0" xfId="0" applyFont="1"/>
    <xf numFmtId="174" fontId="16" fillId="0" borderId="0" xfId="1" applyNumberFormat="1" applyFont="1" applyFill="1" applyAlignment="1">
      <alignment horizontal="center"/>
    </xf>
    <xf numFmtId="38" fontId="0" fillId="0" borderId="0" xfId="0" applyNumberFormat="1" applyAlignment="1">
      <alignment horizontal="center"/>
    </xf>
    <xf numFmtId="3" fontId="9" fillId="3" borderId="0" xfId="0" quotePrefix="1" applyNumberFormat="1" applyFont="1" applyFill="1" applyAlignment="1">
      <alignment horizontal="center" wrapText="1"/>
    </xf>
    <xf numFmtId="0" fontId="9" fillId="0" borderId="0" xfId="4"/>
    <xf numFmtId="0" fontId="12" fillId="0" borderId="0" xfId="4" applyFont="1"/>
    <xf numFmtId="0" fontId="20" fillId="0" borderId="0" xfId="4" applyFont="1"/>
    <xf numFmtId="43" fontId="9" fillId="0" borderId="0" xfId="11" applyFont="1"/>
    <xf numFmtId="0" fontId="21" fillId="0" borderId="0" xfId="4" applyFont="1"/>
    <xf numFmtId="43" fontId="15" fillId="0" borderId="0" xfId="11" applyFont="1"/>
    <xf numFmtId="0" fontId="15" fillId="0" borderId="0" xfId="4" applyFont="1"/>
    <xf numFmtId="43" fontId="22" fillId="0" borderId="0" xfId="11" applyFont="1" applyAlignment="1">
      <alignment horizontal="right"/>
    </xf>
    <xf numFmtId="0" fontId="22" fillId="0" borderId="13" xfId="4" applyFont="1" applyBorder="1" applyAlignment="1">
      <alignment horizontal="right"/>
    </xf>
    <xf numFmtId="0" fontId="22" fillId="2" borderId="0" xfId="4" applyFont="1" applyFill="1"/>
    <xf numFmtId="0" fontId="15" fillId="0" borderId="0" xfId="4" applyFont="1" applyAlignment="1">
      <alignment horizontal="right"/>
    </xf>
    <xf numFmtId="43" fontId="15" fillId="0" borderId="0" xfId="4" applyNumberFormat="1" applyFont="1" applyAlignment="1">
      <alignment horizontal="right"/>
    </xf>
    <xf numFmtId="2" fontId="15" fillId="2" borderId="0" xfId="4" applyNumberFormat="1" applyFont="1" applyFill="1"/>
    <xf numFmtId="4" fontId="15" fillId="2" borderId="0" xfId="4" applyNumberFormat="1" applyFont="1" applyFill="1"/>
    <xf numFmtId="2" fontId="9" fillId="0" borderId="0" xfId="4" applyNumberFormat="1"/>
    <xf numFmtId="43" fontId="9" fillId="0" borderId="0" xfId="4" applyNumberFormat="1"/>
    <xf numFmtId="10" fontId="9" fillId="3" borderId="1" xfId="2" applyNumberFormat="1" applyFill="1" applyBorder="1"/>
    <xf numFmtId="3" fontId="11" fillId="0" borderId="1" xfId="0" applyNumberFormat="1" applyFont="1" applyBorder="1" applyAlignment="1">
      <alignment horizontal="center"/>
    </xf>
    <xf numFmtId="0" fontId="11" fillId="0" borderId="1" xfId="0" applyFont="1" applyBorder="1" applyAlignment="1">
      <alignment horizontal="center" wrapText="1"/>
    </xf>
    <xf numFmtId="0" fontId="11" fillId="0" borderId="4" xfId="0" applyFont="1" applyBorder="1" applyAlignment="1">
      <alignment horizontal="center" wrapText="1"/>
    </xf>
    <xf numFmtId="4" fontId="11" fillId="0" borderId="1" xfId="0" applyNumberFormat="1" applyFont="1" applyBorder="1" applyAlignment="1">
      <alignment horizontal="center" wrapText="1"/>
    </xf>
    <xf numFmtId="3" fontId="9" fillId="3" borderId="0" xfId="0" applyNumberFormat="1" applyFont="1" applyFill="1" applyAlignment="1">
      <alignment horizontal="center" wrapText="1"/>
    </xf>
    <xf numFmtId="187" fontId="0" fillId="0" borderId="0" xfId="1" applyNumberFormat="1" applyFont="1" applyAlignment="1">
      <alignment horizontal="center"/>
    </xf>
    <xf numFmtId="10" fontId="9" fillId="0" borderId="0" xfId="0" applyNumberFormat="1" applyFont="1" applyAlignment="1">
      <alignment horizontal="center"/>
    </xf>
    <xf numFmtId="0" fontId="11" fillId="0" borderId="9" xfId="0" applyFont="1" applyBorder="1" applyAlignment="1">
      <alignment horizontal="center" wrapText="1"/>
    </xf>
    <xf numFmtId="0" fontId="0" fillId="0" borderId="1" xfId="0" applyBorder="1" applyAlignment="1">
      <alignment horizontal="left"/>
    </xf>
    <xf numFmtId="17" fontId="0" fillId="0" borderId="1" xfId="0" applyNumberFormat="1" applyBorder="1" applyAlignment="1">
      <alignment horizontal="left"/>
    </xf>
    <xf numFmtId="43" fontId="10" fillId="0" borderId="1" xfId="1" applyFont="1" applyFill="1" applyBorder="1" applyAlignment="1">
      <alignment horizontal="center"/>
    </xf>
    <xf numFmtId="172" fontId="0" fillId="0" borderId="1" xfId="1" applyNumberFormat="1" applyFont="1" applyFill="1" applyBorder="1" applyAlignment="1">
      <alignment horizontal="center"/>
    </xf>
    <xf numFmtId="172" fontId="9" fillId="0" borderId="1" xfId="1" applyNumberFormat="1" applyFont="1" applyFill="1" applyBorder="1" applyAlignment="1">
      <alignment horizontal="center"/>
    </xf>
    <xf numFmtId="0" fontId="13" fillId="0" borderId="0" xfId="0" quotePrefix="1" applyFont="1" applyAlignment="1">
      <alignment horizontal="left"/>
    </xf>
    <xf numFmtId="43" fontId="15" fillId="0" borderId="0" xfId="0" applyNumberFormat="1" applyFont="1" applyAlignment="1">
      <alignment horizontal="right"/>
    </xf>
    <xf numFmtId="166" fontId="0" fillId="0" borderId="0" xfId="0" applyNumberFormat="1" applyAlignment="1">
      <alignment horizontal="center"/>
    </xf>
    <xf numFmtId="4" fontId="0" fillId="0" borderId="0" xfId="0" applyNumberFormat="1" applyAlignment="1">
      <alignment horizontal="center"/>
    </xf>
    <xf numFmtId="2" fontId="0" fillId="0" borderId="0" xfId="0" applyNumberFormat="1" applyAlignment="1">
      <alignment horizontal="center"/>
    </xf>
    <xf numFmtId="43" fontId="10" fillId="0" borderId="0" xfId="1" applyFont="1" applyFill="1" applyAlignment="1">
      <alignment horizontal="center"/>
    </xf>
    <xf numFmtId="43" fontId="0" fillId="0" borderId="0" xfId="1" applyFont="1" applyFill="1" applyAlignment="1">
      <alignment horizontal="center"/>
    </xf>
    <xf numFmtId="0" fontId="12" fillId="0" borderId="0" xfId="0" quotePrefix="1" applyFont="1" applyAlignment="1">
      <alignment horizontal="center" wrapText="1"/>
    </xf>
    <xf numFmtId="0" fontId="9" fillId="0" borderId="0" xfId="199"/>
    <xf numFmtId="3" fontId="9" fillId="0" borderId="0" xfId="199" applyNumberFormat="1"/>
    <xf numFmtId="43" fontId="0" fillId="0" borderId="0" xfId="0" applyNumberFormat="1"/>
    <xf numFmtId="173" fontId="0" fillId="0" borderId="1" xfId="1" applyNumberFormat="1" applyFont="1" applyFill="1" applyBorder="1" applyAlignment="1">
      <alignment horizontal="center"/>
    </xf>
    <xf numFmtId="173" fontId="10" fillId="0" borderId="1" xfId="1" applyNumberFormat="1" applyFont="1" applyFill="1" applyBorder="1" applyAlignment="1">
      <alignment horizontal="center"/>
    </xf>
    <xf numFmtId="0" fontId="9" fillId="0" borderId="0" xfId="0" applyFont="1" applyAlignment="1">
      <alignment horizontal="center"/>
    </xf>
    <xf numFmtId="37" fontId="10" fillId="0" borderId="1" xfId="0" applyNumberFormat="1" applyFont="1" applyBorder="1" applyAlignment="1">
      <alignment horizontal="center"/>
    </xf>
    <xf numFmtId="37" fontId="9" fillId="0" borderId="1" xfId="0" applyNumberFormat="1" applyFont="1" applyBorder="1" applyAlignment="1">
      <alignment horizontal="center"/>
    </xf>
    <xf numFmtId="166" fontId="9" fillId="0" borderId="1" xfId="196" applyNumberFormat="1" applyBorder="1" applyAlignment="1">
      <alignment horizontal="center"/>
    </xf>
    <xf numFmtId="43" fontId="9" fillId="0" borderId="1" xfId="1" applyFont="1" applyFill="1" applyBorder="1" applyAlignment="1">
      <alignment horizontal="center"/>
    </xf>
    <xf numFmtId="43" fontId="0" fillId="0" borderId="1" xfId="1" applyFont="1" applyFill="1" applyBorder="1" applyAlignment="1">
      <alignment horizontal="center"/>
    </xf>
    <xf numFmtId="172" fontId="10" fillId="0" borderId="0" xfId="1" applyNumberFormat="1" applyFont="1" applyAlignment="1">
      <alignment horizontal="center"/>
    </xf>
    <xf numFmtId="172" fontId="9" fillId="0" borderId="0" xfId="1" applyNumberFormat="1" applyFont="1" applyAlignment="1">
      <alignment horizontal="center"/>
    </xf>
    <xf numFmtId="43" fontId="0" fillId="0" borderId="0" xfId="1" applyFont="1" applyFill="1"/>
    <xf numFmtId="0" fontId="9" fillId="0" borderId="0" xfId="0" quotePrefix="1" applyFont="1" applyAlignment="1">
      <alignment horizontal="left"/>
    </xf>
    <xf numFmtId="2" fontId="9" fillId="0" borderId="0" xfId="0" applyNumberFormat="1" applyFont="1" applyAlignment="1">
      <alignment horizontal="center"/>
    </xf>
    <xf numFmtId="174" fontId="0" fillId="0" borderId="1" xfId="1" applyNumberFormat="1" applyFont="1" applyFill="1" applyBorder="1" applyAlignment="1"/>
    <xf numFmtId="0" fontId="0" fillId="2" borderId="0" xfId="0" applyFill="1" applyAlignment="1">
      <alignment horizontal="right"/>
    </xf>
    <xf numFmtId="172" fontId="0" fillId="0" borderId="0" xfId="1" applyNumberFormat="1" applyFont="1" applyFill="1" applyBorder="1" applyAlignment="1">
      <alignment horizontal="center"/>
    </xf>
    <xf numFmtId="37" fontId="9" fillId="0" borderId="0" xfId="0" applyNumberFormat="1" applyFont="1" applyAlignment="1">
      <alignment horizontal="center"/>
    </xf>
    <xf numFmtId="174" fontId="0" fillId="0" borderId="0" xfId="1" applyNumberFormat="1" applyFont="1" applyFill="1" applyBorder="1" applyAlignment="1"/>
    <xf numFmtId="172" fontId="9" fillId="0" borderId="0" xfId="1" applyNumberFormat="1" applyFont="1" applyFill="1" applyBorder="1" applyAlignment="1">
      <alignment horizontal="center"/>
    </xf>
    <xf numFmtId="43" fontId="10" fillId="0" borderId="0" xfId="1" applyFont="1" applyFill="1" applyBorder="1" applyAlignment="1">
      <alignment horizontal="center"/>
    </xf>
    <xf numFmtId="166" fontId="9" fillId="0" borderId="0" xfId="196" applyNumberFormat="1" applyAlignment="1">
      <alignment horizontal="center"/>
    </xf>
    <xf numFmtId="43" fontId="0" fillId="0" borderId="0" xfId="1" applyFont="1" applyFill="1" applyBorder="1" applyAlignment="1">
      <alignment horizontal="center"/>
    </xf>
    <xf numFmtId="17" fontId="0" fillId="0" borderId="9" xfId="0" applyNumberFormat="1" applyBorder="1" applyAlignment="1">
      <alignment horizontal="left"/>
    </xf>
    <xf numFmtId="3" fontId="0" fillId="0" borderId="1" xfId="0" applyNumberFormat="1" applyBorder="1" applyAlignment="1">
      <alignment horizontal="center"/>
    </xf>
    <xf numFmtId="37" fontId="9" fillId="0" borderId="9" xfId="0" applyNumberFormat="1" applyFont="1" applyBorder="1" applyAlignment="1">
      <alignment horizontal="center"/>
    </xf>
    <xf numFmtId="43" fontId="0" fillId="0" borderId="0" xfId="1" applyFont="1" applyFill="1" applyBorder="1" applyAlignment="1"/>
    <xf numFmtId="43" fontId="0" fillId="0" borderId="2" xfId="1" applyFont="1" applyFill="1" applyBorder="1" applyAlignment="1"/>
    <xf numFmtId="10" fontId="0" fillId="0" borderId="0" xfId="2" applyNumberFormat="1" applyFont="1" applyFill="1" applyBorder="1" applyAlignment="1"/>
    <xf numFmtId="3" fontId="12" fillId="0" borderId="0" xfId="0" applyNumberFormat="1" applyFont="1" applyAlignment="1">
      <alignment horizontal="center"/>
    </xf>
    <xf numFmtId="3" fontId="10" fillId="6" borderId="0" xfId="0" applyNumberFormat="1" applyFont="1" applyFill="1" applyAlignment="1">
      <alignment horizontal="center"/>
    </xf>
    <xf numFmtId="0" fontId="17" fillId="0" borderId="17" xfId="199" quotePrefix="1" applyFont="1" applyBorder="1" applyAlignment="1">
      <alignment horizontal="left"/>
    </xf>
    <xf numFmtId="0" fontId="12" fillId="0" borderId="0" xfId="199" applyFont="1" applyAlignment="1">
      <alignment horizontal="center"/>
    </xf>
    <xf numFmtId="0" fontId="12" fillId="0" borderId="0" xfId="199" quotePrefix="1" applyFont="1" applyAlignment="1">
      <alignment horizontal="center"/>
    </xf>
    <xf numFmtId="165" fontId="9" fillId="0" borderId="0" xfId="199" applyNumberFormat="1"/>
    <xf numFmtId="3" fontId="9" fillId="0" borderId="1" xfId="199" applyNumberFormat="1" applyBorder="1"/>
    <xf numFmtId="37" fontId="9" fillId="0" borderId="1" xfId="199" applyNumberFormat="1" applyBorder="1"/>
    <xf numFmtId="171" fontId="9" fillId="0" borderId="1" xfId="199" applyNumberFormat="1" applyBorder="1"/>
    <xf numFmtId="3" fontId="9" fillId="0" borderId="1" xfId="199" quotePrefix="1" applyNumberFormat="1" applyBorder="1" applyAlignment="1">
      <alignment horizontal="left"/>
    </xf>
    <xf numFmtId="43" fontId="0" fillId="0" borderId="1" xfId="1" applyFont="1" applyFill="1" applyBorder="1"/>
    <xf numFmtId="0" fontId="12" fillId="0" borderId="1" xfId="199" applyFont="1" applyBorder="1" applyAlignment="1">
      <alignment horizontal="left" indent="1"/>
    </xf>
    <xf numFmtId="37" fontId="12" fillId="0" borderId="1" xfId="199" applyNumberFormat="1" applyFont="1" applyBorder="1"/>
    <xf numFmtId="10" fontId="12" fillId="0" borderId="1" xfId="2" applyNumberFormat="1" applyFont="1" applyBorder="1"/>
    <xf numFmtId="0" fontId="17" fillId="8" borderId="1" xfId="199" applyFont="1" applyFill="1" applyBorder="1"/>
    <xf numFmtId="0" fontId="12" fillId="8" borderId="1" xfId="199" applyFont="1" applyFill="1" applyBorder="1"/>
    <xf numFmtId="3" fontId="9" fillId="0" borderId="5" xfId="199" applyNumberFormat="1" applyBorder="1"/>
    <xf numFmtId="5" fontId="9" fillId="0" borderId="1" xfId="199" applyNumberFormat="1" applyBorder="1"/>
    <xf numFmtId="0" fontId="12" fillId="0" borderId="1" xfId="199" applyFont="1" applyBorder="1"/>
    <xf numFmtId="176" fontId="18" fillId="0" borderId="1" xfId="199" applyNumberFormat="1" applyFont="1" applyBorder="1"/>
    <xf numFmtId="5" fontId="12" fillId="0" borderId="1" xfId="199" applyNumberFormat="1" applyFont="1" applyBorder="1"/>
    <xf numFmtId="176" fontId="9" fillId="0" borderId="1" xfId="199" applyNumberFormat="1" applyBorder="1"/>
    <xf numFmtId="5" fontId="12" fillId="0" borderId="0" xfId="199" applyNumberFormat="1" applyFont="1"/>
    <xf numFmtId="0" fontId="12" fillId="0" borderId="0" xfId="199" applyFont="1" applyAlignment="1">
      <alignment horizontal="left" indent="1"/>
    </xf>
    <xf numFmtId="37" fontId="12" fillId="0" borderId="0" xfId="199" applyNumberFormat="1" applyFont="1"/>
    <xf numFmtId="0" fontId="12" fillId="0" borderId="0" xfId="199" applyFont="1"/>
    <xf numFmtId="176" fontId="9" fillId="0" borderId="0" xfId="199" applyNumberFormat="1"/>
    <xf numFmtId="0" fontId="12" fillId="8" borderId="10" xfId="199" applyFont="1" applyFill="1" applyBorder="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7" fillId="8" borderId="15" xfId="199" applyFont="1" applyFill="1" applyBorder="1"/>
    <xf numFmtId="0" fontId="12" fillId="8" borderId="12" xfId="199" applyFont="1" applyFill="1" applyBorder="1"/>
    <xf numFmtId="0" fontId="12" fillId="8" borderId="10" xfId="199" applyFont="1" applyFill="1" applyBorder="1"/>
    <xf numFmtId="171" fontId="9" fillId="0" borderId="1" xfId="199" applyNumberFormat="1" applyBorder="1" applyAlignment="1">
      <alignment horizontal="center"/>
    </xf>
    <xf numFmtId="177" fontId="18" fillId="3" borderId="1" xfId="199" applyNumberFormat="1" applyFont="1" applyFill="1" applyBorder="1"/>
    <xf numFmtId="0" fontId="12" fillId="8" borderId="15" xfId="199" applyFont="1" applyFill="1" applyBorder="1" applyAlignment="1">
      <alignment horizontal="center"/>
    </xf>
    <xf numFmtId="0" fontId="12" fillId="8" borderId="17" xfId="199" applyFont="1" applyFill="1" applyBorder="1" applyAlignment="1">
      <alignment horizontal="center"/>
    </xf>
    <xf numFmtId="177" fontId="9" fillId="3" borderId="1" xfId="199" applyNumberFormat="1" applyFill="1" applyBorder="1"/>
    <xf numFmtId="177" fontId="23" fillId="3" borderId="1" xfId="199" applyNumberFormat="1" applyFont="1" applyFill="1" applyBorder="1"/>
    <xf numFmtId="0" fontId="9" fillId="8" borderId="10" xfId="199" applyFill="1" applyBorder="1"/>
    <xf numFmtId="0" fontId="12" fillId="8" borderId="9" xfId="199" applyFont="1" applyFill="1" applyBorder="1" applyAlignment="1">
      <alignment horizontal="center"/>
    </xf>
    <xf numFmtId="0" fontId="9" fillId="0" borderId="10" xfId="199" applyBorder="1"/>
    <xf numFmtId="37" fontId="9" fillId="0" borderId="15" xfId="199" applyNumberFormat="1" applyBorder="1"/>
    <xf numFmtId="0" fontId="9" fillId="0" borderId="5" xfId="199" applyBorder="1"/>
    <xf numFmtId="7" fontId="9" fillId="0" borderId="16" xfId="199" applyNumberFormat="1" applyBorder="1"/>
    <xf numFmtId="7" fontId="9" fillId="9" borderId="16" xfId="199" applyNumberFormat="1" applyFill="1" applyBorder="1"/>
    <xf numFmtId="0" fontId="12" fillId="0" borderId="8" xfId="199" applyFont="1" applyBorder="1"/>
    <xf numFmtId="39" fontId="12" fillId="4" borderId="1" xfId="199" applyNumberFormat="1" applyFont="1" applyFill="1" applyBorder="1"/>
    <xf numFmtId="5" fontId="9" fillId="0" borderId="16" xfId="199" applyNumberFormat="1" applyBorder="1"/>
    <xf numFmtId="0" fontId="12" fillId="8" borderId="8" xfId="199" applyFont="1" applyFill="1" applyBorder="1" applyAlignment="1">
      <alignment horizontal="center"/>
    </xf>
    <xf numFmtId="0" fontId="12" fillId="8" borderId="1" xfId="199" applyFont="1" applyFill="1" applyBorder="1" applyAlignment="1">
      <alignment horizontal="center"/>
    </xf>
    <xf numFmtId="5" fontId="9" fillId="0" borderId="5" xfId="199" applyNumberFormat="1" applyBorder="1"/>
    <xf numFmtId="5" fontId="9" fillId="0" borderId="0" xfId="199" applyNumberFormat="1"/>
    <xf numFmtId="5" fontId="9" fillId="0" borderId="6" xfId="199" applyNumberFormat="1" applyBorder="1"/>
    <xf numFmtId="9" fontId="9" fillId="0" borderId="0" xfId="199" applyNumberFormat="1"/>
    <xf numFmtId="190" fontId="9" fillId="0" borderId="0" xfId="199" applyNumberFormat="1"/>
    <xf numFmtId="190" fontId="9" fillId="0" borderId="6" xfId="199" applyNumberFormat="1" applyBorder="1"/>
    <xf numFmtId="37" fontId="12" fillId="4" borderId="1" xfId="199" applyNumberFormat="1" applyFont="1" applyFill="1" applyBorder="1"/>
    <xf numFmtId="10" fontId="9" fillId="0" borderId="0" xfId="199" applyNumberFormat="1"/>
    <xf numFmtId="7" fontId="9" fillId="0" borderId="0" xfId="199" applyNumberFormat="1"/>
    <xf numFmtId="177" fontId="18" fillId="0" borderId="1" xfId="199" applyNumberFormat="1" applyFont="1" applyBorder="1"/>
    <xf numFmtId="0" fontId="9" fillId="4" borderId="0" xfId="199" applyFill="1"/>
    <xf numFmtId="9" fontId="9" fillId="4" borderId="0" xfId="2" applyFill="1"/>
    <xf numFmtId="43" fontId="0" fillId="4" borderId="0" xfId="1" applyFont="1" applyFill="1"/>
    <xf numFmtId="175" fontId="18" fillId="0" borderId="1" xfId="199" applyNumberFormat="1" applyFont="1" applyBorder="1"/>
    <xf numFmtId="175" fontId="9" fillId="0" borderId="1" xfId="199" applyNumberFormat="1" applyBorder="1"/>
    <xf numFmtId="177" fontId="18" fillId="4" borderId="1" xfId="199" applyNumberFormat="1" applyFont="1" applyFill="1" applyBorder="1"/>
    <xf numFmtId="177" fontId="23" fillId="0" borderId="1" xfId="199" applyNumberFormat="1" applyFont="1" applyBorder="1"/>
    <xf numFmtId="177" fontId="9" fillId="0" borderId="1" xfId="199" applyNumberFormat="1" applyBorder="1"/>
    <xf numFmtId="44" fontId="0" fillId="0" borderId="0" xfId="260" applyFont="1"/>
    <xf numFmtId="44" fontId="0" fillId="0" borderId="0" xfId="0" applyNumberFormat="1"/>
    <xf numFmtId="0" fontId="76" fillId="0" borderId="1" xfId="0" applyFont="1" applyBorder="1"/>
    <xf numFmtId="190" fontId="0" fillId="0" borderId="0" xfId="0" applyNumberFormat="1" applyAlignment="1">
      <alignment horizontal="center" vertical="center"/>
    </xf>
    <xf numFmtId="0" fontId="0" fillId="0" borderId="1" xfId="0" applyBorder="1"/>
    <xf numFmtId="44" fontId="0" fillId="0" borderId="1" xfId="0" applyNumberFormat="1" applyBorder="1"/>
    <xf numFmtId="0" fontId="12" fillId="0" borderId="1" xfId="0" applyFont="1" applyBorder="1" applyAlignment="1">
      <alignment horizontal="center"/>
    </xf>
    <xf numFmtId="44" fontId="12" fillId="0" borderId="1" xfId="0" applyNumberFormat="1" applyFont="1" applyBorder="1"/>
    <xf numFmtId="172" fontId="0" fillId="0" borderId="1" xfId="0" applyNumberFormat="1" applyBorder="1" applyAlignment="1">
      <alignment horizontal="left"/>
    </xf>
    <xf numFmtId="0" fontId="0" fillId="66" borderId="0" xfId="0" applyFill="1"/>
    <xf numFmtId="15" fontId="0" fillId="66" borderId="0" xfId="0" applyNumberFormat="1" applyFill="1"/>
    <xf numFmtId="0" fontId="0" fillId="0" borderId="48" xfId="0" applyBorder="1"/>
    <xf numFmtId="0" fontId="9" fillId="0" borderId="49" xfId="0" applyFont="1" applyBorder="1" applyAlignment="1">
      <alignment horizontal="center"/>
    </xf>
    <xf numFmtId="0" fontId="9" fillId="0" borderId="50" xfId="0" applyFont="1" applyBorder="1" applyAlignment="1">
      <alignment horizontal="center"/>
    </xf>
    <xf numFmtId="0" fontId="9" fillId="0" borderId="51" xfId="0" applyFont="1" applyBorder="1"/>
    <xf numFmtId="0" fontId="0" fillId="0" borderId="51" xfId="0" applyBorder="1"/>
    <xf numFmtId="0" fontId="0" fillId="0" borderId="52" xfId="0" applyBorder="1"/>
    <xf numFmtId="0" fontId="0" fillId="0" borderId="53" xfId="0" applyBorder="1"/>
    <xf numFmtId="0" fontId="9" fillId="0" borderId="52" xfId="0" applyFont="1" applyBorder="1"/>
    <xf numFmtId="0" fontId="0" fillId="0" borderId="54" xfId="0" applyBorder="1"/>
    <xf numFmtId="0" fontId="9" fillId="0" borderId="48" xfId="0" applyFont="1" applyBorder="1" applyAlignment="1">
      <alignment horizontal="center"/>
    </xf>
    <xf numFmtId="191" fontId="0" fillId="0" borderId="51" xfId="260" applyNumberFormat="1" applyFont="1" applyBorder="1"/>
    <xf numFmtId="191" fontId="0" fillId="0" borderId="52" xfId="260" applyNumberFormat="1" applyFont="1" applyBorder="1"/>
    <xf numFmtId="191" fontId="0" fillId="0" borderId="0" xfId="260" applyNumberFormat="1" applyFont="1" applyBorder="1"/>
    <xf numFmtId="191" fontId="0" fillId="0" borderId="51" xfId="0" applyNumberFormat="1" applyBorder="1"/>
    <xf numFmtId="191" fontId="0" fillId="0" borderId="52" xfId="0" applyNumberFormat="1" applyBorder="1"/>
    <xf numFmtId="191" fontId="0" fillId="0" borderId="0" xfId="0" applyNumberFormat="1"/>
    <xf numFmtId="191" fontId="0" fillId="0" borderId="51" xfId="0" applyNumberFormat="1" applyBorder="1" applyAlignment="1">
      <alignment horizontal="center"/>
    </xf>
    <xf numFmtId="191" fontId="0" fillId="0" borderId="52" xfId="0" applyNumberFormat="1" applyBorder="1" applyAlignment="1">
      <alignment horizontal="center"/>
    </xf>
    <xf numFmtId="191" fontId="0" fillId="0" borderId="0" xfId="0" applyNumberFormat="1" applyAlignment="1">
      <alignment horizontal="center"/>
    </xf>
    <xf numFmtId="3" fontId="9" fillId="0" borderId="0" xfId="0" applyNumberFormat="1" applyFont="1" applyAlignment="1">
      <alignment horizontal="center" wrapText="1"/>
    </xf>
    <xf numFmtId="44" fontId="0" fillId="0" borderId="1" xfId="260" applyFont="1" applyBorder="1"/>
    <xf numFmtId="191" fontId="77" fillId="0" borderId="51" xfId="260" applyNumberFormat="1" applyFont="1" applyBorder="1"/>
    <xf numFmtId="191" fontId="77" fillId="0" borderId="52" xfId="260" applyNumberFormat="1" applyFont="1" applyBorder="1"/>
    <xf numFmtId="191" fontId="77" fillId="0" borderId="0" xfId="260" applyNumberFormat="1" applyFont="1" applyBorder="1"/>
    <xf numFmtId="174" fontId="12" fillId="0" borderId="0" xfId="1" applyNumberFormat="1" applyFont="1" applyFill="1" applyAlignment="1">
      <alignment horizontal="center" vertical="center" wrapText="1"/>
    </xf>
    <xf numFmtId="0" fontId="18" fillId="0" borderId="0" xfId="0" applyFont="1"/>
    <xf numFmtId="0" fontId="79" fillId="0" borderId="0" xfId="0" applyFont="1" applyAlignment="1">
      <alignment horizontal="center" wrapText="1"/>
    </xf>
    <xf numFmtId="3" fontId="18" fillId="0" borderId="0" xfId="0" applyNumberFormat="1" applyFont="1" applyAlignment="1">
      <alignment horizontal="center"/>
    </xf>
    <xf numFmtId="3" fontId="18" fillId="0" borderId="0" xfId="0" applyNumberFormat="1" applyFont="1" applyAlignment="1">
      <alignment horizontal="center" wrapText="1"/>
    </xf>
    <xf numFmtId="165" fontId="18" fillId="0" borderId="0" xfId="0" applyNumberFormat="1" applyFont="1" applyAlignment="1">
      <alignment horizontal="center" wrapText="1"/>
    </xf>
    <xf numFmtId="0" fontId="18" fillId="0" borderId="0" xfId="0" applyFont="1" applyAlignment="1">
      <alignment horizontal="center"/>
    </xf>
    <xf numFmtId="3" fontId="18" fillId="0" borderId="0" xfId="0" applyNumberFormat="1" applyFont="1"/>
    <xf numFmtId="0" fontId="14" fillId="0" borderId="55" xfId="0" applyFont="1" applyBorder="1" applyAlignment="1">
      <alignment horizontal="centerContinuous"/>
    </xf>
    <xf numFmtId="0" fontId="14" fillId="0" borderId="55" xfId="0" applyFont="1" applyBorder="1" applyAlignment="1">
      <alignment horizontal="center"/>
    </xf>
    <xf numFmtId="0" fontId="0" fillId="0" borderId="49" xfId="0" applyBorder="1"/>
    <xf numFmtId="0" fontId="0" fillId="0" borderId="50" xfId="0" applyBorder="1"/>
    <xf numFmtId="10" fontId="0" fillId="4" borderId="0" xfId="2" applyNumberFormat="1" applyFont="1" applyFill="1" applyBorder="1" applyAlignment="1"/>
    <xf numFmtId="0" fontId="80" fillId="0" borderId="3" xfId="0" applyFont="1" applyBorder="1" applyAlignment="1">
      <alignment horizontal="center"/>
    </xf>
    <xf numFmtId="0" fontId="80" fillId="0" borderId="3" xfId="0" applyFont="1" applyBorder="1" applyAlignment="1">
      <alignment horizontal="centerContinuous"/>
    </xf>
    <xf numFmtId="44" fontId="0" fillId="0" borderId="0" xfId="260" applyFont="1" applyAlignment="1">
      <alignment horizontal="center"/>
    </xf>
    <xf numFmtId="3" fontId="0" fillId="0" borderId="0" xfId="0" applyNumberFormat="1" applyAlignment="1">
      <alignment horizontal="left"/>
    </xf>
    <xf numFmtId="193" fontId="9" fillId="4" borderId="0" xfId="199" applyNumberFormat="1" applyFill="1"/>
    <xf numFmtId="10" fontId="0" fillId="0" borderId="0" xfId="2" applyNumberFormat="1" applyFont="1"/>
    <xf numFmtId="9" fontId="0" fillId="0" borderId="0" xfId="2" applyFont="1" applyFill="1"/>
    <xf numFmtId="15" fontId="9" fillId="66" borderId="0" xfId="0" applyNumberFormat="1" applyFont="1" applyFill="1"/>
    <xf numFmtId="0" fontId="9" fillId="0" borderId="0" xfId="0" applyFont="1" applyAlignment="1">
      <alignment horizontal="left"/>
    </xf>
    <xf numFmtId="169" fontId="0" fillId="0" borderId="1" xfId="0" applyNumberFormat="1" applyBorder="1" applyAlignment="1">
      <alignment horizontal="center"/>
    </xf>
    <xf numFmtId="192" fontId="0" fillId="0" borderId="0" xfId="0" applyNumberFormat="1"/>
    <xf numFmtId="165" fontId="0" fillId="0" borderId="0" xfId="2" applyNumberFormat="1" applyFont="1" applyFill="1" applyBorder="1" applyAlignment="1"/>
    <xf numFmtId="0" fontId="82" fillId="67" borderId="40" xfId="0" applyFont="1" applyFill="1" applyBorder="1" applyAlignment="1">
      <alignment horizontal="center"/>
    </xf>
    <xf numFmtId="3" fontId="83" fillId="67" borderId="41" xfId="0" applyNumberFormat="1" applyFont="1" applyFill="1" applyBorder="1" applyAlignment="1">
      <alignment horizontal="center" wrapText="1"/>
    </xf>
    <xf numFmtId="3" fontId="82" fillId="67" borderId="42" xfId="0" applyNumberFormat="1" applyFont="1" applyFill="1" applyBorder="1" applyAlignment="1">
      <alignment horizontal="center"/>
    </xf>
    <xf numFmtId="0" fontId="84" fillId="0" borderId="43" xfId="0" applyFont="1" applyBorder="1" applyAlignment="1">
      <alignment horizontal="center"/>
    </xf>
    <xf numFmtId="3" fontId="84" fillId="0" borderId="1" xfId="0" applyNumberFormat="1" applyFont="1" applyBorder="1" applyAlignment="1">
      <alignment horizontal="center"/>
    </xf>
    <xf numFmtId="3" fontId="84" fillId="0" borderId="44" xfId="0" applyNumberFormat="1" applyFont="1" applyBorder="1" applyAlignment="1">
      <alignment horizontal="center"/>
    </xf>
    <xf numFmtId="0" fontId="84" fillId="0" borderId="45" xfId="0" applyFont="1" applyBorder="1" applyAlignment="1">
      <alignment horizontal="center"/>
    </xf>
    <xf numFmtId="3" fontId="84" fillId="0" borderId="46" xfId="0" applyNumberFormat="1" applyFont="1" applyBorder="1" applyAlignment="1">
      <alignment horizontal="center"/>
    </xf>
    <xf numFmtId="3" fontId="84" fillId="0" borderId="47" xfId="0" applyNumberFormat="1" applyFont="1" applyBorder="1" applyAlignment="1">
      <alignment horizontal="center"/>
    </xf>
    <xf numFmtId="0" fontId="84" fillId="0" borderId="0" xfId="0" applyFont="1"/>
    <xf numFmtId="0" fontId="85" fillId="0" borderId="0" xfId="0" applyFont="1" applyAlignment="1">
      <alignment horizontal="center"/>
    </xf>
    <xf numFmtId="3" fontId="85" fillId="0" borderId="0" xfId="0" applyNumberFormat="1" applyFont="1" applyAlignment="1">
      <alignment horizontal="center"/>
    </xf>
    <xf numFmtId="3" fontId="85" fillId="3" borderId="0" xfId="0" applyNumberFormat="1" applyFont="1" applyFill="1" applyAlignment="1">
      <alignment horizontal="center"/>
    </xf>
    <xf numFmtId="3" fontId="84" fillId="3" borderId="0" xfId="0" quotePrefix="1" applyNumberFormat="1" applyFont="1" applyFill="1" applyAlignment="1">
      <alignment horizontal="center" wrapText="1"/>
    </xf>
    <xf numFmtId="3" fontId="84" fillId="3" borderId="0" xfId="0" applyNumberFormat="1" applyFont="1" applyFill="1" applyAlignment="1">
      <alignment horizontal="center" wrapText="1"/>
    </xf>
    <xf numFmtId="0" fontId="84" fillId="0" borderId="1" xfId="0" applyFont="1" applyBorder="1"/>
    <xf numFmtId="0" fontId="84" fillId="0" borderId="0" xfId="0" applyFont="1" applyAlignment="1">
      <alignment horizontal="center"/>
    </xf>
    <xf numFmtId="3" fontId="84" fillId="0" borderId="0" xfId="0" applyNumberFormat="1" applyFont="1" applyAlignment="1">
      <alignment horizontal="center"/>
    </xf>
    <xf numFmtId="0" fontId="84" fillId="2" borderId="0" xfId="0" applyFont="1" applyFill="1" applyAlignment="1">
      <alignment horizontal="center"/>
    </xf>
    <xf numFmtId="0" fontId="84" fillId="0" borderId="0" xfId="0" applyFont="1" applyAlignment="1">
      <alignment horizontal="left"/>
    </xf>
    <xf numFmtId="167" fontId="84" fillId="0" borderId="0" xfId="0" applyNumberFormat="1" applyFont="1" applyAlignment="1">
      <alignment horizontal="center"/>
    </xf>
    <xf numFmtId="165" fontId="84" fillId="0" borderId="0" xfId="0" applyNumberFormat="1" applyFont="1" applyAlignment="1">
      <alignment horizontal="center"/>
    </xf>
    <xf numFmtId="168" fontId="84" fillId="0" borderId="0" xfId="0" applyNumberFormat="1" applyFont="1" applyAlignment="1">
      <alignment horizontal="center"/>
    </xf>
    <xf numFmtId="3" fontId="84" fillId="3" borderId="0" xfId="0" applyNumberFormat="1" applyFont="1" applyFill="1" applyAlignment="1">
      <alignment horizontal="center"/>
    </xf>
    <xf numFmtId="3" fontId="84" fillId="4" borderId="0" xfId="0" applyNumberFormat="1" applyFont="1" applyFill="1" applyAlignment="1">
      <alignment horizontal="center"/>
    </xf>
    <xf numFmtId="0" fontId="84" fillId="0" borderId="17" xfId="0" applyFont="1" applyBorder="1"/>
    <xf numFmtId="10" fontId="84" fillId="0" borderId="1" xfId="0" applyNumberFormat="1" applyFont="1" applyBorder="1"/>
    <xf numFmtId="3" fontId="84" fillId="6" borderId="0" xfId="0" applyNumberFormat="1" applyFont="1" applyFill="1" applyAlignment="1">
      <alignment horizontal="center"/>
    </xf>
    <xf numFmtId="3" fontId="84" fillId="0" borderId="1" xfId="0" applyNumberFormat="1" applyFont="1" applyBorder="1"/>
    <xf numFmtId="3" fontId="84" fillId="0" borderId="0" xfId="0" applyNumberFormat="1" applyFont="1"/>
    <xf numFmtId="43" fontId="84" fillId="0" borderId="0" xfId="1" applyFont="1"/>
    <xf numFmtId="172" fontId="84" fillId="0" borderId="1" xfId="0" applyNumberFormat="1" applyFont="1" applyBorder="1"/>
    <xf numFmtId="14" fontId="84" fillId="0" borderId="0" xfId="0" applyNumberFormat="1" applyFont="1"/>
    <xf numFmtId="164" fontId="84" fillId="0" borderId="0" xfId="0" applyNumberFormat="1" applyFont="1"/>
    <xf numFmtId="194" fontId="84" fillId="0" borderId="1" xfId="0" applyNumberFormat="1" applyFont="1" applyBorder="1"/>
    <xf numFmtId="0" fontId="84" fillId="0" borderId="0" xfId="0" applyFont="1" applyAlignment="1">
      <alignment horizontal="center" wrapText="1"/>
    </xf>
    <xf numFmtId="168" fontId="84" fillId="0" borderId="0" xfId="0" applyNumberFormat="1" applyFont="1"/>
    <xf numFmtId="3" fontId="82" fillId="67" borderId="41" xfId="0" quotePrefix="1" applyNumberFormat="1" applyFont="1" applyFill="1" applyBorder="1" applyAlignment="1">
      <alignment horizontal="center" wrapText="1"/>
    </xf>
    <xf numFmtId="3" fontId="82" fillId="67" borderId="42" xfId="0" quotePrefix="1" applyNumberFormat="1" applyFont="1" applyFill="1" applyBorder="1" applyAlignment="1">
      <alignment horizontal="center" wrapText="1"/>
    </xf>
    <xf numFmtId="0" fontId="84" fillId="0" borderId="44" xfId="0" applyFont="1" applyBorder="1"/>
    <xf numFmtId="0" fontId="84" fillId="0" borderId="56" xfId="0" applyFont="1" applyBorder="1" applyAlignment="1">
      <alignment horizontal="center"/>
    </xf>
    <xf numFmtId="10" fontId="84" fillId="0" borderId="46" xfId="0" applyNumberFormat="1" applyFont="1" applyBorder="1"/>
    <xf numFmtId="0" fontId="84" fillId="0" borderId="46" xfId="0" applyFont="1" applyBorder="1"/>
    <xf numFmtId="0" fontId="84" fillId="0" borderId="47" xfId="0" applyFont="1" applyBorder="1"/>
    <xf numFmtId="0" fontId="84" fillId="0" borderId="43" xfId="0" applyFont="1" applyBorder="1"/>
    <xf numFmtId="172" fontId="84" fillId="0" borderId="44" xfId="0" applyNumberFormat="1" applyFont="1" applyBorder="1"/>
    <xf numFmtId="0" fontId="84" fillId="0" borderId="45" xfId="0" applyFont="1" applyBorder="1"/>
    <xf numFmtId="172" fontId="84" fillId="0" borderId="46" xfId="0" applyNumberFormat="1" applyFont="1" applyBorder="1"/>
    <xf numFmtId="0" fontId="82" fillId="0" borderId="0" xfId="0" applyFont="1"/>
    <xf numFmtId="0" fontId="84" fillId="67" borderId="40" xfId="0" applyFont="1" applyFill="1" applyBorder="1"/>
    <xf numFmtId="0" fontId="82" fillId="67" borderId="41" xfId="0" applyFont="1" applyFill="1" applyBorder="1" applyAlignment="1">
      <alignment horizontal="center"/>
    </xf>
    <xf numFmtId="0" fontId="82" fillId="67" borderId="42" xfId="0" applyFont="1" applyFill="1" applyBorder="1" applyAlignment="1">
      <alignment horizontal="center"/>
    </xf>
    <xf numFmtId="3" fontId="84" fillId="0" borderId="46" xfId="0" applyNumberFormat="1" applyFont="1" applyBorder="1"/>
    <xf numFmtId="0" fontId="82" fillId="67" borderId="41" xfId="0" applyFont="1" applyFill="1" applyBorder="1" applyAlignment="1">
      <alignment horizontal="center" wrapText="1"/>
    </xf>
    <xf numFmtId="0" fontId="82" fillId="67" borderId="42" xfId="0" applyFont="1" applyFill="1" applyBorder="1" applyAlignment="1">
      <alignment horizontal="center" wrapText="1"/>
    </xf>
    <xf numFmtId="194" fontId="84" fillId="0" borderId="44" xfId="0" applyNumberFormat="1" applyFont="1" applyBorder="1"/>
    <xf numFmtId="194" fontId="84" fillId="0" borderId="47" xfId="0" applyNumberFormat="1" applyFont="1" applyBorder="1"/>
    <xf numFmtId="194" fontId="84" fillId="0" borderId="46" xfId="0" applyNumberFormat="1" applyFont="1" applyBorder="1"/>
    <xf numFmtId="195" fontId="84" fillId="0" borderId="1" xfId="0" applyNumberFormat="1" applyFont="1" applyBorder="1"/>
    <xf numFmtId="195" fontId="84" fillId="0" borderId="46" xfId="0" applyNumberFormat="1" applyFont="1" applyBorder="1"/>
    <xf numFmtId="3" fontId="84" fillId="0" borderId="44" xfId="0" applyNumberFormat="1" applyFont="1" applyBorder="1"/>
    <xf numFmtId="0" fontId="84" fillId="0" borderId="0" xfId="199" applyFont="1"/>
    <xf numFmtId="0" fontId="86" fillId="0" borderId="0" xfId="255" applyFont="1"/>
    <xf numFmtId="0" fontId="87" fillId="0" borderId="0" xfId="255" applyFont="1"/>
    <xf numFmtId="172" fontId="86" fillId="0" borderId="1" xfId="1" applyNumberFormat="1" applyFont="1" applyFill="1" applyBorder="1" applyAlignment="1">
      <alignment vertical="center"/>
    </xf>
    <xf numFmtId="0" fontId="86" fillId="0" borderId="43" xfId="255" applyFont="1" applyBorder="1" applyAlignment="1">
      <alignment horizontal="left" vertical="center"/>
    </xf>
    <xf numFmtId="172" fontId="86" fillId="0" borderId="1" xfId="1" applyNumberFormat="1" applyFont="1" applyFill="1" applyBorder="1" applyAlignment="1">
      <alignment horizontal="left" vertical="center"/>
    </xf>
    <xf numFmtId="172" fontId="86" fillId="0" borderId="44" xfId="1" applyNumberFormat="1" applyFont="1" applyFill="1" applyBorder="1" applyAlignment="1">
      <alignment horizontal="left" vertical="center"/>
    </xf>
    <xf numFmtId="172" fontId="86" fillId="0" borderId="1" xfId="1" applyNumberFormat="1" applyFont="1" applyFill="1" applyBorder="1" applyAlignment="1">
      <alignment horizontal="center" vertical="center"/>
    </xf>
    <xf numFmtId="0" fontId="86" fillId="0" borderId="43" xfId="255" quotePrefix="1" applyFont="1" applyBorder="1" applyAlignment="1">
      <alignment horizontal="left" vertical="center"/>
    </xf>
    <xf numFmtId="172" fontId="86" fillId="0" borderId="1" xfId="1" applyNumberFormat="1" applyFont="1" applyBorder="1"/>
    <xf numFmtId="172" fontId="86" fillId="0" borderId="44" xfId="1" applyNumberFormat="1" applyFont="1" applyFill="1" applyBorder="1"/>
    <xf numFmtId="172" fontId="86" fillId="0" borderId="44" xfId="1" applyNumberFormat="1" applyFont="1" applyFill="1" applyBorder="1" applyAlignment="1">
      <alignment horizontal="center" vertical="center"/>
    </xf>
    <xf numFmtId="172" fontId="87" fillId="0" borderId="1" xfId="1" applyNumberFormat="1" applyFont="1" applyFill="1" applyBorder="1" applyAlignment="1">
      <alignment horizontal="center" vertical="center"/>
    </xf>
    <xf numFmtId="172" fontId="87" fillId="0" borderId="44" xfId="1" applyNumberFormat="1" applyFont="1" applyFill="1" applyBorder="1" applyAlignment="1">
      <alignment horizontal="center" vertical="center"/>
    </xf>
    <xf numFmtId="0" fontId="87" fillId="0" borderId="43" xfId="255" applyFont="1" applyBorder="1" applyAlignment="1">
      <alignment horizontal="left" vertical="center"/>
    </xf>
    <xf numFmtId="0" fontId="87" fillId="0" borderId="43" xfId="255" applyFont="1" applyBorder="1" applyAlignment="1">
      <alignment horizontal="right" vertical="center"/>
    </xf>
    <xf numFmtId="0" fontId="87" fillId="0" borderId="45" xfId="255" applyFont="1" applyBorder="1" applyAlignment="1">
      <alignment horizontal="left" vertical="center"/>
    </xf>
    <xf numFmtId="172" fontId="87" fillId="0" borderId="46" xfId="1" applyNumberFormat="1" applyFont="1" applyFill="1" applyBorder="1" applyAlignment="1">
      <alignment horizontal="center" vertical="center"/>
    </xf>
    <xf numFmtId="172" fontId="87" fillId="0" borderId="47" xfId="1" applyNumberFormat="1" applyFont="1" applyFill="1" applyBorder="1" applyAlignment="1">
      <alignment horizontal="center" vertical="center"/>
    </xf>
    <xf numFmtId="43" fontId="86" fillId="0" borderId="0" xfId="1" applyFont="1"/>
    <xf numFmtId="0" fontId="87" fillId="65" borderId="1" xfId="60" applyFont="1" applyFill="1" applyBorder="1" applyAlignment="1">
      <alignment horizontal="left" vertical="center"/>
    </xf>
    <xf numFmtId="0" fontId="87" fillId="65" borderId="1" xfId="60" applyFont="1" applyFill="1" applyBorder="1" applyAlignment="1">
      <alignment horizontal="center" vertical="center" wrapText="1"/>
    </xf>
    <xf numFmtId="0" fontId="87" fillId="0" borderId="1" xfId="255" applyFont="1" applyBorder="1" applyAlignment="1">
      <alignment horizontal="left" vertical="center"/>
    </xf>
    <xf numFmtId="0" fontId="86" fillId="0" borderId="1" xfId="255" applyFont="1" applyBorder="1" applyAlignment="1">
      <alignment horizontal="left" vertical="center"/>
    </xf>
    <xf numFmtId="0" fontId="86" fillId="0" borderId="1" xfId="255" applyFont="1" applyBorder="1"/>
    <xf numFmtId="179" fontId="86" fillId="0" borderId="1" xfId="255" applyNumberFormat="1" applyFont="1" applyBorder="1" applyAlignment="1">
      <alignment horizontal="center" vertical="center"/>
    </xf>
    <xf numFmtId="37" fontId="86" fillId="0" borderId="1" xfId="255" applyNumberFormat="1" applyFont="1" applyBorder="1" applyAlignment="1">
      <alignment horizontal="center" vertical="center"/>
    </xf>
    <xf numFmtId="10" fontId="86" fillId="0" borderId="0" xfId="257" applyNumberFormat="1" applyFont="1"/>
    <xf numFmtId="179" fontId="86" fillId="0" borderId="1" xfId="59" applyNumberFormat="1" applyFont="1" applyBorder="1" applyAlignment="1">
      <alignment horizontal="center" vertical="center"/>
    </xf>
    <xf numFmtId="181" fontId="86" fillId="0" borderId="1" xfId="255" applyNumberFormat="1" applyFont="1" applyBorder="1" applyAlignment="1">
      <alignment horizontal="center" vertical="center"/>
    </xf>
    <xf numFmtId="0" fontId="86" fillId="0" borderId="1" xfId="255" applyFont="1" applyBorder="1" applyAlignment="1">
      <alignment horizontal="left" vertical="center" wrapText="1"/>
    </xf>
    <xf numFmtId="3" fontId="86" fillId="0" borderId="1" xfId="59" applyNumberFormat="1" applyFont="1" applyBorder="1" applyAlignment="1">
      <alignment horizontal="center" vertical="center"/>
    </xf>
    <xf numFmtId="0" fontId="87" fillId="0" borderId="4" xfId="255" applyFont="1" applyBorder="1"/>
    <xf numFmtId="0" fontId="86" fillId="0" borderId="0" xfId="199" applyFont="1"/>
    <xf numFmtId="0" fontId="86" fillId="0" borderId="8" xfId="255" applyFont="1" applyBorder="1" applyAlignment="1">
      <alignment horizontal="left" vertical="center"/>
    </xf>
    <xf numFmtId="166" fontId="86" fillId="9" borderId="1" xfId="59" applyNumberFormat="1" applyFont="1" applyFill="1" applyBorder="1" applyAlignment="1">
      <alignment horizontal="center" vertical="center"/>
    </xf>
    <xf numFmtId="179" fontId="86" fillId="0" borderId="0" xfId="255" applyNumberFormat="1" applyFont="1"/>
    <xf numFmtId="0" fontId="86" fillId="0" borderId="0" xfId="255" applyFont="1" applyAlignment="1">
      <alignment horizontal="left" vertical="center"/>
    </xf>
    <xf numFmtId="166" fontId="86" fillId="9" borderId="0" xfId="59" applyNumberFormat="1" applyFont="1" applyFill="1" applyAlignment="1">
      <alignment horizontal="center" vertical="center"/>
    </xf>
    <xf numFmtId="179" fontId="86" fillId="0" borderId="0" xfId="59" applyNumberFormat="1" applyFont="1" applyAlignment="1">
      <alignment horizontal="center" vertical="center"/>
    </xf>
    <xf numFmtId="0" fontId="86" fillId="0" borderId="0" xfId="255" applyFont="1" applyAlignment="1">
      <alignment horizontal="left" vertical="center" wrapText="1"/>
    </xf>
    <xf numFmtId="179" fontId="86" fillId="0" borderId="0" xfId="255" applyNumberFormat="1" applyFont="1" applyAlignment="1">
      <alignment horizontal="center" vertical="center"/>
    </xf>
    <xf numFmtId="3" fontId="86" fillId="0" borderId="9" xfId="59" applyNumberFormat="1" applyFont="1" applyBorder="1" applyAlignment="1">
      <alignment horizontal="center" vertical="center"/>
    </xf>
    <xf numFmtId="3" fontId="86" fillId="0" borderId="0" xfId="59" applyNumberFormat="1" applyFont="1" applyAlignment="1">
      <alignment horizontal="center" vertical="center"/>
    </xf>
    <xf numFmtId="166" fontId="86" fillId="0" borderId="1" xfId="59" applyNumberFormat="1" applyFont="1" applyBorder="1" applyAlignment="1">
      <alignment horizontal="center" vertical="center"/>
    </xf>
    <xf numFmtId="0" fontId="86" fillId="0" borderId="0" xfId="255" applyFont="1" applyAlignment="1">
      <alignment vertical="center"/>
    </xf>
    <xf numFmtId="178" fontId="86" fillId="0" borderId="1" xfId="59" applyNumberFormat="1" applyFont="1" applyBorder="1" applyAlignment="1">
      <alignment horizontal="center" vertical="center"/>
    </xf>
    <xf numFmtId="168" fontId="86" fillId="0" borderId="1" xfId="255" applyNumberFormat="1" applyFont="1" applyBorder="1" applyAlignment="1">
      <alignment horizontal="center"/>
    </xf>
    <xf numFmtId="166" fontId="87" fillId="0" borderId="1" xfId="59" applyNumberFormat="1" applyFont="1" applyBorder="1" applyAlignment="1">
      <alignment horizontal="center" vertical="center"/>
    </xf>
    <xf numFmtId="178" fontId="87" fillId="0" borderId="1" xfId="59" applyNumberFormat="1" applyFont="1" applyBorder="1" applyAlignment="1">
      <alignment horizontal="center" vertical="center"/>
    </xf>
    <xf numFmtId="0" fontId="87" fillId="0" borderId="0" xfId="255" applyFont="1" applyAlignment="1">
      <alignment horizontal="left" vertical="center"/>
    </xf>
    <xf numFmtId="3" fontId="86" fillId="0" borderId="1" xfId="255" applyNumberFormat="1" applyFont="1" applyBorder="1" applyAlignment="1">
      <alignment horizontal="center" vertical="center"/>
    </xf>
    <xf numFmtId="3" fontId="86" fillId="0" borderId="0" xfId="255" applyNumberFormat="1" applyFont="1" applyAlignment="1">
      <alignment horizontal="center" vertical="center" wrapText="1"/>
    </xf>
    <xf numFmtId="0" fontId="87" fillId="0" borderId="17" xfId="255" applyFont="1" applyBorder="1" applyAlignment="1">
      <alignment horizontal="left" vertical="center"/>
    </xf>
    <xf numFmtId="178" fontId="86" fillId="0" borderId="1" xfId="255" applyNumberFormat="1" applyFont="1" applyBorder="1" applyAlignment="1">
      <alignment horizontal="center" vertical="center" wrapText="1"/>
    </xf>
    <xf numFmtId="178" fontId="86" fillId="0" borderId="0" xfId="255" applyNumberFormat="1" applyFont="1" applyAlignment="1">
      <alignment horizontal="center" vertical="center" wrapText="1"/>
    </xf>
    <xf numFmtId="3" fontId="86" fillId="0" borderId="1" xfId="255" applyNumberFormat="1" applyFont="1" applyBorder="1" applyAlignment="1">
      <alignment horizontal="center" vertical="center" wrapText="1"/>
    </xf>
    <xf numFmtId="0" fontId="87" fillId="0" borderId="4" xfId="255" applyFont="1" applyBorder="1" applyAlignment="1">
      <alignment vertical="center"/>
    </xf>
    <xf numFmtId="179" fontId="86" fillId="0" borderId="17" xfId="255" applyNumberFormat="1" applyFont="1" applyBorder="1" applyAlignment="1">
      <alignment horizontal="center" vertical="center" wrapText="1"/>
    </xf>
    <xf numFmtId="9" fontId="86" fillId="0" borderId="0" xfId="255" applyNumberFormat="1" applyFont="1" applyAlignment="1">
      <alignment horizontal="center" vertical="center" wrapText="1"/>
    </xf>
    <xf numFmtId="0" fontId="90" fillId="0" borderId="1" xfId="261" applyFont="1" applyBorder="1" applyAlignment="1">
      <alignment horizontal="left"/>
    </xf>
    <xf numFmtId="0" fontId="90" fillId="0" borderId="8" xfId="261" applyFont="1" applyBorder="1" applyAlignment="1">
      <alignment horizontal="left" wrapText="1"/>
    </xf>
    <xf numFmtId="179" fontId="86" fillId="0" borderId="1" xfId="255" applyNumberFormat="1" applyFont="1" applyBorder="1" applyAlignment="1">
      <alignment horizontal="center" vertical="center" wrapText="1"/>
    </xf>
    <xf numFmtId="181" fontId="86" fillId="0" borderId="1" xfId="255" applyNumberFormat="1" applyFont="1" applyBorder="1" applyAlignment="1">
      <alignment horizontal="center" vertical="center" wrapText="1"/>
    </xf>
    <xf numFmtId="180" fontId="86" fillId="0" borderId="1" xfId="255" applyNumberFormat="1" applyFont="1" applyBorder="1" applyAlignment="1">
      <alignment horizontal="center" vertical="center" wrapText="1"/>
    </xf>
    <xf numFmtId="0" fontId="87" fillId="0" borderId="13" xfId="255" applyFont="1" applyBorder="1" applyAlignment="1">
      <alignment vertical="center" wrapText="1"/>
    </xf>
    <xf numFmtId="0" fontId="87" fillId="0" borderId="0" xfId="255" applyFont="1" applyAlignment="1">
      <alignment vertical="center" wrapText="1"/>
    </xf>
    <xf numFmtId="0" fontId="76" fillId="0" borderId="0" xfId="255" applyFont="1"/>
    <xf numFmtId="0" fontId="76" fillId="0" borderId="0" xfId="199" applyFont="1"/>
    <xf numFmtId="0" fontId="91" fillId="0" borderId="1" xfId="255" applyFont="1" applyBorder="1" applyAlignment="1">
      <alignment vertical="center"/>
    </xf>
    <xf numFmtId="189" fontId="86" fillId="0" borderId="1" xfId="255" applyNumberFormat="1" applyFont="1" applyBorder="1" applyAlignment="1">
      <alignment horizontal="center" vertical="center" wrapText="1"/>
    </xf>
    <xf numFmtId="0" fontId="76" fillId="0" borderId="0" xfId="255" applyFont="1" applyAlignment="1">
      <alignment horizontal="left" vertical="center"/>
    </xf>
    <xf numFmtId="189" fontId="86" fillId="0" borderId="0" xfId="255" applyNumberFormat="1" applyFont="1" applyAlignment="1">
      <alignment horizontal="center" vertical="center" wrapText="1"/>
    </xf>
    <xf numFmtId="0" fontId="87" fillId="0" borderId="13" xfId="255" quotePrefix="1" applyFont="1" applyBorder="1" applyAlignment="1">
      <alignment horizontal="left" vertical="center"/>
    </xf>
    <xf numFmtId="172" fontId="86" fillId="0" borderId="1" xfId="1" applyNumberFormat="1" applyFont="1" applyFill="1" applyBorder="1" applyAlignment="1">
      <alignment horizontal="center" vertical="center" wrapText="1"/>
    </xf>
    <xf numFmtId="172" fontId="86" fillId="0" borderId="0" xfId="255" applyNumberFormat="1" applyFont="1" applyAlignment="1">
      <alignment horizontal="center" vertical="center" wrapText="1"/>
    </xf>
    <xf numFmtId="172" fontId="87" fillId="0" borderId="13" xfId="255" applyNumberFormat="1" applyFont="1" applyBorder="1" applyAlignment="1">
      <alignment vertical="center" wrapText="1"/>
    </xf>
    <xf numFmtId="172" fontId="76" fillId="0" borderId="1" xfId="1" applyNumberFormat="1" applyFont="1" applyFill="1" applyBorder="1" applyAlignment="1">
      <alignment vertical="center"/>
    </xf>
    <xf numFmtId="10" fontId="86" fillId="0" borderId="0" xfId="257" applyNumberFormat="1" applyFont="1" applyFill="1" applyBorder="1" applyAlignment="1">
      <alignment horizontal="center" vertical="center" wrapText="1"/>
    </xf>
    <xf numFmtId="172" fontId="76" fillId="0" borderId="1" xfId="255" applyNumberFormat="1" applyFont="1" applyBorder="1" applyAlignment="1">
      <alignment vertical="center"/>
    </xf>
    <xf numFmtId="0" fontId="87" fillId="0" borderId="0" xfId="255" quotePrefix="1" applyFont="1" applyAlignment="1">
      <alignment horizontal="left" vertical="center"/>
    </xf>
    <xf numFmtId="0" fontId="87" fillId="0" borderId="0" xfId="255" applyFont="1" applyAlignment="1">
      <alignment vertical="center"/>
    </xf>
    <xf numFmtId="0" fontId="86" fillId="0" borderId="8" xfId="255" applyFont="1" applyBorder="1"/>
    <xf numFmtId="0" fontId="86" fillId="0" borderId="1" xfId="255" applyFont="1" applyBorder="1" applyAlignment="1">
      <alignment vertical="center"/>
    </xf>
    <xf numFmtId="168" fontId="86" fillId="0" borderId="1" xfId="255" applyNumberFormat="1" applyFont="1" applyBorder="1" applyAlignment="1">
      <alignment horizontal="center" vertical="center"/>
    </xf>
    <xf numFmtId="3" fontId="86" fillId="0" borderId="1" xfId="255" applyNumberFormat="1" applyFont="1" applyBorder="1" applyAlignment="1">
      <alignment horizontal="center"/>
    </xf>
    <xf numFmtId="0" fontId="86" fillId="0" borderId="1" xfId="255" applyFont="1" applyBorder="1" applyAlignment="1">
      <alignment horizontal="center" wrapText="1"/>
    </xf>
    <xf numFmtId="3" fontId="86" fillId="0" borderId="1" xfId="255" applyNumberFormat="1" applyFont="1" applyBorder="1" applyAlignment="1">
      <alignment horizontal="center" wrapText="1"/>
    </xf>
    <xf numFmtId="3" fontId="86" fillId="0" borderId="1" xfId="257" applyNumberFormat="1" applyFont="1" applyBorder="1" applyAlignment="1">
      <alignment horizontal="center"/>
    </xf>
    <xf numFmtId="188" fontId="86" fillId="0" borderId="1" xfId="255" applyNumberFormat="1" applyFont="1" applyBorder="1" applyAlignment="1">
      <alignment horizontal="center"/>
    </xf>
    <xf numFmtId="167" fontId="86" fillId="0" borderId="1" xfId="255" applyNumberFormat="1" applyFont="1" applyBorder="1" applyAlignment="1">
      <alignment horizontal="center"/>
    </xf>
    <xf numFmtId="9" fontId="86" fillId="0" borderId="0" xfId="2" applyFont="1"/>
    <xf numFmtId="0" fontId="92" fillId="0" borderId="0" xfId="199" applyFont="1"/>
    <xf numFmtId="0" fontId="87" fillId="0" borderId="56" xfId="255" applyFont="1" applyBorder="1" applyAlignment="1">
      <alignment horizontal="left" vertical="center"/>
    </xf>
    <xf numFmtId="172" fontId="87" fillId="0" borderId="17" xfId="1" applyNumberFormat="1" applyFont="1" applyFill="1" applyBorder="1" applyAlignment="1">
      <alignment horizontal="center" vertical="center"/>
    </xf>
    <xf numFmtId="172" fontId="87" fillId="0" borderId="57" xfId="1" applyNumberFormat="1" applyFont="1" applyFill="1" applyBorder="1" applyAlignment="1">
      <alignment horizontal="center" vertical="center"/>
    </xf>
    <xf numFmtId="0" fontId="86" fillId="0" borderId="45" xfId="255" applyFont="1" applyBorder="1" applyAlignment="1">
      <alignment horizontal="left" vertical="center"/>
    </xf>
    <xf numFmtId="172" fontId="86" fillId="0" borderId="46" xfId="1" applyNumberFormat="1" applyFont="1" applyFill="1" applyBorder="1" applyAlignment="1">
      <alignment horizontal="center" vertical="center"/>
    </xf>
    <xf numFmtId="172" fontId="86" fillId="0" borderId="47" xfId="1" applyNumberFormat="1" applyFont="1" applyFill="1" applyBorder="1" applyAlignment="1">
      <alignment horizontal="center" vertical="center"/>
    </xf>
    <xf numFmtId="0" fontId="86" fillId="0" borderId="45" xfId="255" quotePrefix="1" applyFont="1" applyBorder="1" applyAlignment="1">
      <alignment horizontal="left" vertical="center"/>
    </xf>
    <xf numFmtId="0" fontId="87" fillId="67" borderId="40" xfId="60" applyFont="1" applyFill="1" applyBorder="1" applyAlignment="1">
      <alignment horizontal="left" vertical="center"/>
    </xf>
    <xf numFmtId="0" fontId="87" fillId="67" borderId="41" xfId="60" applyFont="1" applyFill="1" applyBorder="1" applyAlignment="1">
      <alignment horizontal="center" vertical="center" wrapText="1"/>
    </xf>
    <xf numFmtId="0" fontId="87" fillId="67" borderId="41" xfId="60" quotePrefix="1" applyFont="1" applyFill="1" applyBorder="1" applyAlignment="1">
      <alignment horizontal="center" vertical="center" wrapText="1"/>
    </xf>
    <xf numFmtId="0" fontId="87" fillId="67" borderId="42" xfId="60" quotePrefix="1" applyFont="1" applyFill="1" applyBorder="1" applyAlignment="1">
      <alignment horizontal="center" vertical="center" wrapText="1"/>
    </xf>
    <xf numFmtId="0" fontId="87" fillId="67" borderId="58" xfId="60" applyFont="1" applyFill="1" applyBorder="1" applyAlignment="1">
      <alignment horizontal="left" vertical="center"/>
    </xf>
    <xf numFmtId="0" fontId="87" fillId="67" borderId="59" xfId="60" applyFont="1" applyFill="1" applyBorder="1" applyAlignment="1">
      <alignment horizontal="center" vertical="center" wrapText="1"/>
    </xf>
    <xf numFmtId="0" fontId="87" fillId="67" borderId="59" xfId="60" quotePrefix="1" applyFont="1" applyFill="1" applyBorder="1" applyAlignment="1">
      <alignment horizontal="center" vertical="center" wrapText="1"/>
    </xf>
    <xf numFmtId="0" fontId="87" fillId="67" borderId="60" xfId="60" quotePrefix="1" applyFont="1" applyFill="1" applyBorder="1" applyAlignment="1">
      <alignment horizontal="center" vertical="center" wrapText="1"/>
    </xf>
    <xf numFmtId="0" fontId="86" fillId="0" borderId="56" xfId="255" applyFont="1" applyBorder="1" applyAlignment="1">
      <alignment horizontal="left" vertical="center"/>
    </xf>
    <xf numFmtId="172" fontId="86" fillId="0" borderId="17" xfId="1" applyNumberFormat="1" applyFont="1" applyFill="1" applyBorder="1" applyAlignment="1">
      <alignment horizontal="left" vertical="center"/>
    </xf>
    <xf numFmtId="172" fontId="86" fillId="0" borderId="57" xfId="1" applyNumberFormat="1" applyFont="1" applyFill="1" applyBorder="1" applyAlignment="1">
      <alignment horizontal="left" vertical="center"/>
    </xf>
    <xf numFmtId="172" fontId="86" fillId="9" borderId="4" xfId="1" applyNumberFormat="1" applyFont="1" applyFill="1" applyBorder="1" applyAlignment="1">
      <alignment vertical="center"/>
    </xf>
    <xf numFmtId="0" fontId="87" fillId="0" borderId="61" xfId="255" quotePrefix="1" applyFont="1" applyBorder="1" applyAlignment="1">
      <alignment horizontal="left" vertical="center"/>
    </xf>
    <xf numFmtId="172" fontId="87" fillId="0" borderId="16" xfId="1" applyNumberFormat="1" applyFont="1" applyFill="1" applyBorder="1" applyAlignment="1">
      <alignment horizontal="center" vertical="center"/>
    </xf>
    <xf numFmtId="172" fontId="87" fillId="0" borderId="62" xfId="1" applyNumberFormat="1" applyFont="1" applyFill="1" applyBorder="1" applyAlignment="1">
      <alignment horizontal="center" vertical="center"/>
    </xf>
    <xf numFmtId="0" fontId="86" fillId="0" borderId="63" xfId="255" applyFont="1" applyBorder="1" applyAlignment="1">
      <alignment horizontal="right" vertical="center"/>
    </xf>
    <xf numFmtId="172" fontId="86" fillId="0" borderId="15" xfId="1" applyNumberFormat="1" applyFont="1" applyFill="1" applyBorder="1" applyAlignment="1">
      <alignment horizontal="center" vertical="center"/>
    </xf>
    <xf numFmtId="172" fontId="86" fillId="0" borderId="64" xfId="1" applyNumberFormat="1" applyFont="1" applyFill="1" applyBorder="1" applyAlignment="1">
      <alignment horizontal="center" vertical="center"/>
    </xf>
    <xf numFmtId="0" fontId="86" fillId="0" borderId="56" xfId="255" quotePrefix="1" applyFont="1" applyBorder="1" applyAlignment="1">
      <alignment horizontal="left" vertical="center"/>
    </xf>
    <xf numFmtId="172" fontId="86" fillId="0" borderId="17" xfId="1" applyNumberFormat="1" applyFont="1" applyFill="1" applyBorder="1" applyAlignment="1">
      <alignment horizontal="center" vertical="center"/>
    </xf>
    <xf numFmtId="172" fontId="86" fillId="0" borderId="57" xfId="1" applyNumberFormat="1" applyFont="1" applyFill="1" applyBorder="1" applyAlignment="1">
      <alignment horizontal="center" vertical="center"/>
    </xf>
    <xf numFmtId="172" fontId="87" fillId="9" borderId="4" xfId="1" applyNumberFormat="1" applyFont="1" applyFill="1" applyBorder="1" applyAlignment="1">
      <alignment horizontal="center" vertical="center"/>
    </xf>
    <xf numFmtId="172" fontId="86" fillId="0" borderId="4" xfId="1" applyNumberFormat="1" applyFont="1" applyFill="1" applyBorder="1" applyAlignment="1">
      <alignment horizontal="center" vertical="center"/>
    </xf>
    <xf numFmtId="0" fontId="87" fillId="9" borderId="65" xfId="255" quotePrefix="1" applyFont="1" applyFill="1" applyBorder="1" applyAlignment="1">
      <alignment horizontal="left" vertical="center"/>
    </xf>
    <xf numFmtId="172" fontId="86" fillId="9" borderId="66" xfId="1" applyNumberFormat="1" applyFont="1" applyFill="1" applyBorder="1" applyAlignment="1">
      <alignment vertical="center"/>
    </xf>
    <xf numFmtId="172" fontId="87" fillId="9" borderId="66" xfId="1" applyNumberFormat="1" applyFont="1" applyFill="1" applyBorder="1" applyAlignment="1">
      <alignment horizontal="center" vertical="center"/>
    </xf>
    <xf numFmtId="0" fontId="86" fillId="0" borderId="65" xfId="255" applyFont="1" applyBorder="1" applyAlignment="1">
      <alignment horizontal="right" vertical="center"/>
    </xf>
    <xf numFmtId="172" fontId="86" fillId="0" borderId="66" xfId="1" applyNumberFormat="1" applyFont="1" applyFill="1" applyBorder="1" applyAlignment="1">
      <alignment horizontal="center" vertical="center"/>
    </xf>
    <xf numFmtId="172" fontId="87" fillId="0" borderId="0" xfId="1" applyNumberFormat="1" applyFont="1" applyFill="1" applyBorder="1" applyAlignment="1">
      <alignment horizontal="center" vertical="center"/>
    </xf>
    <xf numFmtId="0" fontId="82" fillId="0" borderId="0" xfId="0" applyFont="1" applyAlignment="1">
      <alignment horizontal="center"/>
    </xf>
    <xf numFmtId="3" fontId="83" fillId="0" borderId="0" xfId="0" applyNumberFormat="1" applyFont="1" applyAlignment="1">
      <alignment horizontal="center" wrapText="1"/>
    </xf>
    <xf numFmtId="3" fontId="82" fillId="0" borderId="0" xfId="0" applyNumberFormat="1" applyFont="1" applyAlignment="1">
      <alignment horizontal="center"/>
    </xf>
    <xf numFmtId="10" fontId="84" fillId="0" borderId="0" xfId="0" applyNumberFormat="1" applyFont="1"/>
    <xf numFmtId="0" fontId="87" fillId="67" borderId="1" xfId="60" applyFont="1" applyFill="1" applyBorder="1" applyAlignment="1">
      <alignment horizontal="center" vertical="center" wrapText="1"/>
    </xf>
    <xf numFmtId="0" fontId="87" fillId="67" borderId="42" xfId="60" applyFont="1" applyFill="1" applyBorder="1" applyAlignment="1">
      <alignment horizontal="center" vertical="center" wrapText="1"/>
    </xf>
    <xf numFmtId="0" fontId="87" fillId="0" borderId="43" xfId="255" applyFont="1" applyBorder="1" applyAlignment="1">
      <alignment horizontal="center" vertical="center"/>
    </xf>
    <xf numFmtId="0" fontId="87" fillId="0" borderId="44" xfId="255" applyFont="1" applyBorder="1" applyAlignment="1">
      <alignment horizontal="left" vertical="center"/>
    </xf>
    <xf numFmtId="0" fontId="86" fillId="0" borderId="44" xfId="255" applyFont="1" applyBorder="1"/>
    <xf numFmtId="186" fontId="86" fillId="0" borderId="44" xfId="255" applyNumberFormat="1" applyFont="1" applyBorder="1" applyAlignment="1">
      <alignment horizontal="center" vertical="center"/>
    </xf>
    <xf numFmtId="0" fontId="86" fillId="0" borderId="43" xfId="255" applyFont="1" applyBorder="1" applyAlignment="1">
      <alignment horizontal="left" vertical="center" wrapText="1"/>
    </xf>
    <xf numFmtId="179" fontId="86" fillId="0" borderId="46" xfId="59" applyNumberFormat="1" applyFont="1" applyBorder="1" applyAlignment="1">
      <alignment horizontal="center" vertical="center"/>
    </xf>
    <xf numFmtId="181" fontId="86" fillId="0" borderId="46" xfId="255" applyNumberFormat="1" applyFont="1" applyBorder="1" applyAlignment="1">
      <alignment horizontal="center" vertical="center"/>
    </xf>
    <xf numFmtId="3" fontId="86" fillId="0" borderId="46" xfId="59" applyNumberFormat="1" applyFont="1" applyBorder="1" applyAlignment="1">
      <alignment horizontal="center" vertical="center"/>
    </xf>
    <xf numFmtId="186" fontId="86" fillId="0" borderId="47" xfId="255" applyNumberFormat="1" applyFont="1" applyBorder="1" applyAlignment="1">
      <alignment horizontal="center" vertical="center"/>
    </xf>
    <xf numFmtId="0" fontId="87" fillId="0" borderId="65" xfId="255" applyFont="1" applyBorder="1"/>
    <xf numFmtId="0" fontId="87" fillId="0" borderId="66" xfId="255" applyFont="1" applyBorder="1"/>
    <xf numFmtId="0" fontId="86" fillId="0" borderId="65" xfId="255" applyFont="1" applyBorder="1" applyAlignment="1">
      <alignment horizontal="left" vertical="center"/>
    </xf>
    <xf numFmtId="179" fontId="86" fillId="0" borderId="44" xfId="59" applyNumberFormat="1" applyFont="1" applyBorder="1" applyAlignment="1">
      <alignment horizontal="center" vertical="center"/>
    </xf>
    <xf numFmtId="0" fontId="86" fillId="0" borderId="67" xfId="255" applyFont="1" applyBorder="1" applyAlignment="1">
      <alignment horizontal="left" vertical="center"/>
    </xf>
    <xf numFmtId="0" fontId="86" fillId="0" borderId="68" xfId="255" applyFont="1" applyBorder="1" applyAlignment="1">
      <alignment horizontal="left" vertical="center"/>
    </xf>
    <xf numFmtId="166" fontId="86" fillId="9" borderId="46" xfId="59" applyNumberFormat="1" applyFont="1" applyFill="1" applyBorder="1" applyAlignment="1">
      <alignment horizontal="center" vertical="center"/>
    </xf>
    <xf numFmtId="179" fontId="86" fillId="0" borderId="47" xfId="59" applyNumberFormat="1" applyFont="1" applyBorder="1" applyAlignment="1">
      <alignment horizontal="center" vertical="center"/>
    </xf>
    <xf numFmtId="3" fontId="86" fillId="0" borderId="44" xfId="59" applyNumberFormat="1" applyFont="1" applyBorder="1" applyAlignment="1">
      <alignment horizontal="center" vertical="center"/>
    </xf>
    <xf numFmtId="0" fontId="86" fillId="0" borderId="65" xfId="255" applyFont="1" applyBorder="1" applyAlignment="1">
      <alignment horizontal="left" vertical="center" wrapText="1"/>
    </xf>
    <xf numFmtId="3" fontId="86" fillId="0" borderId="47" xfId="59" applyNumberFormat="1" applyFont="1" applyBorder="1" applyAlignment="1">
      <alignment horizontal="center" vertical="center"/>
    </xf>
    <xf numFmtId="0" fontId="87" fillId="67" borderId="40" xfId="60" applyFont="1" applyFill="1" applyBorder="1" applyAlignment="1">
      <alignment horizontal="center" vertical="center"/>
    </xf>
    <xf numFmtId="0" fontId="86" fillId="0" borderId="65" xfId="255" applyFont="1" applyBorder="1" applyAlignment="1">
      <alignment horizontal="center" vertical="center"/>
    </xf>
    <xf numFmtId="0" fontId="86" fillId="0" borderId="65" xfId="255" applyFont="1" applyBorder="1" applyAlignment="1">
      <alignment horizontal="center" vertical="center" wrapText="1"/>
    </xf>
    <xf numFmtId="0" fontId="86" fillId="0" borderId="43" xfId="255" applyFont="1" applyBorder="1" applyAlignment="1">
      <alignment horizontal="center" vertical="center"/>
    </xf>
    <xf numFmtId="0" fontId="86" fillId="0" borderId="45" xfId="255" applyFont="1" applyBorder="1" applyAlignment="1">
      <alignment horizontal="center" vertical="center"/>
    </xf>
    <xf numFmtId="0" fontId="86" fillId="0" borderId="68" xfId="255" applyFont="1" applyBorder="1" applyAlignment="1">
      <alignment horizontal="center" vertical="center"/>
    </xf>
    <xf numFmtId="0" fontId="87" fillId="67" borderId="40" xfId="60" applyFont="1" applyFill="1" applyBorder="1" applyAlignment="1">
      <alignment horizontal="center" vertical="center" wrapText="1"/>
    </xf>
    <xf numFmtId="0" fontId="86" fillId="0" borderId="68" xfId="255" applyFont="1" applyBorder="1" applyAlignment="1">
      <alignment horizontal="center" vertical="center" wrapText="1"/>
    </xf>
    <xf numFmtId="165" fontId="86" fillId="0" borderId="42" xfId="59" applyNumberFormat="1" applyFont="1" applyBorder="1" applyAlignment="1">
      <alignment horizontal="center" vertical="center"/>
    </xf>
    <xf numFmtId="165" fontId="86" fillId="0" borderId="44" xfId="59" applyNumberFormat="1" applyFont="1" applyBorder="1" applyAlignment="1">
      <alignment horizontal="center" vertical="center"/>
    </xf>
    <xf numFmtId="166" fontId="86" fillId="0" borderId="44" xfId="59" applyNumberFormat="1" applyFont="1" applyBorder="1" applyAlignment="1">
      <alignment horizontal="center" vertical="center"/>
    </xf>
    <xf numFmtId="181" fontId="86" fillId="0" borderId="44" xfId="59" applyNumberFormat="1" applyFont="1" applyBorder="1" applyAlignment="1">
      <alignment horizontal="center" vertical="center"/>
    </xf>
    <xf numFmtId="181" fontId="86" fillId="0" borderId="47" xfId="59" applyNumberFormat="1" applyFont="1" applyBorder="1" applyAlignment="1">
      <alignment horizontal="center" vertical="center"/>
    </xf>
    <xf numFmtId="0" fontId="87" fillId="67" borderId="1" xfId="60" applyFont="1" applyFill="1" applyBorder="1" applyAlignment="1">
      <alignment horizontal="center" vertical="center"/>
    </xf>
    <xf numFmtId="0" fontId="87" fillId="0" borderId="5" xfId="255" applyFont="1" applyBorder="1" applyAlignment="1">
      <alignment vertical="center"/>
    </xf>
    <xf numFmtId="3" fontId="86" fillId="0" borderId="44" xfId="255" applyNumberFormat="1" applyFont="1" applyBorder="1" applyAlignment="1">
      <alignment horizontal="center" vertical="center"/>
    </xf>
    <xf numFmtId="3" fontId="86" fillId="0" borderId="46" xfId="255" applyNumberFormat="1" applyFont="1" applyBorder="1" applyAlignment="1">
      <alignment horizontal="center" vertical="center"/>
    </xf>
    <xf numFmtId="3" fontId="86" fillId="0" borderId="47" xfId="255" applyNumberFormat="1" applyFont="1" applyBorder="1" applyAlignment="1">
      <alignment horizontal="center" vertical="center"/>
    </xf>
    <xf numFmtId="0" fontId="87" fillId="0" borderId="57" xfId="255" applyFont="1" applyBorder="1" applyAlignment="1">
      <alignment horizontal="left" vertical="center"/>
    </xf>
    <xf numFmtId="178" fontId="86" fillId="0" borderId="44" xfId="255" applyNumberFormat="1" applyFont="1" applyBorder="1" applyAlignment="1">
      <alignment horizontal="center" vertical="center" wrapText="1"/>
    </xf>
    <xf numFmtId="178" fontId="86" fillId="0" borderId="46" xfId="255" applyNumberFormat="1" applyFont="1" applyBorder="1" applyAlignment="1">
      <alignment horizontal="center" vertical="center" wrapText="1"/>
    </xf>
    <xf numFmtId="178" fontId="86" fillId="0" borderId="47" xfId="255" applyNumberFormat="1" applyFont="1" applyBorder="1" applyAlignment="1">
      <alignment horizontal="center" vertical="center" wrapText="1"/>
    </xf>
    <xf numFmtId="0" fontId="86" fillId="0" borderId="67" xfId="255" applyFont="1" applyBorder="1" applyAlignment="1">
      <alignment horizontal="center" vertical="center"/>
    </xf>
    <xf numFmtId="3" fontId="86" fillId="0" borderId="44" xfId="255" applyNumberFormat="1" applyFont="1" applyBorder="1" applyAlignment="1">
      <alignment horizontal="center" vertical="center" wrapText="1"/>
    </xf>
    <xf numFmtId="3" fontId="86" fillId="0" borderId="46" xfId="255" applyNumberFormat="1" applyFont="1" applyBorder="1" applyAlignment="1">
      <alignment horizontal="center" vertical="center" wrapText="1"/>
    </xf>
    <xf numFmtId="3" fontId="86" fillId="0" borderId="47" xfId="255" applyNumberFormat="1" applyFont="1" applyBorder="1" applyAlignment="1">
      <alignment horizontal="center" vertical="center" wrapText="1"/>
    </xf>
    <xf numFmtId="0" fontId="86" fillId="0" borderId="43" xfId="255" applyFont="1" applyBorder="1" applyAlignment="1">
      <alignment horizontal="center" vertical="center" wrapText="1"/>
    </xf>
    <xf numFmtId="0" fontId="86" fillId="0" borderId="45" xfId="255" applyFont="1" applyBorder="1" applyAlignment="1">
      <alignment horizontal="center" vertical="center" wrapText="1"/>
    </xf>
    <xf numFmtId="0" fontId="87" fillId="0" borderId="10" xfId="255" applyFont="1" applyBorder="1" applyAlignment="1">
      <alignment vertical="center"/>
    </xf>
    <xf numFmtId="0" fontId="87" fillId="0" borderId="11" xfId="255" applyFont="1" applyBorder="1" applyAlignment="1">
      <alignment vertical="center"/>
    </xf>
    <xf numFmtId="0" fontId="87" fillId="0" borderId="65" xfId="255" applyFont="1" applyBorder="1" applyAlignment="1">
      <alignment vertical="center"/>
    </xf>
    <xf numFmtId="0" fontId="87" fillId="0" borderId="66" xfId="255" applyFont="1" applyBorder="1" applyAlignment="1">
      <alignment vertical="center"/>
    </xf>
    <xf numFmtId="179" fontId="86" fillId="0" borderId="57" xfId="255" applyNumberFormat="1" applyFont="1" applyBorder="1" applyAlignment="1">
      <alignment horizontal="center" vertical="center" wrapText="1"/>
    </xf>
    <xf numFmtId="0" fontId="86" fillId="0" borderId="53" xfId="255" applyFont="1" applyBorder="1" applyAlignment="1">
      <alignment horizontal="center" vertical="center"/>
    </xf>
    <xf numFmtId="179" fontId="86" fillId="0" borderId="69" xfId="255" applyNumberFormat="1" applyFont="1" applyBorder="1" applyAlignment="1">
      <alignment horizontal="center" vertical="center" wrapText="1"/>
    </xf>
    <xf numFmtId="179" fontId="86" fillId="0" borderId="70" xfId="255" applyNumberFormat="1" applyFont="1" applyBorder="1" applyAlignment="1">
      <alignment horizontal="center" vertical="center" wrapText="1"/>
    </xf>
    <xf numFmtId="165" fontId="86" fillId="0" borderId="45" xfId="255" applyNumberFormat="1" applyFont="1" applyBorder="1" applyAlignment="1">
      <alignment horizontal="center" vertical="center" wrapText="1"/>
    </xf>
    <xf numFmtId="165" fontId="86" fillId="0" borderId="46" xfId="255" applyNumberFormat="1" applyFont="1" applyBorder="1" applyAlignment="1">
      <alignment horizontal="center" vertical="center" wrapText="1"/>
    </xf>
    <xf numFmtId="165" fontId="86" fillId="0" borderId="47" xfId="255" applyNumberFormat="1" applyFont="1" applyBorder="1" applyAlignment="1">
      <alignment horizontal="center" vertical="center" wrapText="1"/>
    </xf>
    <xf numFmtId="0" fontId="91" fillId="0" borderId="43" xfId="255" applyFont="1" applyBorder="1" applyAlignment="1">
      <alignment vertical="center"/>
    </xf>
    <xf numFmtId="0" fontId="91" fillId="0" borderId="44" xfId="255" applyFont="1" applyBorder="1" applyAlignment="1">
      <alignment vertical="center"/>
    </xf>
    <xf numFmtId="0" fontId="76" fillId="0" borderId="43" xfId="255" applyFont="1" applyBorder="1" applyAlignment="1">
      <alignment horizontal="left" vertical="center"/>
    </xf>
    <xf numFmtId="189" fontId="86" fillId="0" borderId="44" xfId="255" applyNumberFormat="1" applyFont="1" applyBorder="1" applyAlignment="1">
      <alignment horizontal="center" vertical="center" wrapText="1"/>
    </xf>
    <xf numFmtId="0" fontId="76" fillId="0" borderId="43" xfId="255" applyFont="1" applyBorder="1" applyAlignment="1">
      <alignment horizontal="center" vertical="center"/>
    </xf>
    <xf numFmtId="0" fontId="76" fillId="0" borderId="45" xfId="255" applyFont="1" applyBorder="1" applyAlignment="1">
      <alignment horizontal="center" vertical="center"/>
    </xf>
    <xf numFmtId="189" fontId="86" fillId="0" borderId="46" xfId="255" applyNumberFormat="1" applyFont="1" applyBorder="1" applyAlignment="1">
      <alignment horizontal="center" vertical="center" wrapText="1"/>
    </xf>
    <xf numFmtId="189" fontId="86" fillId="0" borderId="47" xfId="255" applyNumberFormat="1" applyFont="1" applyBorder="1" applyAlignment="1">
      <alignment horizontal="center" vertical="center" wrapText="1"/>
    </xf>
    <xf numFmtId="0" fontId="86" fillId="0" borderId="65" xfId="255" applyFont="1" applyBorder="1" applyAlignment="1">
      <alignment horizontal="left" wrapText="1"/>
    </xf>
    <xf numFmtId="168" fontId="86" fillId="0" borderId="44" xfId="255" applyNumberFormat="1" applyFont="1" applyBorder="1" applyAlignment="1">
      <alignment horizontal="center" vertical="center"/>
    </xf>
    <xf numFmtId="3" fontId="86" fillId="0" borderId="44" xfId="255" applyNumberFormat="1" applyFont="1" applyBorder="1"/>
    <xf numFmtId="0" fontId="86" fillId="0" borderId="43" xfId="255" applyFont="1" applyBorder="1"/>
    <xf numFmtId="3" fontId="86" fillId="0" borderId="44" xfId="255" applyNumberFormat="1" applyFont="1" applyBorder="1" applyAlignment="1">
      <alignment horizontal="center"/>
    </xf>
    <xf numFmtId="0" fontId="86" fillId="0" borderId="65" xfId="255" applyFont="1" applyBorder="1" applyAlignment="1">
      <alignment horizontal="left"/>
    </xf>
    <xf numFmtId="0" fontId="86" fillId="0" borderId="68" xfId="255" applyFont="1" applyBorder="1" applyAlignment="1">
      <alignment horizontal="left" wrapText="1"/>
    </xf>
    <xf numFmtId="3" fontId="86" fillId="0" borderId="46" xfId="255" applyNumberFormat="1" applyFont="1" applyBorder="1" applyAlignment="1">
      <alignment horizontal="center"/>
    </xf>
    <xf numFmtId="3" fontId="86" fillId="0" borderId="47" xfId="255" applyNumberFormat="1" applyFont="1" applyBorder="1" applyAlignment="1">
      <alignment horizontal="center"/>
    </xf>
    <xf numFmtId="0" fontId="92" fillId="67" borderId="40" xfId="60" applyFont="1" applyFill="1" applyBorder="1" applyAlignment="1">
      <alignment horizontal="left" vertical="center"/>
    </xf>
    <xf numFmtId="0" fontId="92" fillId="67" borderId="41" xfId="60" applyFont="1" applyFill="1" applyBorder="1" applyAlignment="1">
      <alignment horizontal="center" vertical="center" wrapText="1"/>
    </xf>
    <xf numFmtId="0" fontId="92" fillId="67" borderId="42" xfId="60" applyFont="1" applyFill="1" applyBorder="1" applyAlignment="1">
      <alignment horizontal="center" vertical="center" wrapText="1"/>
    </xf>
    <xf numFmtId="0" fontId="87" fillId="67" borderId="40" xfId="60" applyFont="1" applyFill="1" applyBorder="1" applyAlignment="1">
      <alignment horizontal="left" vertical="center" wrapText="1"/>
    </xf>
    <xf numFmtId="0" fontId="76" fillId="0" borderId="43" xfId="255" applyFont="1" applyBorder="1" applyAlignment="1">
      <alignment vertical="center"/>
    </xf>
    <xf numFmtId="0" fontId="76" fillId="0" borderId="43" xfId="255" quotePrefix="1" applyFont="1" applyBorder="1" applyAlignment="1">
      <alignment horizontal="left" vertical="center"/>
    </xf>
    <xf numFmtId="0" fontId="91" fillId="0" borderId="45" xfId="255" applyFont="1" applyBorder="1" applyAlignment="1">
      <alignment horizontal="left" vertical="center"/>
    </xf>
    <xf numFmtId="172" fontId="87" fillId="0" borderId="46" xfId="1" applyNumberFormat="1" applyFont="1" applyFill="1" applyBorder="1" applyAlignment="1">
      <alignment horizontal="center" vertical="center" wrapText="1"/>
    </xf>
    <xf numFmtId="178" fontId="86" fillId="0" borderId="44" xfId="257" applyNumberFormat="1" applyFont="1" applyFill="1" applyBorder="1" applyAlignment="1">
      <alignment vertical="center"/>
    </xf>
    <xf numFmtId="178" fontId="87" fillId="0" borderId="47" xfId="257" applyNumberFormat="1" applyFont="1" applyFill="1" applyBorder="1" applyAlignment="1">
      <alignment vertical="center"/>
    </xf>
    <xf numFmtId="172" fontId="87" fillId="0" borderId="0" xfId="255" applyNumberFormat="1" applyFont="1" applyAlignment="1">
      <alignment vertical="center" wrapText="1"/>
    </xf>
    <xf numFmtId="172" fontId="87" fillId="67" borderId="41" xfId="60" quotePrefix="1" applyNumberFormat="1" applyFont="1" applyFill="1" applyBorder="1" applyAlignment="1">
      <alignment horizontal="center" vertical="center" wrapText="1"/>
    </xf>
    <xf numFmtId="172" fontId="87" fillId="67" borderId="41" xfId="60" applyNumberFormat="1" applyFont="1" applyFill="1" applyBorder="1" applyAlignment="1">
      <alignment horizontal="center" vertical="center" wrapText="1"/>
    </xf>
    <xf numFmtId="0" fontId="87" fillId="67" borderId="41" xfId="60" applyFont="1" applyFill="1" applyBorder="1" applyAlignment="1">
      <alignment horizontal="center" vertical="center"/>
    </xf>
    <xf numFmtId="0" fontId="87" fillId="0" borderId="43" xfId="255" applyFont="1" applyBorder="1" applyAlignment="1">
      <alignment horizontal="left"/>
    </xf>
    <xf numFmtId="0" fontId="86" fillId="0" borderId="44" xfId="255" applyFont="1" applyBorder="1" applyAlignment="1">
      <alignment horizontal="center" wrapText="1"/>
    </xf>
    <xf numFmtId="3" fontId="86" fillId="0" borderId="43" xfId="255" applyNumberFormat="1" applyFont="1" applyBorder="1" applyAlignment="1">
      <alignment horizontal="left"/>
    </xf>
    <xf numFmtId="3" fontId="86" fillId="0" borderId="44" xfId="255" applyNumberFormat="1" applyFont="1" applyBorder="1" applyAlignment="1">
      <alignment horizontal="center" wrapText="1"/>
    </xf>
    <xf numFmtId="3" fontId="86" fillId="0" borderId="44" xfId="257" applyNumberFormat="1" applyFont="1" applyBorder="1" applyAlignment="1">
      <alignment horizontal="center"/>
    </xf>
    <xf numFmtId="3" fontId="86" fillId="0" borderId="43" xfId="255" applyNumberFormat="1" applyFont="1" applyBorder="1"/>
    <xf numFmtId="3" fontId="86" fillId="0" borderId="45" xfId="255" applyNumberFormat="1" applyFont="1" applyBorder="1"/>
    <xf numFmtId="167" fontId="86" fillId="0" borderId="46" xfId="255" applyNumberFormat="1" applyFont="1" applyBorder="1" applyAlignment="1">
      <alignment horizontal="center"/>
    </xf>
    <xf numFmtId="196" fontId="84" fillId="0" borderId="1" xfId="2" applyNumberFormat="1" applyFont="1" applyFill="1" applyBorder="1" applyAlignment="1">
      <alignment horizontal="center"/>
    </xf>
    <xf numFmtId="196" fontId="84" fillId="0" borderId="46" xfId="2" applyNumberFormat="1" applyFont="1" applyFill="1" applyBorder="1" applyAlignment="1">
      <alignment horizontal="center"/>
    </xf>
    <xf numFmtId="196" fontId="84" fillId="0" borderId="17" xfId="2" applyNumberFormat="1" applyFont="1" applyFill="1" applyBorder="1"/>
    <xf numFmtId="197" fontId="84" fillId="0" borderId="1" xfId="2" applyNumberFormat="1" applyFont="1" applyFill="1" applyBorder="1" applyAlignment="1">
      <alignment horizontal="center"/>
    </xf>
    <xf numFmtId="197" fontId="84" fillId="0" borderId="46" xfId="2" applyNumberFormat="1" applyFont="1" applyFill="1" applyBorder="1" applyAlignment="1">
      <alignment horizontal="center"/>
    </xf>
    <xf numFmtId="196" fontId="84" fillId="0" borderId="44" xfId="2" applyNumberFormat="1" applyFont="1" applyFill="1" applyBorder="1" applyAlignment="1">
      <alignment horizontal="center"/>
    </xf>
    <xf numFmtId="197" fontId="84" fillId="0" borderId="44" xfId="2" applyNumberFormat="1" applyFont="1" applyFill="1" applyBorder="1" applyAlignment="1">
      <alignment horizontal="center"/>
    </xf>
    <xf numFmtId="196" fontId="84" fillId="0" borderId="47" xfId="2" applyNumberFormat="1" applyFont="1" applyFill="1" applyBorder="1" applyAlignment="1">
      <alignment horizontal="center"/>
    </xf>
    <xf numFmtId="196" fontId="84" fillId="0" borderId="57" xfId="2" applyNumberFormat="1" applyFont="1" applyFill="1" applyBorder="1"/>
    <xf numFmtId="10" fontId="0" fillId="0" borderId="0" xfId="2" applyNumberFormat="1" applyFont="1" applyFill="1" applyAlignment="1">
      <alignment horizontal="center"/>
    </xf>
    <xf numFmtId="0" fontId="12" fillId="67" borderId="40" xfId="0" applyFont="1" applyFill="1" applyBorder="1"/>
    <xf numFmtId="3" fontId="81" fillId="67" borderId="41" xfId="0" applyNumberFormat="1" applyFont="1" applyFill="1" applyBorder="1" applyAlignment="1">
      <alignment horizontal="center" wrapText="1"/>
    </xf>
    <xf numFmtId="3" fontId="81" fillId="67" borderId="42" xfId="0" applyNumberFormat="1" applyFont="1" applyFill="1" applyBorder="1" applyAlignment="1">
      <alignment horizontal="center" wrapText="1"/>
    </xf>
    <xf numFmtId="0" fontId="0" fillId="0" borderId="43" xfId="0" applyBorder="1"/>
    <xf numFmtId="169" fontId="0" fillId="0" borderId="44" xfId="0" applyNumberFormat="1" applyBorder="1" applyAlignment="1">
      <alignment horizontal="center"/>
    </xf>
    <xf numFmtId="0" fontId="9" fillId="0" borderId="43" xfId="0" applyFont="1" applyBorder="1"/>
    <xf numFmtId="0" fontId="9" fillId="0" borderId="45" xfId="0" applyFont="1" applyBorder="1" applyAlignment="1">
      <alignment horizontal="left"/>
    </xf>
    <xf numFmtId="169" fontId="0" fillId="0" borderId="46" xfId="0" applyNumberFormat="1" applyBorder="1" applyAlignment="1">
      <alignment horizontal="center"/>
    </xf>
    <xf numFmtId="169" fontId="0" fillId="0" borderId="47" xfId="0" applyNumberFormat="1" applyBorder="1" applyAlignment="1">
      <alignment horizontal="center"/>
    </xf>
    <xf numFmtId="165" fontId="9" fillId="4" borderId="0" xfId="2" applyNumberFormat="1" applyFill="1"/>
    <xf numFmtId="167" fontId="86" fillId="0" borderId="1" xfId="255" applyNumberFormat="1" applyFont="1" applyBorder="1" applyAlignment="1">
      <alignment horizontal="center"/>
    </xf>
    <xf numFmtId="167" fontId="86" fillId="0" borderId="44" xfId="255" applyNumberFormat="1" applyFont="1" applyBorder="1" applyAlignment="1">
      <alignment horizontal="center"/>
    </xf>
    <xf numFmtId="0" fontId="87" fillId="0" borderId="65" xfId="255" applyFont="1" applyBorder="1" applyAlignment="1">
      <alignment horizontal="left" vertical="center"/>
    </xf>
    <xf numFmtId="0" fontId="87" fillId="0" borderId="4" xfId="255" applyFont="1" applyBorder="1" applyAlignment="1">
      <alignment horizontal="left" vertical="center"/>
    </xf>
    <xf numFmtId="0" fontId="87" fillId="0" borderId="9" xfId="255" applyFont="1" applyBorder="1" applyAlignment="1">
      <alignment horizontal="left" vertical="center"/>
    </xf>
    <xf numFmtId="0" fontId="87" fillId="0" borderId="1" xfId="255" applyFont="1" applyBorder="1" applyAlignment="1">
      <alignment horizontal="center" vertical="center" wrapText="1"/>
    </xf>
    <xf numFmtId="0" fontId="87" fillId="0" borderId="44" xfId="255" applyFont="1" applyBorder="1" applyAlignment="1">
      <alignment horizontal="center" vertical="center" wrapText="1"/>
    </xf>
    <xf numFmtId="0" fontId="86" fillId="0" borderId="1" xfId="255" applyFont="1" applyBorder="1" applyAlignment="1">
      <alignment horizontal="center"/>
    </xf>
    <xf numFmtId="0" fontId="86" fillId="0" borderId="44" xfId="255" applyFont="1" applyBorder="1" applyAlignment="1">
      <alignment horizontal="center"/>
    </xf>
    <xf numFmtId="0" fontId="86" fillId="0" borderId="65" xfId="255" applyFont="1" applyBorder="1" applyAlignment="1">
      <alignment horizontal="center" vertical="center"/>
    </xf>
    <xf numFmtId="0" fontId="86" fillId="0" borderId="4" xfId="255" applyFont="1" applyBorder="1" applyAlignment="1">
      <alignment horizontal="center" vertical="center"/>
    </xf>
    <xf numFmtId="0" fontId="86" fillId="0" borderId="66" xfId="255" applyFont="1" applyBorder="1" applyAlignment="1">
      <alignment horizontal="center" vertical="center"/>
    </xf>
    <xf numFmtId="0" fontId="87" fillId="67" borderId="71" xfId="60" applyFont="1" applyFill="1" applyBorder="1" applyAlignment="1">
      <alignment horizontal="center" vertical="center" wrapText="1"/>
    </xf>
    <xf numFmtId="0" fontId="87" fillId="67" borderId="72" xfId="60" applyFont="1" applyFill="1" applyBorder="1" applyAlignment="1">
      <alignment horizontal="center" vertical="center" wrapText="1"/>
    </xf>
    <xf numFmtId="0" fontId="87" fillId="67" borderId="73" xfId="60" applyFont="1" applyFill="1" applyBorder="1" applyAlignment="1">
      <alignment horizontal="center" vertical="center" wrapText="1"/>
    </xf>
    <xf numFmtId="167" fontId="86" fillId="0" borderId="46" xfId="255" applyNumberFormat="1" applyFont="1" applyBorder="1" applyAlignment="1">
      <alignment horizontal="center"/>
    </xf>
    <xf numFmtId="167" fontId="86" fillId="0" borderId="47" xfId="255" applyNumberFormat="1" applyFont="1" applyBorder="1" applyAlignment="1">
      <alignment horizontal="center"/>
    </xf>
    <xf numFmtId="0" fontId="87" fillId="0" borderId="66" xfId="255" applyFont="1" applyBorder="1" applyAlignment="1">
      <alignment horizontal="left" vertical="center"/>
    </xf>
    <xf numFmtId="0" fontId="89" fillId="0" borderId="7" xfId="261" applyFont="1" applyBorder="1" applyAlignment="1">
      <alignment horizontal="left" wrapText="1"/>
    </xf>
    <xf numFmtId="0" fontId="89" fillId="0" borderId="13" xfId="261" applyFont="1" applyBorder="1" applyAlignment="1">
      <alignment horizontal="left" wrapText="1"/>
    </xf>
    <xf numFmtId="0" fontId="87" fillId="0" borderId="65" xfId="255" applyFont="1" applyBorder="1" applyAlignment="1">
      <alignment horizontal="left"/>
    </xf>
    <xf numFmtId="0" fontId="87" fillId="0" borderId="4" xfId="255" applyFont="1" applyBorder="1" applyAlignment="1">
      <alignment horizontal="left"/>
    </xf>
    <xf numFmtId="0" fontId="87" fillId="0" borderId="66" xfId="255" applyFont="1" applyBorder="1" applyAlignment="1">
      <alignment horizontal="left"/>
    </xf>
    <xf numFmtId="0" fontId="87" fillId="0" borderId="15" xfId="255" applyFont="1" applyBorder="1" applyAlignment="1">
      <alignment horizontal="left" vertical="center"/>
    </xf>
    <xf numFmtId="0" fontId="87" fillId="0" borderId="43" xfId="255" applyFont="1" applyBorder="1" applyAlignment="1">
      <alignment horizontal="left" vertical="center"/>
    </xf>
    <xf numFmtId="0" fontId="87" fillId="0" borderId="1" xfId="255" applyFont="1" applyBorder="1" applyAlignment="1">
      <alignment horizontal="left" vertical="center"/>
    </xf>
    <xf numFmtId="0" fontId="87" fillId="0" borderId="44" xfId="255" applyFont="1" applyBorder="1" applyAlignment="1">
      <alignment horizontal="left" vertical="center"/>
    </xf>
    <xf numFmtId="0" fontId="87" fillId="0" borderId="5" xfId="255" applyFont="1" applyBorder="1" applyAlignment="1">
      <alignment horizontal="left" vertical="center"/>
    </xf>
    <xf numFmtId="0" fontId="87" fillId="0" borderId="0" xfId="255" applyFont="1" applyAlignment="1">
      <alignment horizontal="left" vertical="center"/>
    </xf>
    <xf numFmtId="0" fontId="89" fillId="0" borderId="5" xfId="261" applyFont="1" applyBorder="1" applyAlignment="1">
      <alignment horizontal="left"/>
    </xf>
    <xf numFmtId="0" fontId="89" fillId="0" borderId="0" xfId="261" applyFont="1" applyAlignment="1">
      <alignment horizontal="left"/>
    </xf>
    <xf numFmtId="0" fontId="86" fillId="0" borderId="40" xfId="255" applyFont="1" applyBorder="1" applyAlignment="1">
      <alignment horizontal="left" vertical="center"/>
    </xf>
    <xf numFmtId="0" fontId="86" fillId="0" borderId="41" xfId="255" applyFont="1" applyBorder="1" applyAlignment="1">
      <alignment horizontal="left" vertical="center"/>
    </xf>
    <xf numFmtId="0" fontId="86" fillId="0" borderId="43" xfId="255" applyFont="1" applyBorder="1" applyAlignment="1">
      <alignment horizontal="left" vertical="center"/>
    </xf>
    <xf numFmtId="0" fontId="86" fillId="0" borderId="1" xfId="255" applyFont="1" applyBorder="1" applyAlignment="1">
      <alignment horizontal="left" vertical="center"/>
    </xf>
    <xf numFmtId="0" fontId="86" fillId="0" borderId="43" xfId="255" applyFont="1" applyBorder="1" applyAlignment="1">
      <alignment horizontal="left" vertical="center" indent="1"/>
    </xf>
    <xf numFmtId="0" fontId="86" fillId="0" borderId="1" xfId="255" applyFont="1" applyBorder="1" applyAlignment="1">
      <alignment horizontal="left" vertical="center" indent="1"/>
    </xf>
    <xf numFmtId="0" fontId="86" fillId="0" borderId="45" xfId="255" applyFont="1" applyBorder="1" applyAlignment="1">
      <alignment horizontal="left" vertical="center" indent="1"/>
    </xf>
    <xf numFmtId="0" fontId="86" fillId="0" borderId="46" xfId="255" applyFont="1" applyBorder="1" applyAlignment="1">
      <alignment horizontal="left" vertical="center" indent="1"/>
    </xf>
    <xf numFmtId="0" fontId="87" fillId="0" borderId="5" xfId="255" applyFont="1" applyBorder="1" applyAlignment="1">
      <alignment horizontal="center" vertical="center"/>
    </xf>
    <xf numFmtId="0" fontId="87" fillId="0" borderId="0" xfId="255" applyFont="1" applyAlignment="1">
      <alignment horizontal="center" vertical="center"/>
    </xf>
    <xf numFmtId="0" fontId="87" fillId="0" borderId="6" xfId="255" applyFont="1" applyBorder="1" applyAlignment="1">
      <alignment horizontal="center" vertical="center"/>
    </xf>
    <xf numFmtId="0" fontId="87" fillId="0" borderId="1" xfId="255" applyFont="1" applyBorder="1" applyAlignment="1">
      <alignment horizontal="center" vertical="center"/>
    </xf>
    <xf numFmtId="0" fontId="87" fillId="0" borderId="44" xfId="255" applyFont="1" applyBorder="1" applyAlignment="1">
      <alignment horizontal="center" vertical="center"/>
    </xf>
    <xf numFmtId="0" fontId="87" fillId="0" borderId="10" xfId="255" applyFont="1" applyBorder="1" applyAlignment="1">
      <alignment horizontal="left" vertical="center"/>
    </xf>
    <xf numFmtId="0" fontId="87" fillId="0" borderId="11" xfId="255" applyFont="1" applyBorder="1" applyAlignment="1">
      <alignment horizontal="left" vertical="center"/>
    </xf>
    <xf numFmtId="0" fontId="92" fillId="0" borderId="65" xfId="255" applyFont="1" applyBorder="1" applyAlignment="1">
      <alignment horizontal="center" vertical="center"/>
    </xf>
    <xf numFmtId="0" fontId="92" fillId="0" borderId="4" xfId="255" applyFont="1" applyBorder="1" applyAlignment="1">
      <alignment horizontal="center" vertical="center"/>
    </xf>
    <xf numFmtId="0" fontId="92" fillId="0" borderId="66" xfId="255" applyFont="1" applyBorder="1" applyAlignment="1">
      <alignment horizontal="center" vertical="center"/>
    </xf>
    <xf numFmtId="0" fontId="87" fillId="0" borderId="8" xfId="255" applyFont="1" applyBorder="1" applyAlignment="1">
      <alignment horizontal="left" vertical="center"/>
    </xf>
    <xf numFmtId="0" fontId="90" fillId="0" borderId="8" xfId="261" applyFont="1" applyBorder="1" applyAlignment="1">
      <alignment horizontal="left"/>
    </xf>
    <xf numFmtId="0" fontId="90" fillId="0" borderId="4" xfId="261" applyFont="1" applyBorder="1" applyAlignment="1">
      <alignment horizontal="left"/>
    </xf>
    <xf numFmtId="0" fontId="90" fillId="0" borderId="9" xfId="261" applyFont="1" applyBorder="1" applyAlignment="1">
      <alignment horizontal="left"/>
    </xf>
    <xf numFmtId="174" fontId="12" fillId="0" borderId="0" xfId="1" applyNumberFormat="1" applyFont="1" applyFill="1" applyAlignment="1">
      <alignment horizontal="center" vertical="center" wrapText="1"/>
    </xf>
    <xf numFmtId="192" fontId="12" fillId="0" borderId="53" xfId="0" applyNumberFormat="1" applyFont="1" applyBorder="1" applyAlignment="1">
      <alignment horizontal="center" vertical="center"/>
    </xf>
    <xf numFmtId="192" fontId="12" fillId="0" borderId="54" xfId="0" applyNumberFormat="1" applyFont="1" applyBorder="1" applyAlignment="1">
      <alignment horizontal="center" vertical="center"/>
    </xf>
    <xf numFmtId="192" fontId="12" fillId="0" borderId="2" xfId="0" applyNumberFormat="1" applyFont="1" applyBorder="1" applyAlignment="1">
      <alignment horizontal="center"/>
    </xf>
    <xf numFmtId="192" fontId="12" fillId="0" borderId="54" xfId="0" applyNumberFormat="1" applyFont="1" applyBorder="1" applyAlignment="1">
      <alignment horizontal="center"/>
    </xf>
    <xf numFmtId="192" fontId="0" fillId="0" borderId="1" xfId="0" applyNumberFormat="1" applyBorder="1" applyAlignment="1">
      <alignment horizontal="center"/>
    </xf>
    <xf numFmtId="0" fontId="12" fillId="0" borderId="1" xfId="0" applyFont="1" applyBorder="1" applyAlignment="1">
      <alignment horizontal="center" wrapText="1"/>
    </xf>
    <xf numFmtId="192" fontId="12" fillId="0" borderId="1" xfId="0" applyNumberFormat="1" applyFont="1" applyBorder="1" applyAlignment="1">
      <alignment horizontal="center" vertical="center"/>
    </xf>
    <xf numFmtId="0" fontId="9" fillId="0" borderId="11" xfId="0" applyFont="1" applyBorder="1" applyAlignment="1">
      <alignment horizontal="center"/>
    </xf>
    <xf numFmtId="0" fontId="0" fillId="0" borderId="12" xfId="0"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78" fillId="0" borderId="15" xfId="0" applyFont="1" applyBorder="1" applyAlignment="1">
      <alignment horizontal="center" vertical="center" wrapText="1"/>
    </xf>
    <xf numFmtId="0" fontId="78" fillId="0" borderId="16" xfId="0" applyFont="1" applyBorder="1" applyAlignment="1">
      <alignment horizontal="center" vertical="center" wrapText="1"/>
    </xf>
    <xf numFmtId="0" fontId="78" fillId="0" borderId="17" xfId="0" applyFont="1" applyBorder="1" applyAlignment="1">
      <alignment horizontal="center" vertical="center" wrapText="1"/>
    </xf>
    <xf numFmtId="0" fontId="12" fillId="0" borderId="8" xfId="0" applyFont="1" applyBorder="1" applyAlignment="1">
      <alignment horizontal="center"/>
    </xf>
    <xf numFmtId="0" fontId="12" fillId="0" borderId="4" xfId="0" applyFont="1" applyBorder="1" applyAlignment="1">
      <alignment horizontal="center"/>
    </xf>
    <xf numFmtId="0" fontId="12" fillId="0" borderId="9" xfId="0" applyFont="1"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3" fontId="9" fillId="0" borderId="1" xfId="0" applyNumberFormat="1" applyFont="1" applyBorder="1" applyAlignment="1">
      <alignment horizontal="center"/>
    </xf>
    <xf numFmtId="3" fontId="0" fillId="0" borderId="1" xfId="0" applyNumberFormat="1" applyBorder="1" applyAlignment="1">
      <alignment horizontal="center"/>
    </xf>
    <xf numFmtId="0" fontId="12" fillId="0" borderId="0" xfId="4" applyFont="1" applyAlignment="1">
      <alignment horizontal="center"/>
    </xf>
    <xf numFmtId="0" fontId="9" fillId="4" borderId="0" xfId="199" applyFill="1" applyAlignment="1">
      <alignment horizontal="center"/>
    </xf>
    <xf numFmtId="0" fontId="12" fillId="8" borderId="15" xfId="199" quotePrefix="1" applyFont="1" applyFill="1" applyBorder="1" applyAlignment="1">
      <alignment horizontal="center" wrapText="1"/>
    </xf>
    <xf numFmtId="0" fontId="12" fillId="8" borderId="16" xfId="199" applyFont="1" applyFill="1" applyBorder="1" applyAlignment="1">
      <alignment horizontal="center" wrapText="1"/>
    </xf>
    <xf numFmtId="0" fontId="12" fillId="8" borderId="10" xfId="199" applyFont="1" applyFill="1" applyBorder="1" applyAlignment="1">
      <alignment horizontal="center"/>
    </xf>
    <xf numFmtId="0" fontId="12" fillId="8" borderId="11" xfId="199" applyFont="1" applyFill="1" applyBorder="1" applyAlignment="1">
      <alignment horizontal="center"/>
    </xf>
    <xf numFmtId="0" fontId="12" fillId="8" borderId="12" xfId="199" applyFont="1" applyFill="1" applyBorder="1" applyAlignment="1">
      <alignment horizontal="center"/>
    </xf>
    <xf numFmtId="0" fontId="12" fillId="8" borderId="7" xfId="199" applyFont="1" applyFill="1" applyBorder="1" applyAlignment="1">
      <alignment horizontal="center"/>
    </xf>
    <xf numFmtId="0" fontId="12" fillId="8" borderId="13" xfId="199" applyFont="1" applyFill="1" applyBorder="1" applyAlignment="1">
      <alignment horizontal="center"/>
    </xf>
    <xf numFmtId="0" fontId="12" fillId="8" borderId="14" xfId="199" applyFont="1" applyFill="1" applyBorder="1" applyAlignment="1">
      <alignment horizontal="center"/>
    </xf>
    <xf numFmtId="0" fontId="12" fillId="0" borderId="18" xfId="199" quotePrefix="1" applyFont="1" applyBorder="1" applyAlignment="1">
      <alignment horizontal="center" wrapText="1"/>
    </xf>
    <xf numFmtId="0" fontId="12" fillId="0" borderId="19" xfId="199" applyFont="1" applyBorder="1" applyAlignment="1">
      <alignment horizontal="center" wrapText="1"/>
    </xf>
    <xf numFmtId="0" fontId="12" fillId="0" borderId="20" xfId="199" applyFont="1" applyBorder="1" applyAlignment="1">
      <alignment horizontal="center" wrapText="1"/>
    </xf>
    <xf numFmtId="0" fontId="12" fillId="8" borderId="17" xfId="199" applyFont="1" applyFill="1" applyBorder="1" applyAlignment="1">
      <alignment horizontal="center" wrapText="1"/>
    </xf>
    <xf numFmtId="0" fontId="12" fillId="0" borderId="11" xfId="199" applyFont="1" applyBorder="1" applyAlignment="1">
      <alignment horizontal="center"/>
    </xf>
    <xf numFmtId="0" fontId="12" fillId="0" borderId="12" xfId="199" applyFont="1" applyBorder="1" applyAlignment="1">
      <alignment horizontal="center"/>
    </xf>
  </cellXfs>
  <cellStyles count="262">
    <cellStyle name="$" xfId="14" xr:uid="{00000000-0005-0000-0000-000000000000}"/>
    <cellStyle name="$.00" xfId="15" xr:uid="{00000000-0005-0000-0000-000001000000}"/>
    <cellStyle name="$_9. Rev2Cost_GDPIPI" xfId="126" xr:uid="{00000000-0005-0000-0000-000002000000}"/>
    <cellStyle name="$_lists" xfId="127" xr:uid="{00000000-0005-0000-0000-000003000000}"/>
    <cellStyle name="$_lists_4. Current Monthly Fixed Charge" xfId="128" xr:uid="{00000000-0005-0000-0000-000004000000}"/>
    <cellStyle name="$_Sheet4" xfId="129" xr:uid="{00000000-0005-0000-0000-000005000000}"/>
    <cellStyle name="$M" xfId="16" xr:uid="{00000000-0005-0000-0000-000006000000}"/>
    <cellStyle name="$M.00" xfId="17" xr:uid="{00000000-0005-0000-0000-000007000000}"/>
    <cellStyle name="$M_9. Rev2Cost_GDPIPI" xfId="130" xr:uid="{00000000-0005-0000-0000-000008000000}"/>
    <cellStyle name="20% - Accent1 2" xfId="93" xr:uid="{00000000-0005-0000-0000-000009000000}"/>
    <cellStyle name="20% - Accent1 2 2" xfId="154" xr:uid="{00000000-0005-0000-0000-00000A000000}"/>
    <cellStyle name="20% - Accent1 2 3" xfId="208" xr:uid="{00000000-0005-0000-0000-00000B000000}"/>
    <cellStyle name="20% - Accent1 3" xfId="18" xr:uid="{00000000-0005-0000-0000-00000C000000}"/>
    <cellStyle name="20% - Accent2 2" xfId="97" xr:uid="{00000000-0005-0000-0000-00000D000000}"/>
    <cellStyle name="20% - Accent2 2 2" xfId="156" xr:uid="{00000000-0005-0000-0000-00000E000000}"/>
    <cellStyle name="20% - Accent2 2 3" xfId="209" xr:uid="{00000000-0005-0000-0000-00000F000000}"/>
    <cellStyle name="20% - Accent2 3" xfId="19" xr:uid="{00000000-0005-0000-0000-000010000000}"/>
    <cellStyle name="20% - Accent3 2" xfId="101" xr:uid="{00000000-0005-0000-0000-000011000000}"/>
    <cellStyle name="20% - Accent3 2 2" xfId="158" xr:uid="{00000000-0005-0000-0000-000012000000}"/>
    <cellStyle name="20% - Accent3 2 3" xfId="210" xr:uid="{00000000-0005-0000-0000-000013000000}"/>
    <cellStyle name="20% - Accent3 3" xfId="20" xr:uid="{00000000-0005-0000-0000-000014000000}"/>
    <cellStyle name="20% - Accent4 2" xfId="105" xr:uid="{00000000-0005-0000-0000-000015000000}"/>
    <cellStyle name="20% - Accent4 2 2" xfId="160" xr:uid="{00000000-0005-0000-0000-000016000000}"/>
    <cellStyle name="20% - Accent4 2 3" xfId="211" xr:uid="{00000000-0005-0000-0000-000017000000}"/>
    <cellStyle name="20% - Accent4 3" xfId="21" xr:uid="{00000000-0005-0000-0000-000018000000}"/>
    <cellStyle name="20% - Accent5" xfId="206" builtinId="46" customBuiltin="1"/>
    <cellStyle name="20% - Accent5 2" xfId="109" xr:uid="{00000000-0005-0000-0000-00001A000000}"/>
    <cellStyle name="20% - Accent5 2 2" xfId="162" xr:uid="{00000000-0005-0000-0000-00001B000000}"/>
    <cellStyle name="20% - Accent5 3" xfId="22" xr:uid="{00000000-0005-0000-0000-00001C000000}"/>
    <cellStyle name="20% - Accent6 2" xfId="113" xr:uid="{00000000-0005-0000-0000-00001D000000}"/>
    <cellStyle name="20% - Accent6 2 2" xfId="164" xr:uid="{00000000-0005-0000-0000-00001E000000}"/>
    <cellStyle name="20% - Accent6 2 3" xfId="212" xr:uid="{00000000-0005-0000-0000-00001F000000}"/>
    <cellStyle name="20% - Accent6 3" xfId="23" xr:uid="{00000000-0005-0000-0000-000020000000}"/>
    <cellStyle name="40% - Accent1 2" xfId="94" xr:uid="{00000000-0005-0000-0000-000021000000}"/>
    <cellStyle name="40% - Accent1 2 2" xfId="155" xr:uid="{00000000-0005-0000-0000-000022000000}"/>
    <cellStyle name="40% - Accent1 2 3" xfId="213" xr:uid="{00000000-0005-0000-0000-000023000000}"/>
    <cellStyle name="40% - Accent1 3" xfId="24" xr:uid="{00000000-0005-0000-0000-000024000000}"/>
    <cellStyle name="40% - Accent2" xfId="204" builtinId="35" customBuiltin="1"/>
    <cellStyle name="40% - Accent2 2" xfId="98" xr:uid="{00000000-0005-0000-0000-000026000000}"/>
    <cellStyle name="40% - Accent2 2 2" xfId="157" xr:uid="{00000000-0005-0000-0000-000027000000}"/>
    <cellStyle name="40% - Accent2 3" xfId="25" xr:uid="{00000000-0005-0000-0000-000028000000}"/>
    <cellStyle name="40% - Accent3 2" xfId="102" xr:uid="{00000000-0005-0000-0000-000029000000}"/>
    <cellStyle name="40% - Accent3 2 2" xfId="159" xr:uid="{00000000-0005-0000-0000-00002A000000}"/>
    <cellStyle name="40% - Accent3 2 3" xfId="214" xr:uid="{00000000-0005-0000-0000-00002B000000}"/>
    <cellStyle name="40% - Accent3 3" xfId="26" xr:uid="{00000000-0005-0000-0000-00002C000000}"/>
    <cellStyle name="40% - Accent4 2" xfId="106" xr:uid="{00000000-0005-0000-0000-00002D000000}"/>
    <cellStyle name="40% - Accent4 2 2" xfId="161" xr:uid="{00000000-0005-0000-0000-00002E000000}"/>
    <cellStyle name="40% - Accent4 2 3" xfId="215" xr:uid="{00000000-0005-0000-0000-00002F000000}"/>
    <cellStyle name="40% - Accent4 3" xfId="27" xr:uid="{00000000-0005-0000-0000-000030000000}"/>
    <cellStyle name="40% - Accent5 2" xfId="110" xr:uid="{00000000-0005-0000-0000-000031000000}"/>
    <cellStyle name="40% - Accent5 2 2" xfId="163" xr:uid="{00000000-0005-0000-0000-000032000000}"/>
    <cellStyle name="40% - Accent5 2 3" xfId="216" xr:uid="{00000000-0005-0000-0000-000033000000}"/>
    <cellStyle name="40% - Accent5 3" xfId="28" xr:uid="{00000000-0005-0000-0000-000034000000}"/>
    <cellStyle name="40% - Accent6 2" xfId="114" xr:uid="{00000000-0005-0000-0000-000035000000}"/>
    <cellStyle name="40% - Accent6 2 2" xfId="165" xr:uid="{00000000-0005-0000-0000-000036000000}"/>
    <cellStyle name="40% - Accent6 2 3" xfId="217" xr:uid="{00000000-0005-0000-0000-000037000000}"/>
    <cellStyle name="40% - Accent6 3" xfId="29" xr:uid="{00000000-0005-0000-0000-000038000000}"/>
    <cellStyle name="60% - Accent1 2" xfId="95" xr:uid="{00000000-0005-0000-0000-000039000000}"/>
    <cellStyle name="60% - Accent1 2 2" xfId="218" xr:uid="{00000000-0005-0000-0000-00003A000000}"/>
    <cellStyle name="60% - Accent1 3" xfId="30" xr:uid="{00000000-0005-0000-0000-00003B000000}"/>
    <cellStyle name="60% - Accent2 2" xfId="99" xr:uid="{00000000-0005-0000-0000-00003C000000}"/>
    <cellStyle name="60% - Accent2 2 2" xfId="219" xr:uid="{00000000-0005-0000-0000-00003D000000}"/>
    <cellStyle name="60% - Accent2 3" xfId="31" xr:uid="{00000000-0005-0000-0000-00003E000000}"/>
    <cellStyle name="60% - Accent3 2" xfId="103" xr:uid="{00000000-0005-0000-0000-00003F000000}"/>
    <cellStyle name="60% - Accent3 2 2" xfId="220" xr:uid="{00000000-0005-0000-0000-000040000000}"/>
    <cellStyle name="60% - Accent3 3" xfId="32" xr:uid="{00000000-0005-0000-0000-000041000000}"/>
    <cellStyle name="60% - Accent4 2" xfId="107" xr:uid="{00000000-0005-0000-0000-000042000000}"/>
    <cellStyle name="60% - Accent4 2 2" xfId="221" xr:uid="{00000000-0005-0000-0000-000043000000}"/>
    <cellStyle name="60% - Accent4 3" xfId="33" xr:uid="{00000000-0005-0000-0000-000044000000}"/>
    <cellStyle name="60% - Accent5 2" xfId="111" xr:uid="{00000000-0005-0000-0000-000045000000}"/>
    <cellStyle name="60% - Accent5 2 2" xfId="222" xr:uid="{00000000-0005-0000-0000-000046000000}"/>
    <cellStyle name="60% - Accent5 3" xfId="34" xr:uid="{00000000-0005-0000-0000-000047000000}"/>
    <cellStyle name="60% - Accent6 2" xfId="115" xr:uid="{00000000-0005-0000-0000-000048000000}"/>
    <cellStyle name="60% - Accent6 2 2" xfId="223" xr:uid="{00000000-0005-0000-0000-000049000000}"/>
    <cellStyle name="60% - Accent6 3" xfId="35" xr:uid="{00000000-0005-0000-0000-00004A000000}"/>
    <cellStyle name="Accent1 2" xfId="92" xr:uid="{00000000-0005-0000-0000-00004B000000}"/>
    <cellStyle name="Accent1 2 2" xfId="224" xr:uid="{00000000-0005-0000-0000-00004C000000}"/>
    <cellStyle name="Accent1 3" xfId="36" xr:uid="{00000000-0005-0000-0000-00004D000000}"/>
    <cellStyle name="Accent2 2" xfId="96" xr:uid="{00000000-0005-0000-0000-00004E000000}"/>
    <cellStyle name="Accent2 2 2" xfId="225" xr:uid="{00000000-0005-0000-0000-00004F000000}"/>
    <cellStyle name="Accent2 3" xfId="37" xr:uid="{00000000-0005-0000-0000-000050000000}"/>
    <cellStyle name="Accent3 2" xfId="100" xr:uid="{00000000-0005-0000-0000-000051000000}"/>
    <cellStyle name="Accent3 2 2" xfId="226" xr:uid="{00000000-0005-0000-0000-000052000000}"/>
    <cellStyle name="Accent3 3" xfId="38" xr:uid="{00000000-0005-0000-0000-000053000000}"/>
    <cellStyle name="Accent4 2" xfId="104" xr:uid="{00000000-0005-0000-0000-000054000000}"/>
    <cellStyle name="Accent4 2 2" xfId="227" xr:uid="{00000000-0005-0000-0000-000055000000}"/>
    <cellStyle name="Accent4 3" xfId="39" xr:uid="{00000000-0005-0000-0000-000056000000}"/>
    <cellStyle name="Accent5" xfId="205" builtinId="45" customBuiltin="1"/>
    <cellStyle name="Accent5 2" xfId="108" xr:uid="{00000000-0005-0000-0000-000058000000}"/>
    <cellStyle name="Accent5 3" xfId="40" xr:uid="{00000000-0005-0000-0000-000059000000}"/>
    <cellStyle name="Accent6 2" xfId="112" xr:uid="{00000000-0005-0000-0000-00005A000000}"/>
    <cellStyle name="Accent6 2 2" xfId="228" xr:uid="{00000000-0005-0000-0000-00005B000000}"/>
    <cellStyle name="Accent6 3" xfId="41" xr:uid="{00000000-0005-0000-0000-00005C000000}"/>
    <cellStyle name="Bad 2" xfId="81" xr:uid="{00000000-0005-0000-0000-00005D000000}"/>
    <cellStyle name="Bad 2 2" xfId="229" xr:uid="{00000000-0005-0000-0000-00005E000000}"/>
    <cellStyle name="Bad 3" xfId="42" xr:uid="{00000000-0005-0000-0000-00005F000000}"/>
    <cellStyle name="Calculation 2" xfId="85" xr:uid="{00000000-0005-0000-0000-000060000000}"/>
    <cellStyle name="Calculation 2 2" xfId="230" xr:uid="{00000000-0005-0000-0000-000061000000}"/>
    <cellStyle name="Calculation 3" xfId="43" xr:uid="{00000000-0005-0000-0000-000062000000}"/>
    <cellStyle name="Check Cell" xfId="201" builtinId="23" customBuiltin="1"/>
    <cellStyle name="Check Cell 2" xfId="87" xr:uid="{00000000-0005-0000-0000-000064000000}"/>
    <cellStyle name="Check Cell 3" xfId="44" xr:uid="{00000000-0005-0000-0000-000065000000}"/>
    <cellStyle name="Comma" xfId="1" builtinId="3"/>
    <cellStyle name="Comma 2" xfId="5" xr:uid="{00000000-0005-0000-0000-000067000000}"/>
    <cellStyle name="Comma 2 2" xfId="117" xr:uid="{00000000-0005-0000-0000-000068000000}"/>
    <cellStyle name="Comma 2 2 2" xfId="167" xr:uid="{00000000-0005-0000-0000-000069000000}"/>
    <cellStyle name="Comma 2 3" xfId="232" xr:uid="{00000000-0005-0000-0000-00006A000000}"/>
    <cellStyle name="Comma 2 4" xfId="249" xr:uid="{00000000-0005-0000-0000-00006B000000}"/>
    <cellStyle name="Comma 3" xfId="6" xr:uid="{00000000-0005-0000-0000-00006C000000}"/>
    <cellStyle name="Comma 3 2" xfId="138" xr:uid="{00000000-0005-0000-0000-00006D000000}"/>
    <cellStyle name="Comma 3 2 2" xfId="177" xr:uid="{00000000-0005-0000-0000-00006E000000}"/>
    <cellStyle name="Comma 3 3" xfId="120" xr:uid="{00000000-0005-0000-0000-00006F000000}"/>
    <cellStyle name="Comma 3 3 2" xfId="170" xr:uid="{00000000-0005-0000-0000-000070000000}"/>
    <cellStyle name="Comma 4" xfId="12" xr:uid="{00000000-0005-0000-0000-000071000000}"/>
    <cellStyle name="Comma 4 2" xfId="125" xr:uid="{00000000-0005-0000-0000-000072000000}"/>
    <cellStyle name="Comma 4 2 2" xfId="175" xr:uid="{00000000-0005-0000-0000-000073000000}"/>
    <cellStyle name="Comma 4 3" xfId="150" xr:uid="{00000000-0005-0000-0000-000074000000}"/>
    <cellStyle name="Comma 5" xfId="72" xr:uid="{00000000-0005-0000-0000-000075000000}"/>
    <cellStyle name="Comma 6" xfId="186" xr:uid="{00000000-0005-0000-0000-000076000000}"/>
    <cellStyle name="Comma 7" xfId="231" xr:uid="{00000000-0005-0000-0000-000077000000}"/>
    <cellStyle name="Comma_Horizon 2011 Load Forecast Model  June 25, 2010" xfId="11" xr:uid="{00000000-0005-0000-0000-000079000000}"/>
    <cellStyle name="Comma0" xfId="7" xr:uid="{00000000-0005-0000-0000-00007A000000}"/>
    <cellStyle name="Comma0 2" xfId="180" xr:uid="{00000000-0005-0000-0000-00007B000000}"/>
    <cellStyle name="Currency" xfId="260" builtinId="4"/>
    <cellStyle name="Currency 2" xfId="124" xr:uid="{00000000-0005-0000-0000-00007C000000}"/>
    <cellStyle name="Currency 2 2" xfId="174" xr:uid="{00000000-0005-0000-0000-00007D000000}"/>
    <cellStyle name="Currency 3" xfId="140" xr:uid="{00000000-0005-0000-0000-00007E000000}"/>
    <cellStyle name="Currency 4" xfId="73" xr:uid="{00000000-0005-0000-0000-00007F000000}"/>
    <cellStyle name="Currency 5 2" xfId="259" xr:uid="{B60C3782-4AB4-421A-9BD6-D4E571DF4114}"/>
    <cellStyle name="Currency0" xfId="8" xr:uid="{00000000-0005-0000-0000-000080000000}"/>
    <cellStyle name="Currency0 2" xfId="181" xr:uid="{00000000-0005-0000-0000-000081000000}"/>
    <cellStyle name="Date" xfId="9" xr:uid="{00000000-0005-0000-0000-000082000000}"/>
    <cellStyle name="Date 2" xfId="182" xr:uid="{00000000-0005-0000-0000-000083000000}"/>
    <cellStyle name="Explanatory Text" xfId="203" builtinId="53" customBuiltin="1"/>
    <cellStyle name="Explanatory Text 2" xfId="90" xr:uid="{00000000-0005-0000-0000-000085000000}"/>
    <cellStyle name="Explanatory Text 3" xfId="45" xr:uid="{00000000-0005-0000-0000-000086000000}"/>
    <cellStyle name="Fixed" xfId="10" xr:uid="{00000000-0005-0000-0000-000087000000}"/>
    <cellStyle name="Fixed 2" xfId="183" xr:uid="{00000000-0005-0000-0000-000088000000}"/>
    <cellStyle name="Good 2" xfId="80" xr:uid="{00000000-0005-0000-0000-000089000000}"/>
    <cellStyle name="Good 2 2" xfId="233" xr:uid="{00000000-0005-0000-0000-00008A000000}"/>
    <cellStyle name="Good 3" xfId="46" xr:uid="{00000000-0005-0000-0000-00008B000000}"/>
    <cellStyle name="Grey" xfId="47" xr:uid="{00000000-0005-0000-0000-00008C000000}"/>
    <cellStyle name="Grey 2" xfId="131" xr:uid="{00000000-0005-0000-0000-00008D000000}"/>
    <cellStyle name="Heading 1 2" xfId="76" xr:uid="{00000000-0005-0000-0000-00008E000000}"/>
    <cellStyle name="Heading 1 2 2" xfId="234" xr:uid="{00000000-0005-0000-0000-00008F000000}"/>
    <cellStyle name="Heading 1 3" xfId="48" xr:uid="{00000000-0005-0000-0000-000090000000}"/>
    <cellStyle name="Heading 2 2" xfId="75" xr:uid="{00000000-0005-0000-0000-000091000000}"/>
    <cellStyle name="Heading 2 2 2" xfId="236" xr:uid="{00000000-0005-0000-0000-000092000000}"/>
    <cellStyle name="Heading 2 3" xfId="49" xr:uid="{00000000-0005-0000-0000-000093000000}"/>
    <cellStyle name="Heading 3 2" xfId="78" xr:uid="{00000000-0005-0000-0000-000094000000}"/>
    <cellStyle name="Heading 3 2 2" xfId="237" xr:uid="{00000000-0005-0000-0000-000095000000}"/>
    <cellStyle name="Heading 3 3" xfId="50" xr:uid="{00000000-0005-0000-0000-000096000000}"/>
    <cellStyle name="Heading 4 2" xfId="79" xr:uid="{00000000-0005-0000-0000-000097000000}"/>
    <cellStyle name="Heading 4 2 2" xfId="238" xr:uid="{00000000-0005-0000-0000-000098000000}"/>
    <cellStyle name="Heading 4 3" xfId="51" xr:uid="{00000000-0005-0000-0000-000099000000}"/>
    <cellStyle name="Input [yellow]" xfId="53" xr:uid="{00000000-0005-0000-0000-00009A000000}"/>
    <cellStyle name="Input [yellow] 2" xfId="132" xr:uid="{00000000-0005-0000-0000-00009B000000}"/>
    <cellStyle name="Input 10" xfId="142" xr:uid="{00000000-0005-0000-0000-00009C000000}"/>
    <cellStyle name="Input 11" xfId="184" xr:uid="{00000000-0005-0000-0000-00009D000000}"/>
    <cellStyle name="Input 12" xfId="179" xr:uid="{00000000-0005-0000-0000-00009E000000}"/>
    <cellStyle name="Input 2" xfId="83" xr:uid="{00000000-0005-0000-0000-00009F000000}"/>
    <cellStyle name="Input 2 2" xfId="239" xr:uid="{00000000-0005-0000-0000-0000A0000000}"/>
    <cellStyle name="Input 3" xfId="52" xr:uid="{00000000-0005-0000-0000-0000A1000000}"/>
    <cellStyle name="Input 4" xfId="144" xr:uid="{00000000-0005-0000-0000-0000A2000000}"/>
    <cellStyle name="Input 5" xfId="143" xr:uid="{00000000-0005-0000-0000-0000A3000000}"/>
    <cellStyle name="Input 6" xfId="145" xr:uid="{00000000-0005-0000-0000-0000A4000000}"/>
    <cellStyle name="Input 7" xfId="146" xr:uid="{00000000-0005-0000-0000-0000A5000000}"/>
    <cellStyle name="Input 8" xfId="147" xr:uid="{00000000-0005-0000-0000-0000A6000000}"/>
    <cellStyle name="Input 9" xfId="141" xr:uid="{00000000-0005-0000-0000-0000A7000000}"/>
    <cellStyle name="Linked Cell 2" xfId="86" xr:uid="{00000000-0005-0000-0000-0000A8000000}"/>
    <cellStyle name="Linked Cell 2 2" xfId="240" xr:uid="{00000000-0005-0000-0000-0000A9000000}"/>
    <cellStyle name="Linked Cell 3" xfId="54" xr:uid="{00000000-0005-0000-0000-0000AA000000}"/>
    <cellStyle name="M" xfId="55" xr:uid="{00000000-0005-0000-0000-0000AB000000}"/>
    <cellStyle name="M.00" xfId="56" xr:uid="{00000000-0005-0000-0000-0000AC000000}"/>
    <cellStyle name="M_9. Rev2Cost_GDPIPI" xfId="133" xr:uid="{00000000-0005-0000-0000-0000AD000000}"/>
    <cellStyle name="M_lists" xfId="134" xr:uid="{00000000-0005-0000-0000-0000AE000000}"/>
    <cellStyle name="M_lists_4. Current Monthly Fixed Charge" xfId="135" xr:uid="{00000000-0005-0000-0000-0000AF000000}"/>
    <cellStyle name="M_Sheet4" xfId="136" xr:uid="{00000000-0005-0000-0000-0000B0000000}"/>
    <cellStyle name="Neutral 2" xfId="82" xr:uid="{00000000-0005-0000-0000-0000B1000000}"/>
    <cellStyle name="Neutral 2 2" xfId="241" xr:uid="{00000000-0005-0000-0000-0000B2000000}"/>
    <cellStyle name="Neutral 3" xfId="57" xr:uid="{00000000-0005-0000-0000-0000B3000000}"/>
    <cellStyle name="Normal" xfId="0" builtinId="0"/>
    <cellStyle name="Normal - Style1" xfId="58" xr:uid="{00000000-0005-0000-0000-0000B5000000}"/>
    <cellStyle name="Normal 10" xfId="199" xr:uid="{00000000-0005-0000-0000-0000B6000000}"/>
    <cellStyle name="Normal 11" xfId="207" xr:uid="{00000000-0005-0000-0000-0000B7000000}"/>
    <cellStyle name="Normal 12" xfId="235" xr:uid="{00000000-0005-0000-0000-0000B8000000}"/>
    <cellStyle name="Normal 13" xfId="254" xr:uid="{00000000-0005-0000-0000-0000B9000000}"/>
    <cellStyle name="Normal 14" xfId="248" xr:uid="{00000000-0005-0000-0000-0000BA000000}"/>
    <cellStyle name="Normal 2" xfId="4" xr:uid="{00000000-0005-0000-0000-0000BB000000}"/>
    <cellStyle name="Normal 2 2" xfId="194" xr:uid="{00000000-0005-0000-0000-0000BC000000}"/>
    <cellStyle name="Normal 2 2 2" xfId="255" xr:uid="{00000000-0005-0000-0000-0000BD000000}"/>
    <cellStyle name="Normal 2 3" xfId="251" xr:uid="{00000000-0005-0000-0000-0000BE000000}"/>
    <cellStyle name="Normal 3" xfId="77" xr:uid="{00000000-0005-0000-0000-0000BF000000}"/>
    <cellStyle name="Normal 3 2" xfId="152" xr:uid="{00000000-0005-0000-0000-0000C0000000}"/>
    <cellStyle name="Normal 3 3" xfId="196" xr:uid="{00000000-0005-0000-0000-0000C1000000}"/>
    <cellStyle name="Normal 3 4" xfId="252" xr:uid="{00000000-0005-0000-0000-0000C2000000}"/>
    <cellStyle name="Normal 4" xfId="116" xr:uid="{00000000-0005-0000-0000-0000C3000000}"/>
    <cellStyle name="Normal 4 2" xfId="166" xr:uid="{00000000-0005-0000-0000-0000C4000000}"/>
    <cellStyle name="Normal 4 2 2" xfId="258" xr:uid="{BC3DE88D-A8F1-4419-A3A8-FF290E740818}"/>
    <cellStyle name="Normal 4 3" xfId="197" xr:uid="{00000000-0005-0000-0000-0000C5000000}"/>
    <cellStyle name="Normal 5" xfId="119" xr:uid="{00000000-0005-0000-0000-0000C6000000}"/>
    <cellStyle name="Normal 5 2" xfId="137" xr:uid="{00000000-0005-0000-0000-0000C7000000}"/>
    <cellStyle name="Normal 5 2 2" xfId="176" xr:uid="{00000000-0005-0000-0000-0000C8000000}"/>
    <cellStyle name="Normal 5 2 3" xfId="200" xr:uid="{00000000-0005-0000-0000-0000C9000000}"/>
    <cellStyle name="Normal 5 2 3 2" xfId="256" xr:uid="{00000000-0005-0000-0000-0000CA000000}"/>
    <cellStyle name="Normal 5 2 3 2 2" xfId="261" xr:uid="{CD6EB9CA-4476-4AD9-863F-084B75D18BE5}"/>
    <cellStyle name="Normal 5 3" xfId="169" xr:uid="{00000000-0005-0000-0000-0000CB000000}"/>
    <cellStyle name="Normal 6" xfId="122" xr:uid="{00000000-0005-0000-0000-0000CC000000}"/>
    <cellStyle name="Normal 6 2" xfId="172" xr:uid="{00000000-0005-0000-0000-0000CD000000}"/>
    <cellStyle name="Normal 7" xfId="71" xr:uid="{00000000-0005-0000-0000-0000CE000000}"/>
    <cellStyle name="Normal 8" xfId="148" xr:uid="{00000000-0005-0000-0000-0000CF000000}"/>
    <cellStyle name="Normal 9" xfId="198" xr:uid="{00000000-0005-0000-0000-0000D0000000}"/>
    <cellStyle name="Normal_OEB Trial Balance - Regulatory-July24-07" xfId="59" xr:uid="{00000000-0005-0000-0000-0000D1000000}"/>
    <cellStyle name="Normal_Sheet2" xfId="60" xr:uid="{00000000-0005-0000-0000-0000D2000000}"/>
    <cellStyle name="Note 2" xfId="89" xr:uid="{00000000-0005-0000-0000-0000D3000000}"/>
    <cellStyle name="Note 2 2" xfId="153" xr:uid="{00000000-0005-0000-0000-0000D4000000}"/>
    <cellStyle name="Note 2 3" xfId="242" xr:uid="{00000000-0005-0000-0000-0000D5000000}"/>
    <cellStyle name="Note 3" xfId="61" xr:uid="{00000000-0005-0000-0000-0000D6000000}"/>
    <cellStyle name="Note 3 2" xfId="243" xr:uid="{00000000-0005-0000-0000-0000D7000000}"/>
    <cellStyle name="Note 4" xfId="185" xr:uid="{00000000-0005-0000-0000-0000D8000000}"/>
    <cellStyle name="Output 2" xfId="84" xr:uid="{00000000-0005-0000-0000-0000D9000000}"/>
    <cellStyle name="Output 2 2" xfId="244" xr:uid="{00000000-0005-0000-0000-0000DA000000}"/>
    <cellStyle name="Output 3" xfId="62" xr:uid="{00000000-0005-0000-0000-0000DB000000}"/>
    <cellStyle name="Percent" xfId="2" builtinId="5"/>
    <cellStyle name="Percent [2]" xfId="63" xr:uid="{00000000-0005-0000-0000-0000DD000000}"/>
    <cellStyle name="Percent 10" xfId="192" xr:uid="{00000000-0005-0000-0000-0000DE000000}"/>
    <cellStyle name="Percent 11" xfId="193" xr:uid="{00000000-0005-0000-0000-0000DF000000}"/>
    <cellStyle name="Percent 12" xfId="245" xr:uid="{00000000-0005-0000-0000-0000E0000000}"/>
    <cellStyle name="Percent 13" xfId="253" xr:uid="{00000000-0005-0000-0000-0000E1000000}"/>
    <cellStyle name="Percent 14" xfId="250" xr:uid="{00000000-0005-0000-0000-0000E2000000}"/>
    <cellStyle name="Percent 2" xfId="13" xr:uid="{00000000-0005-0000-0000-0000E3000000}"/>
    <cellStyle name="Percent 2 2" xfId="118" xr:uid="{00000000-0005-0000-0000-0000E4000000}"/>
    <cellStyle name="Percent 2 2 2" xfId="168" xr:uid="{00000000-0005-0000-0000-0000E5000000}"/>
    <cellStyle name="Percent 2 3" xfId="151" xr:uid="{00000000-0005-0000-0000-0000E6000000}"/>
    <cellStyle name="Percent 2 4" xfId="195" xr:uid="{00000000-0005-0000-0000-0000E7000000}"/>
    <cellStyle name="Percent 3" xfId="121" xr:uid="{00000000-0005-0000-0000-0000E8000000}"/>
    <cellStyle name="Percent 3 2" xfId="139" xr:uid="{00000000-0005-0000-0000-0000E9000000}"/>
    <cellStyle name="Percent 3 2 2" xfId="178" xr:uid="{00000000-0005-0000-0000-0000EA000000}"/>
    <cellStyle name="Percent 3 3" xfId="171" xr:uid="{00000000-0005-0000-0000-0000EB000000}"/>
    <cellStyle name="Percent 4" xfId="123" xr:uid="{00000000-0005-0000-0000-0000EC000000}"/>
    <cellStyle name="Percent 4 2" xfId="173" xr:uid="{00000000-0005-0000-0000-0000ED000000}"/>
    <cellStyle name="Percent 5" xfId="187" xr:uid="{00000000-0005-0000-0000-0000EE000000}"/>
    <cellStyle name="Percent 5 2" xfId="257" xr:uid="{00000000-0005-0000-0000-0000EF000000}"/>
    <cellStyle name="Percent 6" xfId="188" xr:uid="{00000000-0005-0000-0000-0000F0000000}"/>
    <cellStyle name="Percent 7" xfId="189" xr:uid="{00000000-0005-0000-0000-0000F1000000}"/>
    <cellStyle name="Percent 8" xfId="190" xr:uid="{00000000-0005-0000-0000-0000F2000000}"/>
    <cellStyle name="Percent 9" xfId="191" xr:uid="{00000000-0005-0000-0000-0000F3000000}"/>
    <cellStyle name="Style 23" xfId="3" xr:uid="{00000000-0005-0000-0000-0000F4000000}"/>
    <cellStyle name="Style 23 2" xfId="149" xr:uid="{00000000-0005-0000-0000-0000F5000000}"/>
    <cellStyle name="STYLE1" xfId="64" xr:uid="{00000000-0005-0000-0000-0000F6000000}"/>
    <cellStyle name="STYLE2" xfId="65" xr:uid="{00000000-0005-0000-0000-0000F7000000}"/>
    <cellStyle name="STYLE4" xfId="66" xr:uid="{00000000-0005-0000-0000-0000F8000000}"/>
    <cellStyle name="Subtotal" xfId="67" xr:uid="{00000000-0005-0000-0000-0000F9000000}"/>
    <cellStyle name="Title 2" xfId="74" xr:uid="{00000000-0005-0000-0000-0000FA000000}"/>
    <cellStyle name="Title 2 2" xfId="246" xr:uid="{00000000-0005-0000-0000-0000FB000000}"/>
    <cellStyle name="Title 3" xfId="68" xr:uid="{00000000-0005-0000-0000-0000FC000000}"/>
    <cellStyle name="Total 2" xfId="91" xr:uid="{00000000-0005-0000-0000-0000FD000000}"/>
    <cellStyle name="Total 2 2" xfId="247" xr:uid="{00000000-0005-0000-0000-0000FE000000}"/>
    <cellStyle name="Total 3" xfId="69" xr:uid="{00000000-0005-0000-0000-0000FF000000}"/>
    <cellStyle name="Warning Text" xfId="202" builtinId="11" customBuiltin="1"/>
    <cellStyle name="Warning Text 2" xfId="88" xr:uid="{00000000-0005-0000-0000-000001010000}"/>
    <cellStyle name="Warning Text 3" xfId="70" xr:uid="{00000000-0005-0000-0000-000002010000}"/>
  </cellStyles>
  <dxfs count="0"/>
  <tableStyles count="0" defaultTableStyle="TableStyleMedium2" defaultPivotStyle="PivotStyleLight16"/>
  <colors>
    <mruColors>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xtranet.blg.com/LDC%20FTY%20-%20LF/CostAllocation.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file:///C:\Documents%20and%20Settings\bbacon\My%20Documents\Orillia\2010%20Rates\2010%20Rate%20File%20-%20July%202,%202009\Documents%20and%20Settings\mmaw\Local%20Settings\Temporary%20Internet%20Files\OLKBC\Exhibit%203%20Distribution%20Revenue%20Throughputs%20-%20Blank.xls?9891282D" TargetMode="External"/><Relationship Id="rId1" Type="http://schemas.openxmlformats.org/officeDocument/2006/relationships/externalLinkPath" Target="file:///\\9891282D\Exhibit%203%20Distribution%20Revenue%20Throughputs%20-%20Blan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bbacon\My%20Documents\Orillia\2010%20Rates\2010%20Rate%20File%20-%20July%202,%202009\Documents%20and%20Settings\phurley\Desktop\Lakeland%20Rate%20App\LPDL_2009%20Revenue%20Require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xtranet.blg.com/Documents%20and%20Settings/bbacon/My%20Documents/Orillia/2010%20Rates/2010%20Rate%20File%20-%20July%202,%202009/Documents%20and%20Settings/phurley/Desktop/Lakeland%20Rate%20App/LPDL_2009%20Revenue%20Require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blg.com/Documents/Richmond%20Hill/Year%20End/RHH96YE_%20MEA%20Statistic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xtranet.blg.com/Documents%20and%20Settings/dg/Desktop/Dummy%20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xtranet.blg.com/Documents%20and%20Settings/CCalhoun/Local%20Settings/Temporary%20Internet%20Files/Content.Outlook/EIW673TU/Documents%20and%20Settings/dferraro/Local%20Settings/Temporary%20Internet%20Files/OLKB/Dummy%20Fi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Tennant\Return%20on%20Equity%20and%20WC\RateMak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xtranet.blg.com/CTennant/Return%20on%20Equity%20and%20WC/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row r="13">
          <cell r="C13">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0">
          <cell r="C10" t="str">
            <v xml:space="preserve">_x000D_
</v>
          </cell>
        </row>
        <row r="12">
          <cell r="C12" t="str">
            <v>2006 EDR Approved</v>
          </cell>
        </row>
        <row r="14">
          <cell r="C14" t="str">
            <v> </v>
          </cell>
        </row>
      </sheetData>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310C-5740-47A8-B55F-5334DE39F8CA}">
  <sheetPr codeName="Sheet1">
    <pageSetUpPr fitToPage="1"/>
  </sheetPr>
  <dimension ref="A1:U702"/>
  <sheetViews>
    <sheetView tabSelected="1" zoomScale="85" zoomScaleNormal="85" workbookViewId="0"/>
  </sheetViews>
  <sheetFormatPr defaultRowHeight="15.75" x14ac:dyDescent="0.25"/>
  <cols>
    <col min="1" max="1" width="29.7109375" style="324" customWidth="1"/>
    <col min="2" max="12" width="15.42578125" style="324" customWidth="1"/>
    <col min="13" max="13" width="16" style="324" customWidth="1"/>
    <col min="14" max="20" width="16.5703125" style="324" customWidth="1"/>
    <col min="21" max="21" width="9.85546875" style="324" customWidth="1"/>
    <col min="22" max="22" width="9.140625" style="324"/>
    <col min="23" max="23" width="14.140625" style="324" customWidth="1"/>
    <col min="24" max="26" width="12.7109375" style="324" bestFit="1" customWidth="1"/>
    <col min="27" max="27" width="12.42578125" style="324" bestFit="1" customWidth="1"/>
    <col min="28" max="28" width="10.28515625" style="324" bestFit="1" customWidth="1"/>
    <col min="29" max="29" width="12.42578125" style="324" bestFit="1" customWidth="1"/>
    <col min="30" max="30" width="10.28515625" style="324" bestFit="1" customWidth="1"/>
    <col min="31" max="233" width="9.140625" style="324"/>
    <col min="234" max="234" width="26.85546875" style="324" customWidth="1"/>
    <col min="235" max="235" width="0" style="324" hidden="1" customWidth="1"/>
    <col min="236" max="236" width="12.42578125" style="324" customWidth="1"/>
    <col min="237" max="238" width="11.140625" style="324" customWidth="1"/>
    <col min="239" max="239" width="12.140625" style="324" customWidth="1"/>
    <col min="240" max="240" width="14" style="324" customWidth="1"/>
    <col min="241" max="241" width="12.5703125" style="324" customWidth="1"/>
    <col min="242" max="243" width="13.140625" style="324" customWidth="1"/>
    <col min="244" max="245" width="9.140625" style="324"/>
    <col min="246" max="246" width="11" style="324" customWidth="1"/>
    <col min="247" max="489" width="9.140625" style="324"/>
    <col min="490" max="490" width="26.85546875" style="324" customWidth="1"/>
    <col min="491" max="491" width="0" style="324" hidden="1" customWidth="1"/>
    <col min="492" max="492" width="12.42578125" style="324" customWidth="1"/>
    <col min="493" max="494" width="11.140625" style="324" customWidth="1"/>
    <col min="495" max="495" width="12.140625" style="324" customWidth="1"/>
    <col min="496" max="496" width="14" style="324" customWidth="1"/>
    <col min="497" max="497" width="12.5703125" style="324" customWidth="1"/>
    <col min="498" max="499" width="13.140625" style="324" customWidth="1"/>
    <col min="500" max="501" width="9.140625" style="324"/>
    <col min="502" max="502" width="11" style="324" customWidth="1"/>
    <col min="503" max="745" width="9.140625" style="324"/>
    <col min="746" max="746" width="26.85546875" style="324" customWidth="1"/>
    <col min="747" max="747" width="0" style="324" hidden="1" customWidth="1"/>
    <col min="748" max="748" width="12.42578125" style="324" customWidth="1"/>
    <col min="749" max="750" width="11.140625" style="324" customWidth="1"/>
    <col min="751" max="751" width="12.140625" style="324" customWidth="1"/>
    <col min="752" max="752" width="14" style="324" customWidth="1"/>
    <col min="753" max="753" width="12.5703125" style="324" customWidth="1"/>
    <col min="754" max="755" width="13.140625" style="324" customWidth="1"/>
    <col min="756" max="757" width="9.140625" style="324"/>
    <col min="758" max="758" width="11" style="324" customWidth="1"/>
    <col min="759" max="1001" width="9.140625" style="324"/>
    <col min="1002" max="1002" width="26.85546875" style="324" customWidth="1"/>
    <col min="1003" max="1003" width="0" style="324" hidden="1" customWidth="1"/>
    <col min="1004" max="1004" width="12.42578125" style="324" customWidth="1"/>
    <col min="1005" max="1006" width="11.140625" style="324" customWidth="1"/>
    <col min="1007" max="1007" width="12.140625" style="324" customWidth="1"/>
    <col min="1008" max="1008" width="14" style="324" customWidth="1"/>
    <col min="1009" max="1009" width="12.5703125" style="324" customWidth="1"/>
    <col min="1010" max="1011" width="13.140625" style="324" customWidth="1"/>
    <col min="1012" max="1013" width="9.140625" style="324"/>
    <col min="1014" max="1014" width="11" style="324" customWidth="1"/>
    <col min="1015" max="1257" width="9.140625" style="324"/>
    <col min="1258" max="1258" width="26.85546875" style="324" customWidth="1"/>
    <col min="1259" max="1259" width="0" style="324" hidden="1" customWidth="1"/>
    <col min="1260" max="1260" width="12.42578125" style="324" customWidth="1"/>
    <col min="1261" max="1262" width="11.140625" style="324" customWidth="1"/>
    <col min="1263" max="1263" width="12.140625" style="324" customWidth="1"/>
    <col min="1264" max="1264" width="14" style="324" customWidth="1"/>
    <col min="1265" max="1265" width="12.5703125" style="324" customWidth="1"/>
    <col min="1266" max="1267" width="13.140625" style="324" customWidth="1"/>
    <col min="1268" max="1269" width="9.140625" style="324"/>
    <col min="1270" max="1270" width="11" style="324" customWidth="1"/>
    <col min="1271" max="1513" width="9.140625" style="324"/>
    <col min="1514" max="1514" width="26.85546875" style="324" customWidth="1"/>
    <col min="1515" max="1515" width="0" style="324" hidden="1" customWidth="1"/>
    <col min="1516" max="1516" width="12.42578125" style="324" customWidth="1"/>
    <col min="1517" max="1518" width="11.140625" style="324" customWidth="1"/>
    <col min="1519" max="1519" width="12.140625" style="324" customWidth="1"/>
    <col min="1520" max="1520" width="14" style="324" customWidth="1"/>
    <col min="1521" max="1521" width="12.5703125" style="324" customWidth="1"/>
    <col min="1522" max="1523" width="13.140625" style="324" customWidth="1"/>
    <col min="1524" max="1525" width="9.140625" style="324"/>
    <col min="1526" max="1526" width="11" style="324" customWidth="1"/>
    <col min="1527" max="1769" width="9.140625" style="324"/>
    <col min="1770" max="1770" width="26.85546875" style="324" customWidth="1"/>
    <col min="1771" max="1771" width="0" style="324" hidden="1" customWidth="1"/>
    <col min="1772" max="1772" width="12.42578125" style="324" customWidth="1"/>
    <col min="1773" max="1774" width="11.140625" style="324" customWidth="1"/>
    <col min="1775" max="1775" width="12.140625" style="324" customWidth="1"/>
    <col min="1776" max="1776" width="14" style="324" customWidth="1"/>
    <col min="1777" max="1777" width="12.5703125" style="324" customWidth="1"/>
    <col min="1778" max="1779" width="13.140625" style="324" customWidth="1"/>
    <col min="1780" max="1781" width="9.140625" style="324"/>
    <col min="1782" max="1782" width="11" style="324" customWidth="1"/>
    <col min="1783" max="2025" width="9.140625" style="324"/>
    <col min="2026" max="2026" width="26.85546875" style="324" customWidth="1"/>
    <col min="2027" max="2027" width="0" style="324" hidden="1" customWidth="1"/>
    <col min="2028" max="2028" width="12.42578125" style="324" customWidth="1"/>
    <col min="2029" max="2030" width="11.140625" style="324" customWidth="1"/>
    <col min="2031" max="2031" width="12.140625" style="324" customWidth="1"/>
    <col min="2032" max="2032" width="14" style="324" customWidth="1"/>
    <col min="2033" max="2033" width="12.5703125" style="324" customWidth="1"/>
    <col min="2034" max="2035" width="13.140625" style="324" customWidth="1"/>
    <col min="2036" max="2037" width="9.140625" style="324"/>
    <col min="2038" max="2038" width="11" style="324" customWidth="1"/>
    <col min="2039" max="2281" width="9.140625" style="324"/>
    <col min="2282" max="2282" width="26.85546875" style="324" customWidth="1"/>
    <col min="2283" max="2283" width="0" style="324" hidden="1" customWidth="1"/>
    <col min="2284" max="2284" width="12.42578125" style="324" customWidth="1"/>
    <col min="2285" max="2286" width="11.140625" style="324" customWidth="1"/>
    <col min="2287" max="2287" width="12.140625" style="324" customWidth="1"/>
    <col min="2288" max="2288" width="14" style="324" customWidth="1"/>
    <col min="2289" max="2289" width="12.5703125" style="324" customWidth="1"/>
    <col min="2290" max="2291" width="13.140625" style="324" customWidth="1"/>
    <col min="2292" max="2293" width="9.140625" style="324"/>
    <col min="2294" max="2294" width="11" style="324" customWidth="1"/>
    <col min="2295" max="2537" width="9.140625" style="324"/>
    <col min="2538" max="2538" width="26.85546875" style="324" customWidth="1"/>
    <col min="2539" max="2539" width="0" style="324" hidden="1" customWidth="1"/>
    <col min="2540" max="2540" width="12.42578125" style="324" customWidth="1"/>
    <col min="2541" max="2542" width="11.140625" style="324" customWidth="1"/>
    <col min="2543" max="2543" width="12.140625" style="324" customWidth="1"/>
    <col min="2544" max="2544" width="14" style="324" customWidth="1"/>
    <col min="2545" max="2545" width="12.5703125" style="324" customWidth="1"/>
    <col min="2546" max="2547" width="13.140625" style="324" customWidth="1"/>
    <col min="2548" max="2549" width="9.140625" style="324"/>
    <col min="2550" max="2550" width="11" style="324" customWidth="1"/>
    <col min="2551" max="2793" width="9.140625" style="324"/>
    <col min="2794" max="2794" width="26.85546875" style="324" customWidth="1"/>
    <col min="2795" max="2795" width="0" style="324" hidden="1" customWidth="1"/>
    <col min="2796" max="2796" width="12.42578125" style="324" customWidth="1"/>
    <col min="2797" max="2798" width="11.140625" style="324" customWidth="1"/>
    <col min="2799" max="2799" width="12.140625" style="324" customWidth="1"/>
    <col min="2800" max="2800" width="14" style="324" customWidth="1"/>
    <col min="2801" max="2801" width="12.5703125" style="324" customWidth="1"/>
    <col min="2802" max="2803" width="13.140625" style="324" customWidth="1"/>
    <col min="2804" max="2805" width="9.140625" style="324"/>
    <col min="2806" max="2806" width="11" style="324" customWidth="1"/>
    <col min="2807" max="3049" width="9.140625" style="324"/>
    <col min="3050" max="3050" width="26.85546875" style="324" customWidth="1"/>
    <col min="3051" max="3051" width="0" style="324" hidden="1" customWidth="1"/>
    <col min="3052" max="3052" width="12.42578125" style="324" customWidth="1"/>
    <col min="3053" max="3054" width="11.140625" style="324" customWidth="1"/>
    <col min="3055" max="3055" width="12.140625" style="324" customWidth="1"/>
    <col min="3056" max="3056" width="14" style="324" customWidth="1"/>
    <col min="3057" max="3057" width="12.5703125" style="324" customWidth="1"/>
    <col min="3058" max="3059" width="13.140625" style="324" customWidth="1"/>
    <col min="3060" max="3061" width="9.140625" style="324"/>
    <col min="3062" max="3062" width="11" style="324" customWidth="1"/>
    <col min="3063" max="3305" width="9.140625" style="324"/>
    <col min="3306" max="3306" width="26.85546875" style="324" customWidth="1"/>
    <col min="3307" max="3307" width="0" style="324" hidden="1" customWidth="1"/>
    <col min="3308" max="3308" width="12.42578125" style="324" customWidth="1"/>
    <col min="3309" max="3310" width="11.140625" style="324" customWidth="1"/>
    <col min="3311" max="3311" width="12.140625" style="324" customWidth="1"/>
    <col min="3312" max="3312" width="14" style="324" customWidth="1"/>
    <col min="3313" max="3313" width="12.5703125" style="324" customWidth="1"/>
    <col min="3314" max="3315" width="13.140625" style="324" customWidth="1"/>
    <col min="3316" max="3317" width="9.140625" style="324"/>
    <col min="3318" max="3318" width="11" style="324" customWidth="1"/>
    <col min="3319" max="3561" width="9.140625" style="324"/>
    <col min="3562" max="3562" width="26.85546875" style="324" customWidth="1"/>
    <col min="3563" max="3563" width="0" style="324" hidden="1" customWidth="1"/>
    <col min="3564" max="3564" width="12.42578125" style="324" customWidth="1"/>
    <col min="3565" max="3566" width="11.140625" style="324" customWidth="1"/>
    <col min="3567" max="3567" width="12.140625" style="324" customWidth="1"/>
    <col min="3568" max="3568" width="14" style="324" customWidth="1"/>
    <col min="3569" max="3569" width="12.5703125" style="324" customWidth="1"/>
    <col min="3570" max="3571" width="13.140625" style="324" customWidth="1"/>
    <col min="3572" max="3573" width="9.140625" style="324"/>
    <col min="3574" max="3574" width="11" style="324" customWidth="1"/>
    <col min="3575" max="3817" width="9.140625" style="324"/>
    <col min="3818" max="3818" width="26.85546875" style="324" customWidth="1"/>
    <col min="3819" max="3819" width="0" style="324" hidden="1" customWidth="1"/>
    <col min="3820" max="3820" width="12.42578125" style="324" customWidth="1"/>
    <col min="3821" max="3822" width="11.140625" style="324" customWidth="1"/>
    <col min="3823" max="3823" width="12.140625" style="324" customWidth="1"/>
    <col min="3824" max="3824" width="14" style="324" customWidth="1"/>
    <col min="3825" max="3825" width="12.5703125" style="324" customWidth="1"/>
    <col min="3826" max="3827" width="13.140625" style="324" customWidth="1"/>
    <col min="3828" max="3829" width="9.140625" style="324"/>
    <col min="3830" max="3830" width="11" style="324" customWidth="1"/>
    <col min="3831" max="4073" width="9.140625" style="324"/>
    <col min="4074" max="4074" width="26.85546875" style="324" customWidth="1"/>
    <col min="4075" max="4075" width="0" style="324" hidden="1" customWidth="1"/>
    <col min="4076" max="4076" width="12.42578125" style="324" customWidth="1"/>
    <col min="4077" max="4078" width="11.140625" style="324" customWidth="1"/>
    <col min="4079" max="4079" width="12.140625" style="324" customWidth="1"/>
    <col min="4080" max="4080" width="14" style="324" customWidth="1"/>
    <col min="4081" max="4081" width="12.5703125" style="324" customWidth="1"/>
    <col min="4082" max="4083" width="13.140625" style="324" customWidth="1"/>
    <col min="4084" max="4085" width="9.140625" style="324"/>
    <col min="4086" max="4086" width="11" style="324" customWidth="1"/>
    <col min="4087" max="4329" width="9.140625" style="324"/>
    <col min="4330" max="4330" width="26.85546875" style="324" customWidth="1"/>
    <col min="4331" max="4331" width="0" style="324" hidden="1" customWidth="1"/>
    <col min="4332" max="4332" width="12.42578125" style="324" customWidth="1"/>
    <col min="4333" max="4334" width="11.140625" style="324" customWidth="1"/>
    <col min="4335" max="4335" width="12.140625" style="324" customWidth="1"/>
    <col min="4336" max="4336" width="14" style="324" customWidth="1"/>
    <col min="4337" max="4337" width="12.5703125" style="324" customWidth="1"/>
    <col min="4338" max="4339" width="13.140625" style="324" customWidth="1"/>
    <col min="4340" max="4341" width="9.140625" style="324"/>
    <col min="4342" max="4342" width="11" style="324" customWidth="1"/>
    <col min="4343" max="4585" width="9.140625" style="324"/>
    <col min="4586" max="4586" width="26.85546875" style="324" customWidth="1"/>
    <col min="4587" max="4587" width="0" style="324" hidden="1" customWidth="1"/>
    <col min="4588" max="4588" width="12.42578125" style="324" customWidth="1"/>
    <col min="4589" max="4590" width="11.140625" style="324" customWidth="1"/>
    <col min="4591" max="4591" width="12.140625" style="324" customWidth="1"/>
    <col min="4592" max="4592" width="14" style="324" customWidth="1"/>
    <col min="4593" max="4593" width="12.5703125" style="324" customWidth="1"/>
    <col min="4594" max="4595" width="13.140625" style="324" customWidth="1"/>
    <col min="4596" max="4597" width="9.140625" style="324"/>
    <col min="4598" max="4598" width="11" style="324" customWidth="1"/>
    <col min="4599" max="4841" width="9.140625" style="324"/>
    <col min="4842" max="4842" width="26.85546875" style="324" customWidth="1"/>
    <col min="4843" max="4843" width="0" style="324" hidden="1" customWidth="1"/>
    <col min="4844" max="4844" width="12.42578125" style="324" customWidth="1"/>
    <col min="4845" max="4846" width="11.140625" style="324" customWidth="1"/>
    <col min="4847" max="4847" width="12.140625" style="324" customWidth="1"/>
    <col min="4848" max="4848" width="14" style="324" customWidth="1"/>
    <col min="4849" max="4849" width="12.5703125" style="324" customWidth="1"/>
    <col min="4850" max="4851" width="13.140625" style="324" customWidth="1"/>
    <col min="4852" max="4853" width="9.140625" style="324"/>
    <col min="4854" max="4854" width="11" style="324" customWidth="1"/>
    <col min="4855" max="5097" width="9.140625" style="324"/>
    <col min="5098" max="5098" width="26.85546875" style="324" customWidth="1"/>
    <col min="5099" max="5099" width="0" style="324" hidden="1" customWidth="1"/>
    <col min="5100" max="5100" width="12.42578125" style="324" customWidth="1"/>
    <col min="5101" max="5102" width="11.140625" style="324" customWidth="1"/>
    <col min="5103" max="5103" width="12.140625" style="324" customWidth="1"/>
    <col min="5104" max="5104" width="14" style="324" customWidth="1"/>
    <col min="5105" max="5105" width="12.5703125" style="324" customWidth="1"/>
    <col min="5106" max="5107" width="13.140625" style="324" customWidth="1"/>
    <col min="5108" max="5109" width="9.140625" style="324"/>
    <col min="5110" max="5110" width="11" style="324" customWidth="1"/>
    <col min="5111" max="5353" width="9.140625" style="324"/>
    <col min="5354" max="5354" width="26.85546875" style="324" customWidth="1"/>
    <col min="5355" max="5355" width="0" style="324" hidden="1" customWidth="1"/>
    <col min="5356" max="5356" width="12.42578125" style="324" customWidth="1"/>
    <col min="5357" max="5358" width="11.140625" style="324" customWidth="1"/>
    <col min="5359" max="5359" width="12.140625" style="324" customWidth="1"/>
    <col min="5360" max="5360" width="14" style="324" customWidth="1"/>
    <col min="5361" max="5361" width="12.5703125" style="324" customWidth="1"/>
    <col min="5362" max="5363" width="13.140625" style="324" customWidth="1"/>
    <col min="5364" max="5365" width="9.140625" style="324"/>
    <col min="5366" max="5366" width="11" style="324" customWidth="1"/>
    <col min="5367" max="5609" width="9.140625" style="324"/>
    <col min="5610" max="5610" width="26.85546875" style="324" customWidth="1"/>
    <col min="5611" max="5611" width="0" style="324" hidden="1" customWidth="1"/>
    <col min="5612" max="5612" width="12.42578125" style="324" customWidth="1"/>
    <col min="5613" max="5614" width="11.140625" style="324" customWidth="1"/>
    <col min="5615" max="5615" width="12.140625" style="324" customWidth="1"/>
    <col min="5616" max="5616" width="14" style="324" customWidth="1"/>
    <col min="5617" max="5617" width="12.5703125" style="324" customWidth="1"/>
    <col min="5618" max="5619" width="13.140625" style="324" customWidth="1"/>
    <col min="5620" max="5621" width="9.140625" style="324"/>
    <col min="5622" max="5622" width="11" style="324" customWidth="1"/>
    <col min="5623" max="5865" width="9.140625" style="324"/>
    <col min="5866" max="5866" width="26.85546875" style="324" customWidth="1"/>
    <col min="5867" max="5867" width="0" style="324" hidden="1" customWidth="1"/>
    <col min="5868" max="5868" width="12.42578125" style="324" customWidth="1"/>
    <col min="5869" max="5870" width="11.140625" style="324" customWidth="1"/>
    <col min="5871" max="5871" width="12.140625" style="324" customWidth="1"/>
    <col min="5872" max="5872" width="14" style="324" customWidth="1"/>
    <col min="5873" max="5873" width="12.5703125" style="324" customWidth="1"/>
    <col min="5874" max="5875" width="13.140625" style="324" customWidth="1"/>
    <col min="5876" max="5877" width="9.140625" style="324"/>
    <col min="5878" max="5878" width="11" style="324" customWidth="1"/>
    <col min="5879" max="6121" width="9.140625" style="324"/>
    <col min="6122" max="6122" width="26.85546875" style="324" customWidth="1"/>
    <col min="6123" max="6123" width="0" style="324" hidden="1" customWidth="1"/>
    <col min="6124" max="6124" width="12.42578125" style="324" customWidth="1"/>
    <col min="6125" max="6126" width="11.140625" style="324" customWidth="1"/>
    <col min="6127" max="6127" width="12.140625" style="324" customWidth="1"/>
    <col min="6128" max="6128" width="14" style="324" customWidth="1"/>
    <col min="6129" max="6129" width="12.5703125" style="324" customWidth="1"/>
    <col min="6130" max="6131" width="13.140625" style="324" customWidth="1"/>
    <col min="6132" max="6133" width="9.140625" style="324"/>
    <col min="6134" max="6134" width="11" style="324" customWidth="1"/>
    <col min="6135" max="6377" width="9.140625" style="324"/>
    <col min="6378" max="6378" width="26.85546875" style="324" customWidth="1"/>
    <col min="6379" max="6379" width="0" style="324" hidden="1" customWidth="1"/>
    <col min="6380" max="6380" width="12.42578125" style="324" customWidth="1"/>
    <col min="6381" max="6382" width="11.140625" style="324" customWidth="1"/>
    <col min="6383" max="6383" width="12.140625" style="324" customWidth="1"/>
    <col min="6384" max="6384" width="14" style="324" customWidth="1"/>
    <col min="6385" max="6385" width="12.5703125" style="324" customWidth="1"/>
    <col min="6386" max="6387" width="13.140625" style="324" customWidth="1"/>
    <col min="6388" max="6389" width="9.140625" style="324"/>
    <col min="6390" max="6390" width="11" style="324" customWidth="1"/>
    <col min="6391" max="6633" width="9.140625" style="324"/>
    <col min="6634" max="6634" width="26.85546875" style="324" customWidth="1"/>
    <col min="6635" max="6635" width="0" style="324" hidden="1" customWidth="1"/>
    <col min="6636" max="6636" width="12.42578125" style="324" customWidth="1"/>
    <col min="6637" max="6638" width="11.140625" style="324" customWidth="1"/>
    <col min="6639" max="6639" width="12.140625" style="324" customWidth="1"/>
    <col min="6640" max="6640" width="14" style="324" customWidth="1"/>
    <col min="6641" max="6641" width="12.5703125" style="324" customWidth="1"/>
    <col min="6642" max="6643" width="13.140625" style="324" customWidth="1"/>
    <col min="6644" max="6645" width="9.140625" style="324"/>
    <col min="6646" max="6646" width="11" style="324" customWidth="1"/>
    <col min="6647" max="6889" width="9.140625" style="324"/>
    <col min="6890" max="6890" width="26.85546875" style="324" customWidth="1"/>
    <col min="6891" max="6891" width="0" style="324" hidden="1" customWidth="1"/>
    <col min="6892" max="6892" width="12.42578125" style="324" customWidth="1"/>
    <col min="6893" max="6894" width="11.140625" style="324" customWidth="1"/>
    <col min="6895" max="6895" width="12.140625" style="324" customWidth="1"/>
    <col min="6896" max="6896" width="14" style="324" customWidth="1"/>
    <col min="6897" max="6897" width="12.5703125" style="324" customWidth="1"/>
    <col min="6898" max="6899" width="13.140625" style="324" customWidth="1"/>
    <col min="6900" max="6901" width="9.140625" style="324"/>
    <col min="6902" max="6902" width="11" style="324" customWidth="1"/>
    <col min="6903" max="7145" width="9.140625" style="324"/>
    <col min="7146" max="7146" width="26.85546875" style="324" customWidth="1"/>
    <col min="7147" max="7147" width="0" style="324" hidden="1" customWidth="1"/>
    <col min="7148" max="7148" width="12.42578125" style="324" customWidth="1"/>
    <col min="7149" max="7150" width="11.140625" style="324" customWidth="1"/>
    <col min="7151" max="7151" width="12.140625" style="324" customWidth="1"/>
    <col min="7152" max="7152" width="14" style="324" customWidth="1"/>
    <col min="7153" max="7153" width="12.5703125" style="324" customWidth="1"/>
    <col min="7154" max="7155" width="13.140625" style="324" customWidth="1"/>
    <col min="7156" max="7157" width="9.140625" style="324"/>
    <col min="7158" max="7158" width="11" style="324" customWidth="1"/>
    <col min="7159" max="7401" width="9.140625" style="324"/>
    <col min="7402" max="7402" width="26.85546875" style="324" customWidth="1"/>
    <col min="7403" max="7403" width="0" style="324" hidden="1" customWidth="1"/>
    <col min="7404" max="7404" width="12.42578125" style="324" customWidth="1"/>
    <col min="7405" max="7406" width="11.140625" style="324" customWidth="1"/>
    <col min="7407" max="7407" width="12.140625" style="324" customWidth="1"/>
    <col min="7408" max="7408" width="14" style="324" customWidth="1"/>
    <col min="7409" max="7409" width="12.5703125" style="324" customWidth="1"/>
    <col min="7410" max="7411" width="13.140625" style="324" customWidth="1"/>
    <col min="7412" max="7413" width="9.140625" style="324"/>
    <col min="7414" max="7414" width="11" style="324" customWidth="1"/>
    <col min="7415" max="7657" width="9.140625" style="324"/>
    <col min="7658" max="7658" width="26.85546875" style="324" customWidth="1"/>
    <col min="7659" max="7659" width="0" style="324" hidden="1" customWidth="1"/>
    <col min="7660" max="7660" width="12.42578125" style="324" customWidth="1"/>
    <col min="7661" max="7662" width="11.140625" style="324" customWidth="1"/>
    <col min="7663" max="7663" width="12.140625" style="324" customWidth="1"/>
    <col min="7664" max="7664" width="14" style="324" customWidth="1"/>
    <col min="7665" max="7665" width="12.5703125" style="324" customWidth="1"/>
    <col min="7666" max="7667" width="13.140625" style="324" customWidth="1"/>
    <col min="7668" max="7669" width="9.140625" style="324"/>
    <col min="7670" max="7670" width="11" style="324" customWidth="1"/>
    <col min="7671" max="7913" width="9.140625" style="324"/>
    <col min="7914" max="7914" width="26.85546875" style="324" customWidth="1"/>
    <col min="7915" max="7915" width="0" style="324" hidden="1" customWidth="1"/>
    <col min="7916" max="7916" width="12.42578125" style="324" customWidth="1"/>
    <col min="7917" max="7918" width="11.140625" style="324" customWidth="1"/>
    <col min="7919" max="7919" width="12.140625" style="324" customWidth="1"/>
    <col min="7920" max="7920" width="14" style="324" customWidth="1"/>
    <col min="7921" max="7921" width="12.5703125" style="324" customWidth="1"/>
    <col min="7922" max="7923" width="13.140625" style="324" customWidth="1"/>
    <col min="7924" max="7925" width="9.140625" style="324"/>
    <col min="7926" max="7926" width="11" style="324" customWidth="1"/>
    <col min="7927" max="8169" width="9.140625" style="324"/>
    <col min="8170" max="8170" width="26.85546875" style="324" customWidth="1"/>
    <col min="8171" max="8171" width="0" style="324" hidden="1" customWidth="1"/>
    <col min="8172" max="8172" width="12.42578125" style="324" customWidth="1"/>
    <col min="8173" max="8174" width="11.140625" style="324" customWidth="1"/>
    <col min="8175" max="8175" width="12.140625" style="324" customWidth="1"/>
    <col min="8176" max="8176" width="14" style="324" customWidth="1"/>
    <col min="8177" max="8177" width="12.5703125" style="324" customWidth="1"/>
    <col min="8178" max="8179" width="13.140625" style="324" customWidth="1"/>
    <col min="8180" max="8181" width="9.140625" style="324"/>
    <col min="8182" max="8182" width="11" style="324" customWidth="1"/>
    <col min="8183" max="8425" width="9.140625" style="324"/>
    <col min="8426" max="8426" width="26.85546875" style="324" customWidth="1"/>
    <col min="8427" max="8427" width="0" style="324" hidden="1" customWidth="1"/>
    <col min="8428" max="8428" width="12.42578125" style="324" customWidth="1"/>
    <col min="8429" max="8430" width="11.140625" style="324" customWidth="1"/>
    <col min="8431" max="8431" width="12.140625" style="324" customWidth="1"/>
    <col min="8432" max="8432" width="14" style="324" customWidth="1"/>
    <col min="8433" max="8433" width="12.5703125" style="324" customWidth="1"/>
    <col min="8434" max="8435" width="13.140625" style="324" customWidth="1"/>
    <col min="8436" max="8437" width="9.140625" style="324"/>
    <col min="8438" max="8438" width="11" style="324" customWidth="1"/>
    <col min="8439" max="8681" width="9.140625" style="324"/>
    <col min="8682" max="8682" width="26.85546875" style="324" customWidth="1"/>
    <col min="8683" max="8683" width="0" style="324" hidden="1" customWidth="1"/>
    <col min="8684" max="8684" width="12.42578125" style="324" customWidth="1"/>
    <col min="8685" max="8686" width="11.140625" style="324" customWidth="1"/>
    <col min="8687" max="8687" width="12.140625" style="324" customWidth="1"/>
    <col min="8688" max="8688" width="14" style="324" customWidth="1"/>
    <col min="8689" max="8689" width="12.5703125" style="324" customWidth="1"/>
    <col min="8690" max="8691" width="13.140625" style="324" customWidth="1"/>
    <col min="8692" max="8693" width="9.140625" style="324"/>
    <col min="8694" max="8694" width="11" style="324" customWidth="1"/>
    <col min="8695" max="8937" width="9.140625" style="324"/>
    <col min="8938" max="8938" width="26.85546875" style="324" customWidth="1"/>
    <col min="8939" max="8939" width="0" style="324" hidden="1" customWidth="1"/>
    <col min="8940" max="8940" width="12.42578125" style="324" customWidth="1"/>
    <col min="8941" max="8942" width="11.140625" style="324" customWidth="1"/>
    <col min="8943" max="8943" width="12.140625" style="324" customWidth="1"/>
    <col min="8944" max="8944" width="14" style="324" customWidth="1"/>
    <col min="8945" max="8945" width="12.5703125" style="324" customWidth="1"/>
    <col min="8946" max="8947" width="13.140625" style="324" customWidth="1"/>
    <col min="8948" max="8949" width="9.140625" style="324"/>
    <col min="8950" max="8950" width="11" style="324" customWidth="1"/>
    <col min="8951" max="9193" width="9.140625" style="324"/>
    <col min="9194" max="9194" width="26.85546875" style="324" customWidth="1"/>
    <col min="9195" max="9195" width="0" style="324" hidden="1" customWidth="1"/>
    <col min="9196" max="9196" width="12.42578125" style="324" customWidth="1"/>
    <col min="9197" max="9198" width="11.140625" style="324" customWidth="1"/>
    <col min="9199" max="9199" width="12.140625" style="324" customWidth="1"/>
    <col min="9200" max="9200" width="14" style="324" customWidth="1"/>
    <col min="9201" max="9201" width="12.5703125" style="324" customWidth="1"/>
    <col min="9202" max="9203" width="13.140625" style="324" customWidth="1"/>
    <col min="9204" max="9205" width="9.140625" style="324"/>
    <col min="9206" max="9206" width="11" style="324" customWidth="1"/>
    <col min="9207" max="9449" width="9.140625" style="324"/>
    <col min="9450" max="9450" width="26.85546875" style="324" customWidth="1"/>
    <col min="9451" max="9451" width="0" style="324" hidden="1" customWidth="1"/>
    <col min="9452" max="9452" width="12.42578125" style="324" customWidth="1"/>
    <col min="9453" max="9454" width="11.140625" style="324" customWidth="1"/>
    <col min="9455" max="9455" width="12.140625" style="324" customWidth="1"/>
    <col min="9456" max="9456" width="14" style="324" customWidth="1"/>
    <col min="9457" max="9457" width="12.5703125" style="324" customWidth="1"/>
    <col min="9458" max="9459" width="13.140625" style="324" customWidth="1"/>
    <col min="9460" max="9461" width="9.140625" style="324"/>
    <col min="9462" max="9462" width="11" style="324" customWidth="1"/>
    <col min="9463" max="9705" width="9.140625" style="324"/>
    <col min="9706" max="9706" width="26.85546875" style="324" customWidth="1"/>
    <col min="9707" max="9707" width="0" style="324" hidden="1" customWidth="1"/>
    <col min="9708" max="9708" width="12.42578125" style="324" customWidth="1"/>
    <col min="9709" max="9710" width="11.140625" style="324" customWidth="1"/>
    <col min="9711" max="9711" width="12.140625" style="324" customWidth="1"/>
    <col min="9712" max="9712" width="14" style="324" customWidth="1"/>
    <col min="9713" max="9713" width="12.5703125" style="324" customWidth="1"/>
    <col min="9714" max="9715" width="13.140625" style="324" customWidth="1"/>
    <col min="9716" max="9717" width="9.140625" style="324"/>
    <col min="9718" max="9718" width="11" style="324" customWidth="1"/>
    <col min="9719" max="9961" width="9.140625" style="324"/>
    <col min="9962" max="9962" width="26.85546875" style="324" customWidth="1"/>
    <col min="9963" max="9963" width="0" style="324" hidden="1" customWidth="1"/>
    <col min="9964" max="9964" width="12.42578125" style="324" customWidth="1"/>
    <col min="9965" max="9966" width="11.140625" style="324" customWidth="1"/>
    <col min="9967" max="9967" width="12.140625" style="324" customWidth="1"/>
    <col min="9968" max="9968" width="14" style="324" customWidth="1"/>
    <col min="9969" max="9969" width="12.5703125" style="324" customWidth="1"/>
    <col min="9970" max="9971" width="13.140625" style="324" customWidth="1"/>
    <col min="9972" max="9973" width="9.140625" style="324"/>
    <col min="9974" max="9974" width="11" style="324" customWidth="1"/>
    <col min="9975" max="10217" width="9.140625" style="324"/>
    <col min="10218" max="10218" width="26.85546875" style="324" customWidth="1"/>
    <col min="10219" max="10219" width="0" style="324" hidden="1" customWidth="1"/>
    <col min="10220" max="10220" width="12.42578125" style="324" customWidth="1"/>
    <col min="10221" max="10222" width="11.140625" style="324" customWidth="1"/>
    <col min="10223" max="10223" width="12.140625" style="324" customWidth="1"/>
    <col min="10224" max="10224" width="14" style="324" customWidth="1"/>
    <col min="10225" max="10225" width="12.5703125" style="324" customWidth="1"/>
    <col min="10226" max="10227" width="13.140625" style="324" customWidth="1"/>
    <col min="10228" max="10229" width="9.140625" style="324"/>
    <col min="10230" max="10230" width="11" style="324" customWidth="1"/>
    <col min="10231" max="10473" width="9.140625" style="324"/>
    <col min="10474" max="10474" width="26.85546875" style="324" customWidth="1"/>
    <col min="10475" max="10475" width="0" style="324" hidden="1" customWidth="1"/>
    <col min="10476" max="10476" width="12.42578125" style="324" customWidth="1"/>
    <col min="10477" max="10478" width="11.140625" style="324" customWidth="1"/>
    <col min="10479" max="10479" width="12.140625" style="324" customWidth="1"/>
    <col min="10480" max="10480" width="14" style="324" customWidth="1"/>
    <col min="10481" max="10481" width="12.5703125" style="324" customWidth="1"/>
    <col min="10482" max="10483" width="13.140625" style="324" customWidth="1"/>
    <col min="10484" max="10485" width="9.140625" style="324"/>
    <col min="10486" max="10486" width="11" style="324" customWidth="1"/>
    <col min="10487" max="10729" width="9.140625" style="324"/>
    <col min="10730" max="10730" width="26.85546875" style="324" customWidth="1"/>
    <col min="10731" max="10731" width="0" style="324" hidden="1" customWidth="1"/>
    <col min="10732" max="10732" width="12.42578125" style="324" customWidth="1"/>
    <col min="10733" max="10734" width="11.140625" style="324" customWidth="1"/>
    <col min="10735" max="10735" width="12.140625" style="324" customWidth="1"/>
    <col min="10736" max="10736" width="14" style="324" customWidth="1"/>
    <col min="10737" max="10737" width="12.5703125" style="324" customWidth="1"/>
    <col min="10738" max="10739" width="13.140625" style="324" customWidth="1"/>
    <col min="10740" max="10741" width="9.140625" style="324"/>
    <col min="10742" max="10742" width="11" style="324" customWidth="1"/>
    <col min="10743" max="10985" width="9.140625" style="324"/>
    <col min="10986" max="10986" width="26.85546875" style="324" customWidth="1"/>
    <col min="10987" max="10987" width="0" style="324" hidden="1" customWidth="1"/>
    <col min="10988" max="10988" width="12.42578125" style="324" customWidth="1"/>
    <col min="10989" max="10990" width="11.140625" style="324" customWidth="1"/>
    <col min="10991" max="10991" width="12.140625" style="324" customWidth="1"/>
    <col min="10992" max="10992" width="14" style="324" customWidth="1"/>
    <col min="10993" max="10993" width="12.5703125" style="324" customWidth="1"/>
    <col min="10994" max="10995" width="13.140625" style="324" customWidth="1"/>
    <col min="10996" max="10997" width="9.140625" style="324"/>
    <col min="10998" max="10998" width="11" style="324" customWidth="1"/>
    <col min="10999" max="11241" width="9.140625" style="324"/>
    <col min="11242" max="11242" width="26.85546875" style="324" customWidth="1"/>
    <col min="11243" max="11243" width="0" style="324" hidden="1" customWidth="1"/>
    <col min="11244" max="11244" width="12.42578125" style="324" customWidth="1"/>
    <col min="11245" max="11246" width="11.140625" style="324" customWidth="1"/>
    <col min="11247" max="11247" width="12.140625" style="324" customWidth="1"/>
    <col min="11248" max="11248" width="14" style="324" customWidth="1"/>
    <col min="11249" max="11249" width="12.5703125" style="324" customWidth="1"/>
    <col min="11250" max="11251" width="13.140625" style="324" customWidth="1"/>
    <col min="11252" max="11253" width="9.140625" style="324"/>
    <col min="11254" max="11254" width="11" style="324" customWidth="1"/>
    <col min="11255" max="11497" width="9.140625" style="324"/>
    <col min="11498" max="11498" width="26.85546875" style="324" customWidth="1"/>
    <col min="11499" max="11499" width="0" style="324" hidden="1" customWidth="1"/>
    <col min="11500" max="11500" width="12.42578125" style="324" customWidth="1"/>
    <col min="11501" max="11502" width="11.140625" style="324" customWidth="1"/>
    <col min="11503" max="11503" width="12.140625" style="324" customWidth="1"/>
    <col min="11504" max="11504" width="14" style="324" customWidth="1"/>
    <col min="11505" max="11505" width="12.5703125" style="324" customWidth="1"/>
    <col min="11506" max="11507" width="13.140625" style="324" customWidth="1"/>
    <col min="11508" max="11509" width="9.140625" style="324"/>
    <col min="11510" max="11510" width="11" style="324" customWidth="1"/>
    <col min="11511" max="11753" width="9.140625" style="324"/>
    <col min="11754" max="11754" width="26.85546875" style="324" customWidth="1"/>
    <col min="11755" max="11755" width="0" style="324" hidden="1" customWidth="1"/>
    <col min="11756" max="11756" width="12.42578125" style="324" customWidth="1"/>
    <col min="11757" max="11758" width="11.140625" style="324" customWidth="1"/>
    <col min="11759" max="11759" width="12.140625" style="324" customWidth="1"/>
    <col min="11760" max="11760" width="14" style="324" customWidth="1"/>
    <col min="11761" max="11761" width="12.5703125" style="324" customWidth="1"/>
    <col min="11762" max="11763" width="13.140625" style="324" customWidth="1"/>
    <col min="11764" max="11765" width="9.140625" style="324"/>
    <col min="11766" max="11766" width="11" style="324" customWidth="1"/>
    <col min="11767" max="12009" width="9.140625" style="324"/>
    <col min="12010" max="12010" width="26.85546875" style="324" customWidth="1"/>
    <col min="12011" max="12011" width="0" style="324" hidden="1" customWidth="1"/>
    <col min="12012" max="12012" width="12.42578125" style="324" customWidth="1"/>
    <col min="12013" max="12014" width="11.140625" style="324" customWidth="1"/>
    <col min="12015" max="12015" width="12.140625" style="324" customWidth="1"/>
    <col min="12016" max="12016" width="14" style="324" customWidth="1"/>
    <col min="12017" max="12017" width="12.5703125" style="324" customWidth="1"/>
    <col min="12018" max="12019" width="13.140625" style="324" customWidth="1"/>
    <col min="12020" max="12021" width="9.140625" style="324"/>
    <col min="12022" max="12022" width="11" style="324" customWidth="1"/>
    <col min="12023" max="12265" width="9.140625" style="324"/>
    <col min="12266" max="12266" width="26.85546875" style="324" customWidth="1"/>
    <col min="12267" max="12267" width="0" style="324" hidden="1" customWidth="1"/>
    <col min="12268" max="12268" width="12.42578125" style="324" customWidth="1"/>
    <col min="12269" max="12270" width="11.140625" style="324" customWidth="1"/>
    <col min="12271" max="12271" width="12.140625" style="324" customWidth="1"/>
    <col min="12272" max="12272" width="14" style="324" customWidth="1"/>
    <col min="12273" max="12273" width="12.5703125" style="324" customWidth="1"/>
    <col min="12274" max="12275" width="13.140625" style="324" customWidth="1"/>
    <col min="12276" max="12277" width="9.140625" style="324"/>
    <col min="12278" max="12278" width="11" style="324" customWidth="1"/>
    <col min="12279" max="12521" width="9.140625" style="324"/>
    <col min="12522" max="12522" width="26.85546875" style="324" customWidth="1"/>
    <col min="12523" max="12523" width="0" style="324" hidden="1" customWidth="1"/>
    <col min="12524" max="12524" width="12.42578125" style="324" customWidth="1"/>
    <col min="12525" max="12526" width="11.140625" style="324" customWidth="1"/>
    <col min="12527" max="12527" width="12.140625" style="324" customWidth="1"/>
    <col min="12528" max="12528" width="14" style="324" customWidth="1"/>
    <col min="12529" max="12529" width="12.5703125" style="324" customWidth="1"/>
    <col min="12530" max="12531" width="13.140625" style="324" customWidth="1"/>
    <col min="12532" max="12533" width="9.140625" style="324"/>
    <col min="12534" max="12534" width="11" style="324" customWidth="1"/>
    <col min="12535" max="12777" width="9.140625" style="324"/>
    <col min="12778" max="12778" width="26.85546875" style="324" customWidth="1"/>
    <col min="12779" max="12779" width="0" style="324" hidden="1" customWidth="1"/>
    <col min="12780" max="12780" width="12.42578125" style="324" customWidth="1"/>
    <col min="12781" max="12782" width="11.140625" style="324" customWidth="1"/>
    <col min="12783" max="12783" width="12.140625" style="324" customWidth="1"/>
    <col min="12784" max="12784" width="14" style="324" customWidth="1"/>
    <col min="12785" max="12785" width="12.5703125" style="324" customWidth="1"/>
    <col min="12786" max="12787" width="13.140625" style="324" customWidth="1"/>
    <col min="12788" max="12789" width="9.140625" style="324"/>
    <col min="12790" max="12790" width="11" style="324" customWidth="1"/>
    <col min="12791" max="13033" width="9.140625" style="324"/>
    <col min="13034" max="13034" width="26.85546875" style="324" customWidth="1"/>
    <col min="13035" max="13035" width="0" style="324" hidden="1" customWidth="1"/>
    <col min="13036" max="13036" width="12.42578125" style="324" customWidth="1"/>
    <col min="13037" max="13038" width="11.140625" style="324" customWidth="1"/>
    <col min="13039" max="13039" width="12.140625" style="324" customWidth="1"/>
    <col min="13040" max="13040" width="14" style="324" customWidth="1"/>
    <col min="13041" max="13041" width="12.5703125" style="324" customWidth="1"/>
    <col min="13042" max="13043" width="13.140625" style="324" customWidth="1"/>
    <col min="13044" max="13045" width="9.140625" style="324"/>
    <col min="13046" max="13046" width="11" style="324" customWidth="1"/>
    <col min="13047" max="13289" width="9.140625" style="324"/>
    <col min="13290" max="13290" width="26.85546875" style="324" customWidth="1"/>
    <col min="13291" max="13291" width="0" style="324" hidden="1" customWidth="1"/>
    <col min="13292" max="13292" width="12.42578125" style="324" customWidth="1"/>
    <col min="13293" max="13294" width="11.140625" style="324" customWidth="1"/>
    <col min="13295" max="13295" width="12.140625" style="324" customWidth="1"/>
    <col min="13296" max="13296" width="14" style="324" customWidth="1"/>
    <col min="13297" max="13297" width="12.5703125" style="324" customWidth="1"/>
    <col min="13298" max="13299" width="13.140625" style="324" customWidth="1"/>
    <col min="13300" max="13301" width="9.140625" style="324"/>
    <col min="13302" max="13302" width="11" style="324" customWidth="1"/>
    <col min="13303" max="13545" width="9.140625" style="324"/>
    <col min="13546" max="13546" width="26.85546875" style="324" customWidth="1"/>
    <col min="13547" max="13547" width="0" style="324" hidden="1" customWidth="1"/>
    <col min="13548" max="13548" width="12.42578125" style="324" customWidth="1"/>
    <col min="13549" max="13550" width="11.140625" style="324" customWidth="1"/>
    <col min="13551" max="13551" width="12.140625" style="324" customWidth="1"/>
    <col min="13552" max="13552" width="14" style="324" customWidth="1"/>
    <col min="13553" max="13553" width="12.5703125" style="324" customWidth="1"/>
    <col min="13554" max="13555" width="13.140625" style="324" customWidth="1"/>
    <col min="13556" max="13557" width="9.140625" style="324"/>
    <col min="13558" max="13558" width="11" style="324" customWidth="1"/>
    <col min="13559" max="13801" width="9.140625" style="324"/>
    <col min="13802" max="13802" width="26.85546875" style="324" customWidth="1"/>
    <col min="13803" max="13803" width="0" style="324" hidden="1" customWidth="1"/>
    <col min="13804" max="13804" width="12.42578125" style="324" customWidth="1"/>
    <col min="13805" max="13806" width="11.140625" style="324" customWidth="1"/>
    <col min="13807" max="13807" width="12.140625" style="324" customWidth="1"/>
    <col min="13808" max="13808" width="14" style="324" customWidth="1"/>
    <col min="13809" max="13809" width="12.5703125" style="324" customWidth="1"/>
    <col min="13810" max="13811" width="13.140625" style="324" customWidth="1"/>
    <col min="13812" max="13813" width="9.140625" style="324"/>
    <col min="13814" max="13814" width="11" style="324" customWidth="1"/>
    <col min="13815" max="14057" width="9.140625" style="324"/>
    <col min="14058" max="14058" width="26.85546875" style="324" customWidth="1"/>
    <col min="14059" max="14059" width="0" style="324" hidden="1" customWidth="1"/>
    <col min="14060" max="14060" width="12.42578125" style="324" customWidth="1"/>
    <col min="14061" max="14062" width="11.140625" style="324" customWidth="1"/>
    <col min="14063" max="14063" width="12.140625" style="324" customWidth="1"/>
    <col min="14064" max="14064" width="14" style="324" customWidth="1"/>
    <col min="14065" max="14065" width="12.5703125" style="324" customWidth="1"/>
    <col min="14066" max="14067" width="13.140625" style="324" customWidth="1"/>
    <col min="14068" max="14069" width="9.140625" style="324"/>
    <col min="14070" max="14070" width="11" style="324" customWidth="1"/>
    <col min="14071" max="14313" width="9.140625" style="324"/>
    <col min="14314" max="14314" width="26.85546875" style="324" customWidth="1"/>
    <col min="14315" max="14315" width="0" style="324" hidden="1" customWidth="1"/>
    <col min="14316" max="14316" width="12.42578125" style="324" customWidth="1"/>
    <col min="14317" max="14318" width="11.140625" style="324" customWidth="1"/>
    <col min="14319" max="14319" width="12.140625" style="324" customWidth="1"/>
    <col min="14320" max="14320" width="14" style="324" customWidth="1"/>
    <col min="14321" max="14321" width="12.5703125" style="324" customWidth="1"/>
    <col min="14322" max="14323" width="13.140625" style="324" customWidth="1"/>
    <col min="14324" max="14325" width="9.140625" style="324"/>
    <col min="14326" max="14326" width="11" style="324" customWidth="1"/>
    <col min="14327" max="14569" width="9.140625" style="324"/>
    <col min="14570" max="14570" width="26.85546875" style="324" customWidth="1"/>
    <col min="14571" max="14571" width="0" style="324" hidden="1" customWidth="1"/>
    <col min="14572" max="14572" width="12.42578125" style="324" customWidth="1"/>
    <col min="14573" max="14574" width="11.140625" style="324" customWidth="1"/>
    <col min="14575" max="14575" width="12.140625" style="324" customWidth="1"/>
    <col min="14576" max="14576" width="14" style="324" customWidth="1"/>
    <col min="14577" max="14577" width="12.5703125" style="324" customWidth="1"/>
    <col min="14578" max="14579" width="13.140625" style="324" customWidth="1"/>
    <col min="14580" max="14581" width="9.140625" style="324"/>
    <col min="14582" max="14582" width="11" style="324" customWidth="1"/>
    <col min="14583" max="14825" width="9.140625" style="324"/>
    <col min="14826" max="14826" width="26.85546875" style="324" customWidth="1"/>
    <col min="14827" max="14827" width="0" style="324" hidden="1" customWidth="1"/>
    <col min="14828" max="14828" width="12.42578125" style="324" customWidth="1"/>
    <col min="14829" max="14830" width="11.140625" style="324" customWidth="1"/>
    <col min="14831" max="14831" width="12.140625" style="324" customWidth="1"/>
    <col min="14832" max="14832" width="14" style="324" customWidth="1"/>
    <col min="14833" max="14833" width="12.5703125" style="324" customWidth="1"/>
    <col min="14834" max="14835" width="13.140625" style="324" customWidth="1"/>
    <col min="14836" max="14837" width="9.140625" style="324"/>
    <col min="14838" max="14838" width="11" style="324" customWidth="1"/>
    <col min="14839" max="15081" width="9.140625" style="324"/>
    <col min="15082" max="15082" width="26.85546875" style="324" customWidth="1"/>
    <col min="15083" max="15083" width="0" style="324" hidden="1" customWidth="1"/>
    <col min="15084" max="15084" width="12.42578125" style="324" customWidth="1"/>
    <col min="15085" max="15086" width="11.140625" style="324" customWidth="1"/>
    <col min="15087" max="15087" width="12.140625" style="324" customWidth="1"/>
    <col min="15088" max="15088" width="14" style="324" customWidth="1"/>
    <col min="15089" max="15089" width="12.5703125" style="324" customWidth="1"/>
    <col min="15090" max="15091" width="13.140625" style="324" customWidth="1"/>
    <col min="15092" max="15093" width="9.140625" style="324"/>
    <col min="15094" max="15094" width="11" style="324" customWidth="1"/>
    <col min="15095" max="15337" width="9.140625" style="324"/>
    <col min="15338" max="15338" width="26.85546875" style="324" customWidth="1"/>
    <col min="15339" max="15339" width="0" style="324" hidden="1" customWidth="1"/>
    <col min="15340" max="15340" width="12.42578125" style="324" customWidth="1"/>
    <col min="15341" max="15342" width="11.140625" style="324" customWidth="1"/>
    <col min="15343" max="15343" width="12.140625" style="324" customWidth="1"/>
    <col min="15344" max="15344" width="14" style="324" customWidth="1"/>
    <col min="15345" max="15345" width="12.5703125" style="324" customWidth="1"/>
    <col min="15346" max="15347" width="13.140625" style="324" customWidth="1"/>
    <col min="15348" max="15349" width="9.140625" style="324"/>
    <col min="15350" max="15350" width="11" style="324" customWidth="1"/>
    <col min="15351" max="15593" width="9.140625" style="324"/>
    <col min="15594" max="15594" width="26.85546875" style="324" customWidth="1"/>
    <col min="15595" max="15595" width="0" style="324" hidden="1" customWidth="1"/>
    <col min="15596" max="15596" width="12.42578125" style="324" customWidth="1"/>
    <col min="15597" max="15598" width="11.140625" style="324" customWidth="1"/>
    <col min="15599" max="15599" width="12.140625" style="324" customWidth="1"/>
    <col min="15600" max="15600" width="14" style="324" customWidth="1"/>
    <col min="15601" max="15601" width="12.5703125" style="324" customWidth="1"/>
    <col min="15602" max="15603" width="13.140625" style="324" customWidth="1"/>
    <col min="15604" max="15605" width="9.140625" style="324"/>
    <col min="15606" max="15606" width="11" style="324" customWidth="1"/>
    <col min="15607" max="15849" width="9.140625" style="324"/>
    <col min="15850" max="15850" width="26.85546875" style="324" customWidth="1"/>
    <col min="15851" max="15851" width="0" style="324" hidden="1" customWidth="1"/>
    <col min="15852" max="15852" width="12.42578125" style="324" customWidth="1"/>
    <col min="15853" max="15854" width="11.140625" style="324" customWidth="1"/>
    <col min="15855" max="15855" width="12.140625" style="324" customWidth="1"/>
    <col min="15856" max="15856" width="14" style="324" customWidth="1"/>
    <col min="15857" max="15857" width="12.5703125" style="324" customWidth="1"/>
    <col min="15858" max="15859" width="13.140625" style="324" customWidth="1"/>
    <col min="15860" max="15861" width="9.140625" style="324"/>
    <col min="15862" max="15862" width="11" style="324" customWidth="1"/>
    <col min="15863" max="16105" width="9.140625" style="324"/>
    <col min="16106" max="16106" width="26.85546875" style="324" customWidth="1"/>
    <col min="16107" max="16107" width="0" style="324" hidden="1" customWidth="1"/>
    <col min="16108" max="16108" width="12.42578125" style="324" customWidth="1"/>
    <col min="16109" max="16110" width="11.140625" style="324" customWidth="1"/>
    <col min="16111" max="16111" width="12.140625" style="324" customWidth="1"/>
    <col min="16112" max="16112" width="14" style="324" customWidth="1"/>
    <col min="16113" max="16113" width="12.5703125" style="324" customWidth="1"/>
    <col min="16114" max="16115" width="13.140625" style="324" customWidth="1"/>
    <col min="16116" max="16117" width="9.140625" style="324"/>
    <col min="16118" max="16118" width="11" style="324" customWidth="1"/>
    <col min="16119" max="16384" width="9.140625" style="324"/>
  </cols>
  <sheetData>
    <row r="1" spans="1:20" ht="19.5" thickBot="1" x14ac:dyDescent="0.35">
      <c r="A1" s="415" t="s">
        <v>193</v>
      </c>
      <c r="B1" s="323"/>
      <c r="C1" s="323"/>
      <c r="D1" s="323"/>
      <c r="E1" s="323"/>
      <c r="F1" s="323"/>
      <c r="G1" s="323"/>
      <c r="H1" s="323"/>
      <c r="I1" s="323"/>
      <c r="M1" s="325"/>
    </row>
    <row r="2" spans="1:20" ht="47.25" x14ac:dyDescent="0.25">
      <c r="A2" s="427"/>
      <c r="B2" s="428" t="s">
        <v>309</v>
      </c>
      <c r="C2" s="429" t="s">
        <v>249</v>
      </c>
      <c r="D2" s="429" t="s">
        <v>250</v>
      </c>
      <c r="E2" s="429" t="s">
        <v>251</v>
      </c>
      <c r="F2" s="429" t="s">
        <v>252</v>
      </c>
      <c r="G2" s="429" t="s">
        <v>310</v>
      </c>
      <c r="H2" s="429" t="s">
        <v>311</v>
      </c>
      <c r="I2" s="430" t="s">
        <v>312</v>
      </c>
      <c r="M2" s="452"/>
      <c r="N2" s="453"/>
      <c r="O2" s="453"/>
      <c r="P2" s="453"/>
      <c r="Q2" s="453"/>
      <c r="R2" s="453"/>
      <c r="S2" s="453"/>
      <c r="T2" s="454"/>
    </row>
    <row r="3" spans="1:20" x14ac:dyDescent="0.25">
      <c r="A3" s="446" t="s">
        <v>202</v>
      </c>
      <c r="B3" s="434"/>
      <c r="C3" s="434"/>
      <c r="D3" s="434"/>
      <c r="E3" s="434"/>
      <c r="F3" s="434"/>
      <c r="G3" s="434"/>
      <c r="H3" s="434"/>
      <c r="I3" s="447"/>
      <c r="M3" s="278"/>
      <c r="N3" s="279"/>
      <c r="O3" s="279"/>
      <c r="P3" s="279"/>
      <c r="Q3" s="279"/>
      <c r="R3" s="279"/>
      <c r="S3" s="279"/>
      <c r="T3" s="279"/>
    </row>
    <row r="4" spans="1:20" x14ac:dyDescent="0.25">
      <c r="A4" s="431" t="s">
        <v>111</v>
      </c>
      <c r="B4" s="432">
        <v>11226807</v>
      </c>
      <c r="C4" s="432">
        <v>9245370.0399999991</v>
      </c>
      <c r="D4" s="432">
        <f>11494919.16+11147.12</f>
        <v>11506066.279999999</v>
      </c>
      <c r="E4" s="432">
        <f>11392897.58-13687.72</f>
        <v>11379209.859999999</v>
      </c>
      <c r="F4" s="432">
        <v>11736128.959999999</v>
      </c>
      <c r="G4" s="432">
        <f>Summary!T12</f>
        <v>12235061.9338325</v>
      </c>
      <c r="H4" s="432">
        <f>Summary!V12</f>
        <v>12276777.6</v>
      </c>
      <c r="I4" s="433">
        <v>15344319</v>
      </c>
      <c r="M4" s="278"/>
      <c r="N4" s="279"/>
      <c r="O4" s="279"/>
      <c r="P4" s="279"/>
      <c r="Q4" s="279"/>
      <c r="R4" s="279"/>
      <c r="S4" s="279"/>
      <c r="T4" s="279"/>
    </row>
    <row r="5" spans="1:20" x14ac:dyDescent="0.25">
      <c r="A5" s="327" t="s">
        <v>194</v>
      </c>
      <c r="B5" s="328">
        <v>3149458</v>
      </c>
      <c r="C5" s="330">
        <v>2685054.8800000004</v>
      </c>
      <c r="D5" s="330">
        <f>3167757.9+9881.11</f>
        <v>3177639.01</v>
      </c>
      <c r="E5" s="330">
        <f>2977335.68+6585.81</f>
        <v>2983921.49</v>
      </c>
      <c r="F5" s="330">
        <v>3144595.15</v>
      </c>
      <c r="G5" s="328">
        <f>Summary!T17+Summary!U17</f>
        <v>3227573.4397951229</v>
      </c>
      <c r="H5" s="328">
        <f>Summary!V17+Summary!W17</f>
        <v>3023488.2304236861</v>
      </c>
      <c r="I5" s="329">
        <v>3782036</v>
      </c>
      <c r="M5" s="278"/>
      <c r="N5" s="279"/>
      <c r="O5" s="279"/>
      <c r="P5" s="279"/>
      <c r="Q5" s="279"/>
      <c r="R5" s="279"/>
      <c r="S5" s="279"/>
      <c r="T5" s="279"/>
    </row>
    <row r="6" spans="1:20" x14ac:dyDescent="0.25">
      <c r="A6" s="331" t="s">
        <v>208</v>
      </c>
      <c r="B6" s="328">
        <v>4544464</v>
      </c>
      <c r="C6" s="328">
        <v>4050004.04</v>
      </c>
      <c r="D6" s="328">
        <f>4525157.66+0</f>
        <v>4525157.66</v>
      </c>
      <c r="E6" s="328">
        <v>4236301.78</v>
      </c>
      <c r="F6" s="328">
        <v>4267431.13</v>
      </c>
      <c r="G6" s="328">
        <f>Summary!T22+Summary!U22</f>
        <v>4653085.9978077281</v>
      </c>
      <c r="H6" s="328">
        <f>Summary!V22+Summary!W22</f>
        <v>4437528.466495946</v>
      </c>
      <c r="I6" s="329">
        <v>5517875</v>
      </c>
      <c r="M6" s="278"/>
      <c r="N6" s="279"/>
      <c r="O6" s="279"/>
      <c r="P6" s="279"/>
      <c r="Q6" s="279"/>
      <c r="R6" s="279"/>
      <c r="S6" s="279"/>
      <c r="T6" s="279"/>
    </row>
    <row r="7" spans="1:20" x14ac:dyDescent="0.25">
      <c r="A7" s="331" t="s">
        <v>120</v>
      </c>
      <c r="B7" s="332">
        <v>34741.525559766393</v>
      </c>
      <c r="C7" s="330">
        <v>30335.679999999993</v>
      </c>
      <c r="D7" s="330">
        <f>34791.21+21.28</f>
        <v>34812.49</v>
      </c>
      <c r="E7" s="330">
        <f>35044.01+13.3</f>
        <v>35057.310000000005</v>
      </c>
      <c r="F7" s="330">
        <v>36274.44</v>
      </c>
      <c r="G7" s="332">
        <f>Summary!T27+Summary!U27</f>
        <v>35590.760465127663</v>
      </c>
      <c r="H7" s="332">
        <f>Summary!V27+Summary!W27</f>
        <v>34786.452399554677</v>
      </c>
      <c r="I7" s="333">
        <v>43448</v>
      </c>
      <c r="M7" s="278"/>
      <c r="N7" s="279"/>
      <c r="O7" s="279"/>
      <c r="P7" s="279"/>
      <c r="Q7" s="279"/>
      <c r="R7" s="279"/>
      <c r="S7" s="279"/>
      <c r="T7" s="279"/>
    </row>
    <row r="8" spans="1:20" x14ac:dyDescent="0.25">
      <c r="A8" s="327" t="s">
        <v>195</v>
      </c>
      <c r="B8" s="330">
        <v>195345</v>
      </c>
      <c r="C8" s="330">
        <v>398346.17</v>
      </c>
      <c r="D8" s="330">
        <f>192242.82+66.14</f>
        <v>192308.96000000002</v>
      </c>
      <c r="E8" s="330">
        <f>197547.14+44.51</f>
        <v>197591.65000000002</v>
      </c>
      <c r="F8" s="330">
        <v>206925.04</v>
      </c>
      <c r="G8" s="330">
        <f>Summary!T32+Summary!U32</f>
        <v>211009.22418515262</v>
      </c>
      <c r="H8" s="330">
        <f>Summary!V32+Summary!W32</f>
        <v>211009.22418515262</v>
      </c>
      <c r="I8" s="334">
        <v>263810</v>
      </c>
      <c r="M8" s="278"/>
      <c r="N8" s="279"/>
      <c r="O8" s="279"/>
      <c r="P8" s="279"/>
      <c r="Q8" s="279"/>
      <c r="R8" s="279"/>
      <c r="S8" s="279"/>
      <c r="T8" s="279"/>
    </row>
    <row r="9" spans="1:20" ht="16.5" thickBot="1" x14ac:dyDescent="0.3">
      <c r="A9" s="422" t="s">
        <v>196</v>
      </c>
      <c r="B9" s="420">
        <v>39551</v>
      </c>
      <c r="C9" s="420">
        <v>32133.38</v>
      </c>
      <c r="D9" s="420">
        <f>37087.55+48.46</f>
        <v>37136.01</v>
      </c>
      <c r="E9" s="420">
        <f>37475.9+30.37</f>
        <v>37506.270000000004</v>
      </c>
      <c r="F9" s="420">
        <v>38751.200000000004</v>
      </c>
      <c r="G9" s="420">
        <f>Summary!T37+Summary!U37</f>
        <v>40212.806500049446</v>
      </c>
      <c r="H9" s="420">
        <f>Summary!V37+Summary!W37</f>
        <v>40296.364253896172</v>
      </c>
      <c r="I9" s="421">
        <v>50446</v>
      </c>
      <c r="M9" s="278"/>
      <c r="N9" s="279"/>
      <c r="O9" s="279"/>
      <c r="P9" s="279"/>
      <c r="Q9" s="279"/>
      <c r="R9" s="279"/>
      <c r="S9" s="279"/>
      <c r="T9" s="279"/>
    </row>
    <row r="10" spans="1:20" x14ac:dyDescent="0.25">
      <c r="A10" s="435" t="s">
        <v>207</v>
      </c>
      <c r="B10" s="436">
        <f t="shared" ref="B10:I10" si="0">SUM(B4:B9)</f>
        <v>19190366.525559768</v>
      </c>
      <c r="C10" s="436">
        <f t="shared" si="0"/>
        <v>16441244.190000001</v>
      </c>
      <c r="D10" s="436">
        <f t="shared" si="0"/>
        <v>19473120.41</v>
      </c>
      <c r="E10" s="436">
        <f t="shared" si="0"/>
        <v>18869588.359999996</v>
      </c>
      <c r="F10" s="436">
        <f t="shared" si="0"/>
        <v>19430105.919999998</v>
      </c>
      <c r="G10" s="436">
        <f t="shared" si="0"/>
        <v>20402534.162585683</v>
      </c>
      <c r="H10" s="436">
        <f t="shared" si="0"/>
        <v>20023886.337758239</v>
      </c>
      <c r="I10" s="437">
        <f t="shared" si="0"/>
        <v>25001934</v>
      </c>
      <c r="M10" s="278"/>
      <c r="N10" s="279"/>
      <c r="O10" s="279"/>
      <c r="P10" s="279"/>
      <c r="Q10" s="279"/>
      <c r="R10" s="279"/>
      <c r="S10" s="279"/>
      <c r="T10" s="279"/>
    </row>
    <row r="11" spans="1:20" ht="6" customHeight="1" x14ac:dyDescent="0.25">
      <c r="A11" s="446"/>
      <c r="B11" s="444"/>
      <c r="C11" s="444"/>
      <c r="D11" s="444"/>
      <c r="E11" s="444"/>
      <c r="F11" s="444"/>
      <c r="G11" s="444"/>
      <c r="H11" s="444"/>
      <c r="I11" s="448"/>
      <c r="M11" s="278"/>
      <c r="N11" s="279"/>
      <c r="O11" s="279"/>
      <c r="P11" s="279"/>
      <c r="Q11" s="279"/>
      <c r="R11" s="279"/>
      <c r="S11" s="279"/>
      <c r="T11" s="279"/>
    </row>
    <row r="12" spans="1:20" x14ac:dyDescent="0.25">
      <c r="A12" s="441" t="s">
        <v>313</v>
      </c>
      <c r="B12" s="417"/>
      <c r="C12" s="442">
        <v>699555.51000000013</v>
      </c>
      <c r="D12" s="442">
        <v>384312</v>
      </c>
      <c r="E12" s="442">
        <v>0</v>
      </c>
      <c r="F12" s="442">
        <v>0</v>
      </c>
      <c r="G12" s="417"/>
      <c r="H12" s="417"/>
      <c r="I12" s="418"/>
      <c r="M12" s="278"/>
      <c r="N12" s="279"/>
      <c r="O12" s="279"/>
      <c r="P12" s="279"/>
      <c r="Q12" s="279"/>
      <c r="R12" s="279"/>
      <c r="S12" s="279"/>
      <c r="T12" s="279"/>
    </row>
    <row r="13" spans="1:20" x14ac:dyDescent="0.25">
      <c r="A13" s="331" t="s">
        <v>314</v>
      </c>
      <c r="B13" s="335"/>
      <c r="C13" s="330">
        <v>-179809.00000000003</v>
      </c>
      <c r="D13" s="330">
        <v>-786264.8</v>
      </c>
      <c r="E13" s="330">
        <v>-252067.53999999998</v>
      </c>
      <c r="F13" s="330">
        <v>15.16</v>
      </c>
      <c r="G13" s="335"/>
      <c r="H13" s="335"/>
      <c r="I13" s="336"/>
      <c r="M13" s="278"/>
      <c r="N13" s="279"/>
      <c r="O13" s="279"/>
      <c r="P13" s="279"/>
      <c r="Q13" s="279"/>
      <c r="R13" s="279"/>
      <c r="S13" s="279"/>
      <c r="T13" s="279"/>
    </row>
    <row r="14" spans="1:20" x14ac:dyDescent="0.25">
      <c r="A14" s="327" t="s">
        <v>267</v>
      </c>
      <c r="B14" s="335">
        <v>0</v>
      </c>
      <c r="C14" s="335">
        <v>0</v>
      </c>
      <c r="D14" s="335">
        <v>0</v>
      </c>
      <c r="E14" s="335">
        <v>0</v>
      </c>
      <c r="F14" s="330">
        <v>269820.13</v>
      </c>
      <c r="G14" s="330">
        <f>Summary!T43+Summary!U43</f>
        <v>235046.89736819785</v>
      </c>
      <c r="H14" s="330">
        <f>Summary!V43+Summary!W43</f>
        <v>230763.13015159854</v>
      </c>
      <c r="I14" s="336"/>
      <c r="M14" s="278"/>
      <c r="N14" s="279"/>
      <c r="O14" s="279"/>
      <c r="P14" s="279"/>
      <c r="Q14" s="279"/>
      <c r="R14" s="279"/>
      <c r="S14" s="279"/>
      <c r="T14" s="279"/>
    </row>
    <row r="15" spans="1:20" x14ac:dyDescent="0.25">
      <c r="A15" s="327" t="s">
        <v>317</v>
      </c>
      <c r="B15" s="335"/>
      <c r="C15" s="335"/>
      <c r="D15" s="335"/>
      <c r="E15" s="335"/>
      <c r="F15" s="330"/>
      <c r="G15" s="330">
        <f>Summary!T44+Summary!U44</f>
        <v>862560.41957252391</v>
      </c>
      <c r="H15" s="330">
        <f>Summary!W44+Summary!V44</f>
        <v>846757.76181096048</v>
      </c>
      <c r="I15" s="334"/>
      <c r="M15" s="278"/>
      <c r="N15" s="279"/>
      <c r="O15" s="279"/>
      <c r="P15" s="279"/>
      <c r="Q15" s="279"/>
      <c r="R15" s="279"/>
      <c r="S15" s="279"/>
      <c r="T15" s="279"/>
    </row>
    <row r="16" spans="1:20" x14ac:dyDescent="0.25">
      <c r="A16" s="327" t="s">
        <v>315</v>
      </c>
      <c r="B16" s="335"/>
      <c r="C16" s="335"/>
      <c r="D16" s="335"/>
      <c r="E16" s="330">
        <v>192400.26</v>
      </c>
      <c r="F16" s="330"/>
      <c r="G16" s="335"/>
      <c r="H16" s="335"/>
      <c r="I16" s="334"/>
      <c r="M16" s="278"/>
      <c r="N16" s="279"/>
      <c r="O16" s="279"/>
      <c r="P16" s="279"/>
      <c r="Q16" s="279"/>
      <c r="R16" s="279"/>
      <c r="S16" s="279"/>
      <c r="T16" s="279"/>
    </row>
    <row r="17" spans="1:9" ht="16.5" thickBot="1" x14ac:dyDescent="0.3">
      <c r="A17" s="419" t="s">
        <v>316</v>
      </c>
      <c r="B17" s="340"/>
      <c r="C17" s="340"/>
      <c r="D17" s="340"/>
      <c r="E17" s="420">
        <v>222315.95</v>
      </c>
      <c r="F17" s="420">
        <v>-222315.94</v>
      </c>
      <c r="G17" s="340"/>
      <c r="H17" s="340"/>
      <c r="I17" s="421"/>
    </row>
    <row r="18" spans="1:9" x14ac:dyDescent="0.25">
      <c r="A18" s="416" t="s">
        <v>12</v>
      </c>
      <c r="B18" s="417">
        <f>B14+B10</f>
        <v>19190366.525559768</v>
      </c>
      <c r="C18" s="417">
        <f>C14+C10+C13+C12</f>
        <v>16960990.700000003</v>
      </c>
      <c r="D18" s="417">
        <f>D14+D10+D13+D12</f>
        <v>19071167.609999999</v>
      </c>
      <c r="E18" s="417">
        <f>E14+E10+E13+E12+E16+E17</f>
        <v>19032237.029999997</v>
      </c>
      <c r="F18" s="417">
        <f>F14+F10+F13+F12+F17</f>
        <v>19477625.269999996</v>
      </c>
      <c r="G18" s="417">
        <f>G14+G10+G13+G12+G17+G15-67200</f>
        <v>21432941.479526404</v>
      </c>
      <c r="H18" s="417">
        <f>H14+H10+H15-67200</f>
        <v>21034207.229720801</v>
      </c>
      <c r="I18" s="418">
        <f>I14+I10</f>
        <v>25001934</v>
      </c>
    </row>
    <row r="19" spans="1:9" hidden="1" x14ac:dyDescent="0.25">
      <c r="A19" s="338" t="s">
        <v>19</v>
      </c>
      <c r="B19" s="335">
        <v>17028055.300000001</v>
      </c>
      <c r="C19" s="335">
        <v>16960990.699999999</v>
      </c>
      <c r="D19" s="335">
        <v>19071167.609999999</v>
      </c>
      <c r="E19" s="335">
        <v>19032237.02</v>
      </c>
      <c r="F19" s="335">
        <v>19207805.140000001</v>
      </c>
      <c r="G19" s="335"/>
      <c r="H19" s="335"/>
      <c r="I19" s="336"/>
    </row>
    <row r="20" spans="1:9" hidden="1" x14ac:dyDescent="0.25">
      <c r="A20" s="438" t="s">
        <v>19</v>
      </c>
      <c r="B20" s="439">
        <f t="shared" ref="B20:I20" si="1">B18-B19</f>
        <v>2162311.2255597673</v>
      </c>
      <c r="C20" s="439">
        <f t="shared" si="1"/>
        <v>0</v>
      </c>
      <c r="D20" s="439">
        <f t="shared" si="1"/>
        <v>0</v>
      </c>
      <c r="E20" s="439">
        <f t="shared" si="1"/>
        <v>9.9999979138374329E-3</v>
      </c>
      <c r="F20" s="439">
        <f t="shared" si="1"/>
        <v>269820.12999999523</v>
      </c>
      <c r="G20" s="439">
        <f t="shared" si="1"/>
        <v>21432941.479526404</v>
      </c>
      <c r="H20" s="439">
        <f t="shared" si="1"/>
        <v>21034207.229720801</v>
      </c>
      <c r="I20" s="440">
        <f t="shared" si="1"/>
        <v>25001934</v>
      </c>
    </row>
    <row r="21" spans="1:9" ht="6.75" customHeight="1" x14ac:dyDescent="0.25">
      <c r="A21" s="449"/>
      <c r="B21" s="445"/>
      <c r="C21" s="445"/>
      <c r="D21" s="445"/>
      <c r="E21" s="445"/>
      <c r="F21" s="445"/>
      <c r="G21" s="445"/>
      <c r="H21" s="445"/>
      <c r="I21" s="450"/>
    </row>
    <row r="22" spans="1:9" x14ac:dyDescent="0.25">
      <c r="A22" s="431" t="s">
        <v>197</v>
      </c>
      <c r="B22" s="442">
        <v>259000</v>
      </c>
      <c r="C22" s="442">
        <v>221083.59</v>
      </c>
      <c r="D22" s="442">
        <v>173678.62000000002</v>
      </c>
      <c r="E22" s="442">
        <v>296113.99</v>
      </c>
      <c r="F22" s="442">
        <v>292123.75</v>
      </c>
      <c r="G22" s="442">
        <v>220000</v>
      </c>
      <c r="H22" s="442">
        <v>230292.06666666671</v>
      </c>
      <c r="I22" s="443">
        <f>H22</f>
        <v>230292.06666666671</v>
      </c>
    </row>
    <row r="23" spans="1:9" x14ac:dyDescent="0.25">
      <c r="A23" s="327" t="s">
        <v>198</v>
      </c>
      <c r="B23" s="330">
        <v>170100</v>
      </c>
      <c r="C23" s="330">
        <v>193432.19</v>
      </c>
      <c r="D23" s="330">
        <v>161185.42000000001</v>
      </c>
      <c r="E23" s="330">
        <v>128941.99000000002</v>
      </c>
      <c r="F23" s="330">
        <v>203119.23999999996</v>
      </c>
      <c r="G23" s="330">
        <v>152700</v>
      </c>
      <c r="H23" s="330">
        <v>155754</v>
      </c>
      <c r="I23" s="334">
        <f>H23</f>
        <v>155754</v>
      </c>
    </row>
    <row r="24" spans="1:9" x14ac:dyDescent="0.25">
      <c r="A24" s="327" t="s">
        <v>199</v>
      </c>
      <c r="B24" s="330">
        <v>2216297</v>
      </c>
      <c r="C24" s="330">
        <v>2040128.02</v>
      </c>
      <c r="D24" s="330">
        <v>2271708.5299999998</v>
      </c>
      <c r="E24" s="330">
        <v>2305283.4900000002</v>
      </c>
      <c r="F24" s="330">
        <v>2335540.63</v>
      </c>
      <c r="G24" s="330">
        <v>2159421.54</v>
      </c>
      <c r="H24" s="330">
        <v>2235819</v>
      </c>
      <c r="I24" s="334">
        <f>H24</f>
        <v>2235819</v>
      </c>
    </row>
    <row r="25" spans="1:9" x14ac:dyDescent="0.25">
      <c r="A25" s="327" t="s">
        <v>200</v>
      </c>
      <c r="B25" s="330">
        <v>132500</v>
      </c>
      <c r="C25" s="330">
        <v>713169.4700000002</v>
      </c>
      <c r="D25" s="330">
        <v>97888.149999999965</v>
      </c>
      <c r="E25" s="330">
        <v>166796.5700000003</v>
      </c>
      <c r="F25" s="330">
        <v>-125603.86</v>
      </c>
      <c r="G25" s="330">
        <v>120000</v>
      </c>
      <c r="H25" s="330">
        <v>128399.86666666667</v>
      </c>
      <c r="I25" s="334">
        <f>H25</f>
        <v>128399.86666666667</v>
      </c>
    </row>
    <row r="26" spans="1:9" x14ac:dyDescent="0.25">
      <c r="A26" s="337" t="s">
        <v>12</v>
      </c>
      <c r="B26" s="335">
        <f t="shared" ref="B26:I26" si="2">SUM(B22:B25)</f>
        <v>2777897</v>
      </c>
      <c r="C26" s="335">
        <f t="shared" si="2"/>
        <v>3167813.27</v>
      </c>
      <c r="D26" s="335">
        <f t="shared" si="2"/>
        <v>2704460.7199999997</v>
      </c>
      <c r="E26" s="335">
        <f t="shared" si="2"/>
        <v>2897136.0400000005</v>
      </c>
      <c r="F26" s="335">
        <f t="shared" si="2"/>
        <v>2705179.7600000002</v>
      </c>
      <c r="G26" s="335">
        <f t="shared" si="2"/>
        <v>2652121.54</v>
      </c>
      <c r="H26" s="335">
        <f t="shared" si="2"/>
        <v>2750264.9333333336</v>
      </c>
      <c r="I26" s="336">
        <f t="shared" si="2"/>
        <v>2750264.9333333336</v>
      </c>
    </row>
    <row r="27" spans="1:9" ht="16.5" thickBot="1" x14ac:dyDescent="0.3">
      <c r="A27" s="339" t="s">
        <v>201</v>
      </c>
      <c r="B27" s="340">
        <f>+B26+B10</f>
        <v>21968263.525559768</v>
      </c>
      <c r="C27" s="340">
        <f>+C26+C18</f>
        <v>20128803.970000003</v>
      </c>
      <c r="D27" s="340">
        <f>+D26+D18</f>
        <v>21775628.329999998</v>
      </c>
      <c r="E27" s="340">
        <f>+E26+E18</f>
        <v>21929373.069999997</v>
      </c>
      <c r="F27" s="340">
        <f>+F26+F18</f>
        <v>22182805.029999997</v>
      </c>
      <c r="G27" s="340">
        <f>+G26+G18</f>
        <v>24085063.019526403</v>
      </c>
      <c r="H27" s="340">
        <f>+H26+H10</f>
        <v>22774151.271091573</v>
      </c>
      <c r="I27" s="341">
        <f>+I26+I10</f>
        <v>27752198.933333334</v>
      </c>
    </row>
    <row r="28" spans="1:9" ht="16.5" thickBot="1" x14ac:dyDescent="0.3">
      <c r="B28" s="340"/>
      <c r="C28" s="340"/>
      <c r="D28" s="340"/>
      <c r="E28" s="340"/>
      <c r="F28" s="340"/>
      <c r="G28" s="340"/>
      <c r="H28" s="340"/>
      <c r="I28" s="341"/>
    </row>
    <row r="29" spans="1:9" x14ac:dyDescent="0.25">
      <c r="B29" s="451"/>
      <c r="C29" s="451"/>
      <c r="D29" s="451"/>
      <c r="E29" s="451"/>
      <c r="F29" s="451"/>
      <c r="G29" s="451"/>
      <c r="H29" s="451"/>
      <c r="I29" s="451"/>
    </row>
    <row r="30" spans="1:9" ht="16.5" thickBot="1" x14ac:dyDescent="0.3">
      <c r="A30" s="325" t="s">
        <v>367</v>
      </c>
      <c r="I30" s="451"/>
    </row>
    <row r="31" spans="1:9" ht="26.25" x14ac:dyDescent="0.25">
      <c r="A31" s="262" t="s">
        <v>115</v>
      </c>
      <c r="B31" s="263" t="s">
        <v>1</v>
      </c>
      <c r="C31" s="263" t="s">
        <v>105</v>
      </c>
      <c r="D31" s="263" t="s">
        <v>208</v>
      </c>
      <c r="E31" s="263" t="s">
        <v>120</v>
      </c>
      <c r="F31" s="263" t="s">
        <v>61</v>
      </c>
      <c r="G31" s="263" t="s">
        <v>121</v>
      </c>
      <c r="H31" s="264" t="s">
        <v>12</v>
      </c>
      <c r="I31" s="451"/>
    </row>
    <row r="32" spans="1:9" x14ac:dyDescent="0.25">
      <c r="A32" s="265"/>
      <c r="B32" s="266"/>
      <c r="C32" s="266"/>
      <c r="D32" s="266"/>
      <c r="E32" s="266"/>
      <c r="F32" s="266"/>
      <c r="G32" s="266"/>
      <c r="H32" s="267"/>
      <c r="I32" s="451"/>
    </row>
    <row r="33" spans="1:9" x14ac:dyDescent="0.25">
      <c r="A33" s="265" t="s">
        <v>354</v>
      </c>
      <c r="B33" s="266">
        <v>29124</v>
      </c>
      <c r="C33" s="266">
        <v>3366</v>
      </c>
      <c r="D33" s="266">
        <v>403</v>
      </c>
      <c r="E33" s="266">
        <v>402</v>
      </c>
      <c r="F33" s="266">
        <v>8846</v>
      </c>
      <c r="G33" s="266">
        <v>19</v>
      </c>
      <c r="H33" s="267">
        <v>42160</v>
      </c>
      <c r="I33" s="451"/>
    </row>
    <row r="34" spans="1:9" x14ac:dyDescent="0.25">
      <c r="A34" s="265" t="s">
        <v>355</v>
      </c>
      <c r="B34" s="266">
        <v>29327</v>
      </c>
      <c r="C34" s="266">
        <v>3448</v>
      </c>
      <c r="D34" s="266">
        <v>366</v>
      </c>
      <c r="E34" s="266">
        <v>392</v>
      </c>
      <c r="F34" s="266">
        <v>8846</v>
      </c>
      <c r="G34" s="266">
        <v>21</v>
      </c>
      <c r="H34" s="267">
        <v>42400</v>
      </c>
      <c r="I34" s="451"/>
    </row>
    <row r="35" spans="1:9" x14ac:dyDescent="0.25">
      <c r="A35" s="265" t="s">
        <v>356</v>
      </c>
      <c r="B35" s="266">
        <v>29504</v>
      </c>
      <c r="C35" s="266">
        <v>3474</v>
      </c>
      <c r="D35" s="266">
        <v>373</v>
      </c>
      <c r="E35" s="266">
        <v>374</v>
      </c>
      <c r="F35" s="266">
        <v>8846</v>
      </c>
      <c r="G35" s="266">
        <v>21</v>
      </c>
      <c r="H35" s="267">
        <v>42592</v>
      </c>
      <c r="I35" s="451"/>
    </row>
    <row r="36" spans="1:9" x14ac:dyDescent="0.25">
      <c r="A36" s="265" t="s">
        <v>357</v>
      </c>
      <c r="B36" s="266">
        <v>29514</v>
      </c>
      <c r="C36" s="266">
        <v>3464</v>
      </c>
      <c r="D36" s="266">
        <v>370</v>
      </c>
      <c r="E36" s="266">
        <v>362</v>
      </c>
      <c r="F36" s="266">
        <v>8846</v>
      </c>
      <c r="G36" s="266">
        <v>21</v>
      </c>
      <c r="H36" s="267">
        <v>42577</v>
      </c>
      <c r="I36" s="451"/>
    </row>
    <row r="37" spans="1:9" x14ac:dyDescent="0.25">
      <c r="A37" s="265" t="s">
        <v>358</v>
      </c>
      <c r="B37" s="266">
        <v>29566</v>
      </c>
      <c r="C37" s="266">
        <v>3431</v>
      </c>
      <c r="D37" s="266">
        <v>373</v>
      </c>
      <c r="E37" s="266">
        <v>360</v>
      </c>
      <c r="F37" s="266">
        <v>8839</v>
      </c>
      <c r="G37" s="266">
        <v>21</v>
      </c>
      <c r="H37" s="267">
        <v>42590</v>
      </c>
      <c r="I37" s="451"/>
    </row>
    <row r="38" spans="1:9" x14ac:dyDescent="0.25">
      <c r="A38" s="265" t="s">
        <v>359</v>
      </c>
      <c r="B38" s="266">
        <v>29620</v>
      </c>
      <c r="C38" s="266">
        <v>3414</v>
      </c>
      <c r="D38" s="266">
        <v>361</v>
      </c>
      <c r="E38" s="266">
        <v>362</v>
      </c>
      <c r="F38" s="266">
        <v>8872</v>
      </c>
      <c r="G38" s="266">
        <v>21</v>
      </c>
      <c r="H38" s="267">
        <v>42650</v>
      </c>
      <c r="I38" s="451"/>
    </row>
    <row r="39" spans="1:9" x14ac:dyDescent="0.25">
      <c r="A39" s="265" t="s">
        <v>360</v>
      </c>
      <c r="B39" s="266">
        <v>29729</v>
      </c>
      <c r="C39" s="266">
        <v>3417</v>
      </c>
      <c r="D39" s="266">
        <v>361</v>
      </c>
      <c r="E39" s="266">
        <v>361</v>
      </c>
      <c r="F39" s="266">
        <v>8070</v>
      </c>
      <c r="G39" s="266">
        <v>21</v>
      </c>
      <c r="H39" s="267">
        <v>41959</v>
      </c>
      <c r="I39" s="451"/>
    </row>
    <row r="40" spans="1:9" x14ac:dyDescent="0.25">
      <c r="A40" s="265" t="s">
        <v>361</v>
      </c>
      <c r="B40" s="266">
        <v>29837</v>
      </c>
      <c r="C40" s="266">
        <v>3414</v>
      </c>
      <c r="D40" s="266">
        <v>362</v>
      </c>
      <c r="E40" s="266">
        <v>355</v>
      </c>
      <c r="F40" s="266">
        <v>8070</v>
      </c>
      <c r="G40" s="266">
        <v>23</v>
      </c>
      <c r="H40" s="267">
        <v>42061</v>
      </c>
      <c r="I40" s="451"/>
    </row>
    <row r="41" spans="1:9" x14ac:dyDescent="0.25">
      <c r="A41" s="265" t="s">
        <v>362</v>
      </c>
      <c r="B41" s="266">
        <v>29897</v>
      </c>
      <c r="C41" s="266">
        <v>3388</v>
      </c>
      <c r="D41" s="266">
        <v>362</v>
      </c>
      <c r="E41" s="266">
        <v>350</v>
      </c>
      <c r="F41" s="266">
        <v>8037</v>
      </c>
      <c r="G41" s="266">
        <v>23</v>
      </c>
      <c r="H41" s="267">
        <v>42057</v>
      </c>
      <c r="I41" s="451"/>
    </row>
    <row r="42" spans="1:9" x14ac:dyDescent="0.25">
      <c r="A42" s="265" t="s">
        <v>363</v>
      </c>
      <c r="B42" s="266">
        <v>30026</v>
      </c>
      <c r="C42" s="266">
        <v>3355</v>
      </c>
      <c r="D42" s="266">
        <v>370</v>
      </c>
      <c r="E42" s="266">
        <v>348</v>
      </c>
      <c r="F42" s="266">
        <v>8037</v>
      </c>
      <c r="G42" s="266">
        <v>24</v>
      </c>
      <c r="H42" s="267">
        <v>42160</v>
      </c>
      <c r="I42" s="451"/>
    </row>
    <row r="43" spans="1:9" x14ac:dyDescent="0.25">
      <c r="A43" s="265" t="s">
        <v>364</v>
      </c>
      <c r="B43" s="266">
        <v>30134</v>
      </c>
      <c r="C43" s="266">
        <v>3423</v>
      </c>
      <c r="D43" s="266">
        <v>308</v>
      </c>
      <c r="E43" s="266">
        <v>330</v>
      </c>
      <c r="F43" s="266">
        <v>8037</v>
      </c>
      <c r="G43" s="266">
        <v>24</v>
      </c>
      <c r="H43" s="267">
        <v>42256</v>
      </c>
      <c r="I43" s="451"/>
    </row>
    <row r="44" spans="1:9" x14ac:dyDescent="0.25">
      <c r="A44" s="265" t="s">
        <v>365</v>
      </c>
      <c r="B44" s="266">
        <v>30236.906716667905</v>
      </c>
      <c r="C44" s="266">
        <v>3428.7528206840029</v>
      </c>
      <c r="D44" s="266">
        <v>305.26487205507169</v>
      </c>
      <c r="E44" s="266">
        <v>324.74402274785342</v>
      </c>
      <c r="F44" s="266">
        <v>8037</v>
      </c>
      <c r="G44" s="266">
        <v>24.567276048890488</v>
      </c>
      <c r="H44" s="267">
        <v>42357.23570820372</v>
      </c>
      <c r="I44" s="451"/>
    </row>
    <row r="45" spans="1:9" ht="16.5" thickBot="1" x14ac:dyDescent="0.3">
      <c r="A45" s="268" t="s">
        <v>366</v>
      </c>
      <c r="B45" s="269">
        <v>30340.164856722531</v>
      </c>
      <c r="C45" s="269">
        <v>3434.5153097716934</v>
      </c>
      <c r="D45" s="269">
        <v>302.55403282727042</v>
      </c>
      <c r="E45" s="269">
        <v>319.5717585165404</v>
      </c>
      <c r="F45" s="269">
        <v>8037</v>
      </c>
      <c r="G45" s="269">
        <v>25.147960519266174</v>
      </c>
      <c r="H45" s="270">
        <v>42458.9539183573</v>
      </c>
      <c r="I45" s="451"/>
    </row>
    <row r="46" spans="1:9" x14ac:dyDescent="0.25">
      <c r="A46" s="278"/>
      <c r="B46" s="279"/>
      <c r="C46" s="279"/>
      <c r="D46" s="279"/>
      <c r="E46" s="279"/>
      <c r="F46" s="279"/>
      <c r="G46" s="279"/>
      <c r="H46" s="279"/>
      <c r="I46" s="451"/>
    </row>
    <row r="47" spans="1:9" x14ac:dyDescent="0.25">
      <c r="A47" s="325" t="s">
        <v>379</v>
      </c>
      <c r="B47" s="451"/>
      <c r="C47" s="451"/>
      <c r="D47" s="451"/>
      <c r="E47" s="451"/>
      <c r="F47" s="451"/>
      <c r="G47" s="451"/>
      <c r="H47" s="451"/>
      <c r="I47" s="451"/>
    </row>
    <row r="48" spans="1:9" x14ac:dyDescent="0.25">
      <c r="C48" s="342"/>
      <c r="D48" s="342"/>
      <c r="E48" s="342"/>
      <c r="F48" s="342"/>
      <c r="G48" s="342"/>
      <c r="H48" s="342"/>
      <c r="I48" s="342"/>
    </row>
    <row r="49" spans="1:10" ht="16.5" thickBot="1" x14ac:dyDescent="0.3">
      <c r="A49" s="604" t="s">
        <v>375</v>
      </c>
      <c r="B49" s="604"/>
      <c r="C49" s="604"/>
      <c r="D49" s="604"/>
      <c r="E49" s="604"/>
      <c r="F49" s="604"/>
      <c r="G49" s="604"/>
    </row>
    <row r="50" spans="1:10" ht="63" x14ac:dyDescent="0.25">
      <c r="A50" s="423" t="s">
        <v>115</v>
      </c>
      <c r="B50" s="424" t="s">
        <v>141</v>
      </c>
      <c r="C50" s="424" t="s">
        <v>116</v>
      </c>
      <c r="D50" s="424" t="s">
        <v>142</v>
      </c>
      <c r="E50" s="424" t="s">
        <v>116</v>
      </c>
      <c r="F50" s="424" t="s">
        <v>117</v>
      </c>
      <c r="G50" s="457" t="s">
        <v>118</v>
      </c>
    </row>
    <row r="51" spans="1:10" x14ac:dyDescent="0.25">
      <c r="A51" s="600" t="s">
        <v>119</v>
      </c>
      <c r="B51" s="601"/>
      <c r="C51" s="601"/>
      <c r="D51" s="601"/>
      <c r="E51" s="601"/>
      <c r="F51" s="601"/>
      <c r="G51" s="602"/>
    </row>
    <row r="52" spans="1:10" x14ac:dyDescent="0.25">
      <c r="A52" s="458"/>
      <c r="B52" s="345"/>
      <c r="C52" s="345"/>
      <c r="D52" s="345"/>
      <c r="E52" s="345"/>
      <c r="F52" s="345"/>
      <c r="G52" s="459"/>
    </row>
    <row r="53" spans="1:10" x14ac:dyDescent="0.25">
      <c r="A53" s="327" t="s">
        <v>309</v>
      </c>
      <c r="B53" s="347"/>
      <c r="C53" s="345"/>
      <c r="D53" s="348">
        <v>628.9</v>
      </c>
      <c r="E53" s="347"/>
      <c r="F53" s="349">
        <v>42050</v>
      </c>
      <c r="G53" s="459"/>
      <c r="J53" s="350"/>
    </row>
    <row r="54" spans="1:10" x14ac:dyDescent="0.25">
      <c r="A54" s="458"/>
      <c r="B54" s="345"/>
      <c r="C54" s="345"/>
      <c r="D54" s="345"/>
      <c r="E54" s="345"/>
      <c r="F54" s="345"/>
      <c r="G54" s="459"/>
      <c r="J54" s="342"/>
    </row>
    <row r="55" spans="1:10" hidden="1" x14ac:dyDescent="0.25">
      <c r="A55" s="327">
        <v>2003</v>
      </c>
      <c r="B55" s="351">
        <v>719.28609800000004</v>
      </c>
      <c r="C55" s="347"/>
      <c r="D55" s="351">
        <f t="shared" ref="D55:D73" si="3">B55*F225</f>
        <v>704.85689775647893</v>
      </c>
      <c r="E55" s="347"/>
      <c r="F55" s="349">
        <v>41290</v>
      </c>
      <c r="G55" s="460"/>
      <c r="J55" s="342"/>
    </row>
    <row r="56" spans="1:10" hidden="1" x14ac:dyDescent="0.25">
      <c r="A56" s="327">
        <v>2004</v>
      </c>
      <c r="B56" s="351">
        <v>727.30812000000003</v>
      </c>
      <c r="C56" s="352">
        <v>8.0220219999999927</v>
      </c>
      <c r="D56" s="351">
        <f t="shared" si="3"/>
        <v>717.76394682403679</v>
      </c>
      <c r="E56" s="352">
        <f t="shared" ref="E56:E75" si="4">D56-D55</f>
        <v>12.907049067557864</v>
      </c>
      <c r="F56" s="349">
        <v>41351</v>
      </c>
      <c r="G56" s="461">
        <f t="shared" ref="G56:G75" si="5">F56-F55</f>
        <v>61</v>
      </c>
    </row>
    <row r="57" spans="1:10" hidden="1" x14ac:dyDescent="0.25">
      <c r="A57" s="327">
        <v>2005</v>
      </c>
      <c r="B57" s="351">
        <v>717.783995</v>
      </c>
      <c r="C57" s="352">
        <v>-9.5241250000000264</v>
      </c>
      <c r="D57" s="351">
        <f t="shared" si="3"/>
        <v>711.56837196338529</v>
      </c>
      <c r="E57" s="352">
        <f t="shared" si="4"/>
        <v>-6.1955748606515044</v>
      </c>
      <c r="F57" s="349">
        <v>41409</v>
      </c>
      <c r="G57" s="461">
        <f t="shared" si="5"/>
        <v>58</v>
      </c>
    </row>
    <row r="58" spans="1:10" hidden="1" x14ac:dyDescent="0.25">
      <c r="A58" s="327">
        <v>2006</v>
      </c>
      <c r="B58" s="351">
        <v>697.140805</v>
      </c>
      <c r="C58" s="352">
        <v>-20.643190000000004</v>
      </c>
      <c r="D58" s="351">
        <f t="shared" si="3"/>
        <v>708.64145029330507</v>
      </c>
      <c r="E58" s="352">
        <f t="shared" si="4"/>
        <v>-2.926921670080219</v>
      </c>
      <c r="F58" s="349">
        <v>41469</v>
      </c>
      <c r="G58" s="461">
        <f t="shared" si="5"/>
        <v>60</v>
      </c>
    </row>
    <row r="59" spans="1:10" hidden="1" x14ac:dyDescent="0.25">
      <c r="A59" s="327">
        <v>2007</v>
      </c>
      <c r="B59" s="351">
        <v>701.80077200000005</v>
      </c>
      <c r="C59" s="352">
        <v>4.6599670000000515</v>
      </c>
      <c r="D59" s="351">
        <f t="shared" si="3"/>
        <v>698.35961950314231</v>
      </c>
      <c r="E59" s="352">
        <f t="shared" si="4"/>
        <v>-10.281830790162758</v>
      </c>
      <c r="F59" s="349">
        <v>41538</v>
      </c>
      <c r="G59" s="461">
        <f t="shared" si="5"/>
        <v>69</v>
      </c>
    </row>
    <row r="60" spans="1:10" x14ac:dyDescent="0.25">
      <c r="A60" s="327">
        <v>2008</v>
      </c>
      <c r="B60" s="351">
        <v>710.69862599999999</v>
      </c>
      <c r="C60" s="352">
        <v>8.8978539999999384</v>
      </c>
      <c r="D60" s="351">
        <f t="shared" si="3"/>
        <v>701.04739959812071</v>
      </c>
      <c r="E60" s="352">
        <f t="shared" si="4"/>
        <v>2.6877800949783932</v>
      </c>
      <c r="F60" s="349">
        <v>41729</v>
      </c>
      <c r="G60" s="461">
        <f t="shared" si="5"/>
        <v>191</v>
      </c>
    </row>
    <row r="61" spans="1:10" x14ac:dyDescent="0.25">
      <c r="A61" s="327">
        <v>2009</v>
      </c>
      <c r="B61" s="351">
        <v>707.75670000000002</v>
      </c>
      <c r="C61" s="352">
        <v>-2.9419259999999667</v>
      </c>
      <c r="D61" s="351">
        <f t="shared" si="3"/>
        <v>698.64297715918633</v>
      </c>
      <c r="E61" s="352">
        <f t="shared" si="4"/>
        <v>-2.4044224389343754</v>
      </c>
      <c r="F61" s="349">
        <v>41995</v>
      </c>
      <c r="G61" s="461">
        <f t="shared" si="5"/>
        <v>266</v>
      </c>
    </row>
    <row r="62" spans="1:10" x14ac:dyDescent="0.25">
      <c r="A62" s="327">
        <v>2010</v>
      </c>
      <c r="B62" s="351">
        <v>683.75786200000005</v>
      </c>
      <c r="C62" s="352">
        <v>-23.998837999999978</v>
      </c>
      <c r="D62" s="351">
        <f t="shared" si="3"/>
        <v>691.38501755186439</v>
      </c>
      <c r="E62" s="352">
        <f t="shared" si="4"/>
        <v>-7.2579596073219363</v>
      </c>
      <c r="F62" s="349">
        <v>42110</v>
      </c>
      <c r="G62" s="461">
        <f t="shared" si="5"/>
        <v>115</v>
      </c>
    </row>
    <row r="63" spans="1:10" x14ac:dyDescent="0.25">
      <c r="A63" s="327">
        <v>2011</v>
      </c>
      <c r="B63" s="351">
        <f>Summary!B8/1000000</f>
        <v>711.92901700000004</v>
      </c>
      <c r="C63" s="352">
        <f t="shared" ref="C63:C73" si="6">B63-B62</f>
        <v>28.171154999999999</v>
      </c>
      <c r="D63" s="351">
        <f t="shared" si="3"/>
        <v>714.96782310123615</v>
      </c>
      <c r="E63" s="352">
        <f t="shared" si="4"/>
        <v>23.582805549371756</v>
      </c>
      <c r="F63" s="349">
        <f>Summary!B41</f>
        <v>42160</v>
      </c>
      <c r="G63" s="461">
        <f t="shared" si="5"/>
        <v>50</v>
      </c>
    </row>
    <row r="64" spans="1:10" x14ac:dyDescent="0.25">
      <c r="A64" s="327">
        <v>2012</v>
      </c>
      <c r="B64" s="351">
        <f>Summary!C8/1000000</f>
        <v>676.76570900000002</v>
      </c>
      <c r="C64" s="352">
        <f t="shared" si="6"/>
        <v>-35.163308000000029</v>
      </c>
      <c r="D64" s="351">
        <f t="shared" si="3"/>
        <v>696.81202248797445</v>
      </c>
      <c r="E64" s="352">
        <f t="shared" si="4"/>
        <v>-18.155800613261704</v>
      </c>
      <c r="F64" s="349">
        <f>Summary!C41</f>
        <v>42400</v>
      </c>
      <c r="G64" s="461">
        <f t="shared" si="5"/>
        <v>240</v>
      </c>
    </row>
    <row r="65" spans="1:9" x14ac:dyDescent="0.25">
      <c r="A65" s="327">
        <v>2013</v>
      </c>
      <c r="B65" s="351">
        <f>Summary!D8/1000000</f>
        <v>688.24416699999995</v>
      </c>
      <c r="C65" s="352">
        <f t="shared" si="6"/>
        <v>11.478457999999932</v>
      </c>
      <c r="D65" s="351">
        <f t="shared" si="3"/>
        <v>676.66726151155115</v>
      </c>
      <c r="E65" s="352">
        <f t="shared" si="4"/>
        <v>-20.144760976423299</v>
      </c>
      <c r="F65" s="349">
        <f>Summary!D41</f>
        <v>42592</v>
      </c>
      <c r="G65" s="461">
        <f t="shared" si="5"/>
        <v>192</v>
      </c>
    </row>
    <row r="66" spans="1:9" x14ac:dyDescent="0.25">
      <c r="A66" s="327">
        <v>2014</v>
      </c>
      <c r="B66" s="351">
        <f>Summary!E8/1000000</f>
        <v>701.84312699999998</v>
      </c>
      <c r="C66" s="352">
        <f t="shared" si="6"/>
        <v>13.598960000000034</v>
      </c>
      <c r="D66" s="351">
        <f t="shared" si="3"/>
        <v>682.93498667611607</v>
      </c>
      <c r="E66" s="352">
        <f t="shared" si="4"/>
        <v>6.2677251645649221</v>
      </c>
      <c r="F66" s="349">
        <f>Summary!E41</f>
        <v>42577</v>
      </c>
      <c r="G66" s="461">
        <f t="shared" si="5"/>
        <v>-15</v>
      </c>
    </row>
    <row r="67" spans="1:9" x14ac:dyDescent="0.25">
      <c r="A67" s="327">
        <v>2015</v>
      </c>
      <c r="B67" s="351">
        <f>Summary!F8/1000000</f>
        <v>669.38752599999998</v>
      </c>
      <c r="C67" s="352">
        <f t="shared" si="6"/>
        <v>-32.455601000000001</v>
      </c>
      <c r="D67" s="351">
        <f t="shared" si="3"/>
        <v>661.90701074780463</v>
      </c>
      <c r="E67" s="352">
        <f t="shared" si="4"/>
        <v>-21.027975928311434</v>
      </c>
      <c r="F67" s="349">
        <f>Summary!F41</f>
        <v>42590</v>
      </c>
      <c r="G67" s="461">
        <f t="shared" si="5"/>
        <v>13</v>
      </c>
    </row>
    <row r="68" spans="1:9" x14ac:dyDescent="0.25">
      <c r="A68" s="327">
        <v>2016</v>
      </c>
      <c r="B68" s="351">
        <f>Summary!G8/1000000</f>
        <v>636.87624392999999</v>
      </c>
      <c r="C68" s="352">
        <f t="shared" si="6"/>
        <v>-32.511282069999993</v>
      </c>
      <c r="D68" s="351">
        <f t="shared" si="3"/>
        <v>645.70620252506524</v>
      </c>
      <c r="E68" s="352">
        <f t="shared" si="4"/>
        <v>-16.200808222739397</v>
      </c>
      <c r="F68" s="349">
        <f>Summary!G41</f>
        <v>42650</v>
      </c>
      <c r="G68" s="461">
        <f t="shared" si="5"/>
        <v>60</v>
      </c>
    </row>
    <row r="69" spans="1:9" ht="12.75" customHeight="1" x14ac:dyDescent="0.25">
      <c r="A69" s="462">
        <v>2017</v>
      </c>
      <c r="B69" s="351">
        <f>Summary!H8/1000000</f>
        <v>622.5425133</v>
      </c>
      <c r="C69" s="352">
        <f t="shared" si="6"/>
        <v>-14.333730629999991</v>
      </c>
      <c r="D69" s="351">
        <f t="shared" si="3"/>
        <v>631.45490037498803</v>
      </c>
      <c r="E69" s="352">
        <f t="shared" si="4"/>
        <v>-14.251302150077208</v>
      </c>
      <c r="F69" s="349">
        <f>Summary!H41</f>
        <v>41959</v>
      </c>
      <c r="G69" s="461">
        <f t="shared" si="5"/>
        <v>-691</v>
      </c>
    </row>
    <row r="70" spans="1:9" x14ac:dyDescent="0.25">
      <c r="A70" s="327">
        <v>2018</v>
      </c>
      <c r="B70" s="351">
        <f>Summary!J8/1000000</f>
        <v>633.69792679000011</v>
      </c>
      <c r="C70" s="352">
        <f t="shared" si="6"/>
        <v>11.155413490000115</v>
      </c>
      <c r="D70" s="351">
        <f t="shared" si="3"/>
        <v>618.32132236488076</v>
      </c>
      <c r="E70" s="352">
        <f t="shared" si="4"/>
        <v>-13.133578010107271</v>
      </c>
      <c r="F70" s="349">
        <f>'Rate Class Customer Model'!$H$11</f>
        <v>42061</v>
      </c>
      <c r="G70" s="461">
        <f t="shared" si="5"/>
        <v>102</v>
      </c>
    </row>
    <row r="71" spans="1:9" x14ac:dyDescent="0.25">
      <c r="A71" s="327">
        <v>2019</v>
      </c>
      <c r="B71" s="351">
        <f>Summary!K8/1000000</f>
        <v>631.94581402999984</v>
      </c>
      <c r="C71" s="352">
        <f t="shared" si="6"/>
        <v>-1.7521127600002728</v>
      </c>
      <c r="D71" s="351">
        <f t="shared" si="3"/>
        <v>619.53589606289768</v>
      </c>
      <c r="E71" s="352">
        <f t="shared" si="4"/>
        <v>1.2145736980169204</v>
      </c>
      <c r="F71" s="349">
        <f>'Rate Class Customer Model'!$H$12</f>
        <v>42057</v>
      </c>
      <c r="G71" s="461">
        <f t="shared" si="5"/>
        <v>-4</v>
      </c>
    </row>
    <row r="72" spans="1:9" x14ac:dyDescent="0.25">
      <c r="A72" s="327">
        <v>2020</v>
      </c>
      <c r="B72" s="351">
        <f>Summary!L8/1000000</f>
        <v>631.17970367999999</v>
      </c>
      <c r="C72" s="352">
        <f t="shared" si="6"/>
        <v>-0.76611034999984895</v>
      </c>
      <c r="D72" s="351">
        <f t="shared" si="3"/>
        <v>632.21093911142657</v>
      </c>
      <c r="E72" s="352">
        <f t="shared" si="4"/>
        <v>12.675043048528892</v>
      </c>
      <c r="F72" s="349">
        <f>'Rate Class Customer Model'!$H$13</f>
        <v>42183</v>
      </c>
      <c r="G72" s="461">
        <f t="shared" si="5"/>
        <v>126</v>
      </c>
    </row>
    <row r="73" spans="1:9" x14ac:dyDescent="0.25">
      <c r="A73" s="327">
        <v>2021</v>
      </c>
      <c r="B73" s="351">
        <f>Summary!M8/1000000</f>
        <v>622.53683763999993</v>
      </c>
      <c r="C73" s="352">
        <f t="shared" si="6"/>
        <v>-8.6428660400000581</v>
      </c>
      <c r="D73" s="351">
        <f t="shared" si="3"/>
        <v>651.09980223231776</v>
      </c>
      <c r="E73" s="352">
        <f t="shared" si="4"/>
        <v>18.888863120891187</v>
      </c>
      <c r="F73" s="349">
        <f>'Rate Class Customer Model'!$H$14</f>
        <v>42272</v>
      </c>
      <c r="G73" s="461">
        <f t="shared" si="5"/>
        <v>89</v>
      </c>
    </row>
    <row r="74" spans="1:9" x14ac:dyDescent="0.25">
      <c r="A74" s="327" t="s">
        <v>310</v>
      </c>
      <c r="B74" s="351"/>
      <c r="C74" s="352"/>
      <c r="D74" s="351">
        <f>Summary!N42/1000000</f>
        <v>602.65604254974187</v>
      </c>
      <c r="E74" s="352">
        <f t="shared" si="4"/>
        <v>-48.443759682575887</v>
      </c>
      <c r="F74" s="354">
        <f>'Rate Class Customer Model'!$H$15</f>
        <v>42367.192455527627</v>
      </c>
      <c r="G74" s="461">
        <f t="shared" si="5"/>
        <v>95.192455527627317</v>
      </c>
    </row>
    <row r="75" spans="1:9" ht="16.5" thickBot="1" x14ac:dyDescent="0.3">
      <c r="A75" s="419" t="s">
        <v>318</v>
      </c>
      <c r="B75" s="463"/>
      <c r="C75" s="463"/>
      <c r="D75" s="463">
        <f>Summary!O42/1000000</f>
        <v>575.167212872351</v>
      </c>
      <c r="E75" s="464">
        <f t="shared" si="4"/>
        <v>-27.488829677390868</v>
      </c>
      <c r="F75" s="465">
        <f>'Rate Class Customer Model'!$H$16</f>
        <v>42462.939233413854</v>
      </c>
      <c r="G75" s="466">
        <f t="shared" si="5"/>
        <v>95.746777886226482</v>
      </c>
    </row>
    <row r="77" spans="1:9" ht="16.5" thickBot="1" x14ac:dyDescent="0.3">
      <c r="A77" s="325" t="s">
        <v>380</v>
      </c>
      <c r="B77" s="325"/>
      <c r="C77" s="325"/>
      <c r="D77" s="325"/>
    </row>
    <row r="78" spans="1:9" ht="47.25" x14ac:dyDescent="0.25">
      <c r="A78" s="478" t="s">
        <v>115</v>
      </c>
      <c r="B78" s="424" t="s">
        <v>1</v>
      </c>
      <c r="C78" s="424" t="s">
        <v>105</v>
      </c>
      <c r="D78" s="425" t="s">
        <v>376</v>
      </c>
      <c r="E78" s="424" t="s">
        <v>120</v>
      </c>
      <c r="F78" s="424" t="s">
        <v>61</v>
      </c>
      <c r="G78" s="424" t="s">
        <v>121</v>
      </c>
      <c r="H78" s="457" t="s">
        <v>12</v>
      </c>
    </row>
    <row r="79" spans="1:9" ht="14.25" customHeight="1" x14ac:dyDescent="0.25">
      <c r="A79" s="467" t="s">
        <v>143</v>
      </c>
      <c r="B79" s="355"/>
      <c r="C79" s="355"/>
      <c r="D79" s="355"/>
      <c r="E79" s="355"/>
      <c r="F79" s="355"/>
      <c r="H79" s="468"/>
      <c r="I79" s="356"/>
    </row>
    <row r="80" spans="1:9" ht="14.25" hidden="1" customHeight="1" x14ac:dyDescent="0.25">
      <c r="A80" s="469">
        <f t="shared" ref="A80:A93" si="7">A55</f>
        <v>2003</v>
      </c>
      <c r="B80" s="358">
        <v>351.03789</v>
      </c>
      <c r="C80" s="358">
        <v>96.164282</v>
      </c>
      <c r="D80" s="358">
        <v>263.76318600000002</v>
      </c>
      <c r="E80" s="358">
        <v>0.27656199999999997</v>
      </c>
      <c r="F80" s="358">
        <v>7.1925410000000003</v>
      </c>
      <c r="G80" s="358">
        <v>0.85163699999999998</v>
      </c>
      <c r="H80" s="470">
        <f t="shared" ref="H80:H98" si="8">SUM(B80:G80)</f>
        <v>719.28609800000004</v>
      </c>
      <c r="I80" s="356"/>
    </row>
    <row r="81" spans="1:9" ht="14.25" hidden="1" customHeight="1" x14ac:dyDescent="0.25">
      <c r="A81" s="469">
        <f t="shared" si="7"/>
        <v>2004</v>
      </c>
      <c r="B81" s="358">
        <v>356.49049200000002</v>
      </c>
      <c r="C81" s="358">
        <v>95.721846999999997</v>
      </c>
      <c r="D81" s="358">
        <v>266.586772</v>
      </c>
      <c r="E81" s="358">
        <v>0.29122799999999999</v>
      </c>
      <c r="F81" s="358">
        <v>7.375127</v>
      </c>
      <c r="G81" s="358">
        <v>0.84265400000000001</v>
      </c>
      <c r="H81" s="470">
        <f t="shared" si="8"/>
        <v>727.30812000000014</v>
      </c>
      <c r="I81" s="356"/>
    </row>
    <row r="82" spans="1:9" ht="14.25" hidden="1" customHeight="1" x14ac:dyDescent="0.25">
      <c r="A82" s="469">
        <f t="shared" si="7"/>
        <v>2005</v>
      </c>
      <c r="B82" s="358">
        <v>347.27425899999997</v>
      </c>
      <c r="C82" s="358">
        <v>95.591622000000001</v>
      </c>
      <c r="D82" s="358">
        <v>266.071754</v>
      </c>
      <c r="E82" s="358">
        <v>0.28140599999999999</v>
      </c>
      <c r="F82" s="358">
        <v>7.7191270000000003</v>
      </c>
      <c r="G82" s="358">
        <v>0.845827</v>
      </c>
      <c r="H82" s="470">
        <f t="shared" si="8"/>
        <v>717.78399499999989</v>
      </c>
      <c r="I82" s="356"/>
    </row>
    <row r="83" spans="1:9" ht="14.25" hidden="1" customHeight="1" x14ac:dyDescent="0.25">
      <c r="A83" s="469">
        <f t="shared" si="7"/>
        <v>2006</v>
      </c>
      <c r="B83" s="358">
        <v>335.39553899999999</v>
      </c>
      <c r="C83" s="358">
        <v>86.770872999999995</v>
      </c>
      <c r="D83" s="358">
        <v>266.238407</v>
      </c>
      <c r="E83" s="358">
        <v>0.274009</v>
      </c>
      <c r="F83" s="358">
        <v>7.6058240000000001</v>
      </c>
      <c r="G83" s="358">
        <v>0.85615300000000005</v>
      </c>
      <c r="H83" s="470">
        <f t="shared" si="8"/>
        <v>697.14080499999989</v>
      </c>
      <c r="I83" s="356"/>
    </row>
    <row r="84" spans="1:9" hidden="1" x14ac:dyDescent="0.25">
      <c r="A84" s="469">
        <f t="shared" si="7"/>
        <v>2007</v>
      </c>
      <c r="B84" s="358">
        <v>338.87433700000003</v>
      </c>
      <c r="C84" s="358">
        <v>94.225468000000006</v>
      </c>
      <c r="D84" s="358">
        <v>259.93040300000001</v>
      </c>
      <c r="E84" s="358">
        <v>0.26905400000000002</v>
      </c>
      <c r="F84" s="358">
        <v>7.6375279999999997</v>
      </c>
      <c r="G84" s="358">
        <v>0.86398200000000003</v>
      </c>
      <c r="H84" s="470">
        <f t="shared" si="8"/>
        <v>701.80077200000005</v>
      </c>
      <c r="I84" s="356"/>
    </row>
    <row r="85" spans="1:9" ht="12.75" customHeight="1" x14ac:dyDescent="0.25">
      <c r="A85" s="479">
        <f t="shared" si="7"/>
        <v>2008</v>
      </c>
      <c r="B85" s="358">
        <v>347.36322999999999</v>
      </c>
      <c r="C85" s="358">
        <v>93.474158000000003</v>
      </c>
      <c r="D85" s="358">
        <v>261.12394499999999</v>
      </c>
      <c r="E85" s="358">
        <v>0.26876299999999997</v>
      </c>
      <c r="F85" s="358">
        <v>7.6202050000000003</v>
      </c>
      <c r="G85" s="358">
        <v>0.848325</v>
      </c>
      <c r="H85" s="470">
        <f t="shared" si="8"/>
        <v>710.6986260000001</v>
      </c>
      <c r="I85" s="356"/>
    </row>
    <row r="86" spans="1:9" x14ac:dyDescent="0.25">
      <c r="A86" s="479">
        <f t="shared" si="7"/>
        <v>2009</v>
      </c>
      <c r="B86" s="358">
        <v>348.61935899999997</v>
      </c>
      <c r="C86" s="358">
        <v>91.450220999999999</v>
      </c>
      <c r="D86" s="358">
        <v>258.99814099999998</v>
      </c>
      <c r="E86" s="358">
        <v>0.26252199999999998</v>
      </c>
      <c r="F86" s="358">
        <v>7.6030090000000001</v>
      </c>
      <c r="G86" s="358">
        <v>0.82344799999999996</v>
      </c>
      <c r="H86" s="470">
        <f t="shared" si="8"/>
        <v>707.75669999999991</v>
      </c>
      <c r="I86" s="356"/>
    </row>
    <row r="87" spans="1:9" x14ac:dyDescent="0.25">
      <c r="A87" s="479">
        <f t="shared" si="7"/>
        <v>2010</v>
      </c>
      <c r="B87" s="358">
        <v>326.49371400000001</v>
      </c>
      <c r="C87" s="358">
        <v>91.377364</v>
      </c>
      <c r="D87" s="358">
        <v>257.03681999999998</v>
      </c>
      <c r="E87" s="358">
        <v>0.25814700000000002</v>
      </c>
      <c r="F87" s="358">
        <v>7.754588</v>
      </c>
      <c r="G87" s="358">
        <v>0.837229</v>
      </c>
      <c r="H87" s="470">
        <f t="shared" si="8"/>
        <v>683.75786199999993</v>
      </c>
      <c r="I87" s="356"/>
    </row>
    <row r="88" spans="1:9" x14ac:dyDescent="0.25">
      <c r="A88" s="479">
        <f t="shared" si="7"/>
        <v>2011</v>
      </c>
      <c r="B88" s="358">
        <f>'Rate Class Energy Model'!H6/1000000</f>
        <v>345.28227900000002</v>
      </c>
      <c r="C88" s="358">
        <f>'Rate Class Energy Model'!I6/1000000</f>
        <v>101.72829900000001</v>
      </c>
      <c r="D88" s="358">
        <f>'Rate Class Energy Model'!J6/1000000</f>
        <v>255.968368</v>
      </c>
      <c r="E88" s="358">
        <f>'Rate Class Energy Model'!K6/1000000</f>
        <v>0.26036199999999998</v>
      </c>
      <c r="F88" s="358">
        <f>'Rate Class Energy Model'!L6/1000000</f>
        <v>7.8148359999999997</v>
      </c>
      <c r="G88" s="358">
        <f>'Rate Class Energy Model'!M6/1000000</f>
        <v>0.87487300000000001</v>
      </c>
      <c r="H88" s="470">
        <f t="shared" si="8"/>
        <v>711.92901699999993</v>
      </c>
      <c r="I88" s="356"/>
    </row>
    <row r="89" spans="1:9" x14ac:dyDescent="0.25">
      <c r="A89" s="479">
        <f t="shared" si="7"/>
        <v>2012</v>
      </c>
      <c r="B89" s="358">
        <f>'Rate Class Energy Model'!H7/1000000</f>
        <v>316.12764499999997</v>
      </c>
      <c r="C89" s="358">
        <f>'Rate Class Energy Model'!I7/1000000</f>
        <v>97.479014000000006</v>
      </c>
      <c r="D89" s="358">
        <f>'Rate Class Energy Model'!J7/1000000</f>
        <v>254.314087</v>
      </c>
      <c r="E89" s="358">
        <f>'Rate Class Energy Model'!K7/1000000</f>
        <v>0.24651200000000001</v>
      </c>
      <c r="F89" s="358">
        <f>'Rate Class Energy Model'!L7/1000000</f>
        <v>7.736459</v>
      </c>
      <c r="G89" s="358">
        <f>'Rate Class Energy Model'!M7/1000000</f>
        <v>0.86199199999999998</v>
      </c>
      <c r="H89" s="470">
        <f t="shared" si="8"/>
        <v>676.76570900000002</v>
      </c>
      <c r="I89" s="356"/>
    </row>
    <row r="90" spans="1:9" x14ac:dyDescent="0.25">
      <c r="A90" s="479">
        <f t="shared" si="7"/>
        <v>2013</v>
      </c>
      <c r="B90" s="358">
        <f>'Rate Class Energy Model'!H8/1000000</f>
        <v>324.18539199999998</v>
      </c>
      <c r="C90" s="358">
        <f>'Rate Class Energy Model'!I8/1000000</f>
        <v>95.827695000000006</v>
      </c>
      <c r="D90" s="358">
        <f>'Rate Class Energy Model'!J8/1000000</f>
        <v>259.04874999999998</v>
      </c>
      <c r="E90" s="358">
        <f>'Rate Class Energy Model'!K8/1000000</f>
        <v>0.237315</v>
      </c>
      <c r="F90" s="358">
        <f>'Rate Class Energy Model'!L8/1000000</f>
        <v>8.0875920000000008</v>
      </c>
      <c r="G90" s="358">
        <f>'Rate Class Energy Model'!M8/1000000</f>
        <v>0.85742300000000005</v>
      </c>
      <c r="H90" s="470">
        <f t="shared" si="8"/>
        <v>688.24416699999995</v>
      </c>
      <c r="I90" s="356"/>
    </row>
    <row r="91" spans="1:9" x14ac:dyDescent="0.25">
      <c r="A91" s="479">
        <f t="shared" si="7"/>
        <v>2014</v>
      </c>
      <c r="B91" s="358">
        <f>'Rate Class Energy Model'!H9/1000000</f>
        <v>334.95038299999999</v>
      </c>
      <c r="C91" s="358">
        <f>'Rate Class Energy Model'!I9/1000000</f>
        <v>99.153425999999996</v>
      </c>
      <c r="D91" s="358">
        <f>'Rate Class Energy Model'!J9/1000000</f>
        <v>258.80783000000002</v>
      </c>
      <c r="E91" s="358">
        <f>'Rate Class Energy Model'!K9/1000000</f>
        <v>0.24334900000000001</v>
      </c>
      <c r="F91" s="358">
        <f>'Rate Class Energy Model'!L9/1000000</f>
        <v>7.8121150000000004</v>
      </c>
      <c r="G91" s="358">
        <f>'Rate Class Energy Model'!M9/1000000</f>
        <v>0.87602400000000002</v>
      </c>
      <c r="H91" s="470">
        <f t="shared" si="8"/>
        <v>701.84312699999987</v>
      </c>
      <c r="I91" s="356"/>
    </row>
    <row r="92" spans="1:9" x14ac:dyDescent="0.25">
      <c r="A92" s="479">
        <f t="shared" si="7"/>
        <v>2015</v>
      </c>
      <c r="B92" s="358">
        <f>'Rate Class Energy Model'!H10/1000000</f>
        <v>310.45823999999999</v>
      </c>
      <c r="C92" s="358">
        <f>'Rate Class Energy Model'!I10/1000000</f>
        <v>95.701161999999997</v>
      </c>
      <c r="D92" s="358">
        <f>'Rate Class Energy Model'!J10/1000000</f>
        <v>254.78456499999999</v>
      </c>
      <c r="E92" s="358">
        <f>'Rate Class Energy Model'!K10/1000000</f>
        <v>0.235238</v>
      </c>
      <c r="F92" s="358">
        <f>'Rate Class Energy Model'!L10/1000000</f>
        <v>7.2956120000000002</v>
      </c>
      <c r="G92" s="358">
        <f>'Rate Class Energy Model'!M10/1000000</f>
        <v>0.91270899999999999</v>
      </c>
      <c r="H92" s="470">
        <f t="shared" si="8"/>
        <v>669.38752599999987</v>
      </c>
      <c r="I92" s="356"/>
    </row>
    <row r="93" spans="1:9" x14ac:dyDescent="0.25">
      <c r="A93" s="479">
        <f t="shared" si="7"/>
        <v>2016</v>
      </c>
      <c r="B93" s="358">
        <f>'Rate Class Energy Model'!H11/1000000</f>
        <v>288.74648639999998</v>
      </c>
      <c r="C93" s="358">
        <f>'Rate Class Energy Model'!I11/1000000</f>
        <v>92.174995999999993</v>
      </c>
      <c r="D93" s="358">
        <f>'Rate Class Energy Model'!J11/1000000</f>
        <v>249.95517799999999</v>
      </c>
      <c r="E93" s="358">
        <f>'Rate Class Energy Model'!K11/1000000</f>
        <v>0.2270558</v>
      </c>
      <c r="F93" s="358">
        <f>'Rate Class Energy Model'!L11/1000000</f>
        <v>4.8692770999999997</v>
      </c>
      <c r="G93" s="358">
        <f>'Rate Class Energy Model'!M11/1000000</f>
        <v>0.90325063000000005</v>
      </c>
      <c r="H93" s="470">
        <f t="shared" si="8"/>
        <v>636.87624392999999</v>
      </c>
      <c r="I93" s="356"/>
    </row>
    <row r="94" spans="1:9" x14ac:dyDescent="0.25">
      <c r="A94" s="479">
        <v>2017</v>
      </c>
      <c r="B94" s="358">
        <f>'Rate Class Energy Model'!H12/1000000</f>
        <v>282.82054689999995</v>
      </c>
      <c r="C94" s="358">
        <f>'Rate Class Energy Model'!I12/1000000</f>
        <v>91.035995200000002</v>
      </c>
      <c r="D94" s="358">
        <f>'Rate Class Energy Model'!J12/1000000</f>
        <v>245.16637580000003</v>
      </c>
      <c r="E94" s="358">
        <f>'Rate Class Energy Model'!K12/1000000</f>
        <v>0.21366120000000002</v>
      </c>
      <c r="F94" s="358">
        <f>'Rate Class Energy Model'!L12/1000000</f>
        <v>2.3982212999999999</v>
      </c>
      <c r="G94" s="358">
        <f>'Rate Class Energy Model'!M12/1000000</f>
        <v>0.90771290000000004</v>
      </c>
      <c r="H94" s="470">
        <f t="shared" si="8"/>
        <v>622.54251330000011</v>
      </c>
      <c r="I94" s="356"/>
    </row>
    <row r="95" spans="1:9" x14ac:dyDescent="0.25">
      <c r="A95" s="479">
        <v>2018</v>
      </c>
      <c r="B95" s="358">
        <f>'Rate Class Energy Model'!H13/1000000</f>
        <v>295.61765050000002</v>
      </c>
      <c r="C95" s="358">
        <f>'Rate Class Energy Model'!I13/1000000</f>
        <v>92.759999250000007</v>
      </c>
      <c r="D95" s="358">
        <f>'Rate Class Energy Model'!J13/1000000</f>
        <v>241.81772850999999</v>
      </c>
      <c r="E95" s="358">
        <f>'Rate Class Energy Model'!K13/1000000</f>
        <v>0.20911060999999997</v>
      </c>
      <c r="F95" s="358">
        <f>'Rate Class Energy Model'!L13/1000000</f>
        <v>2.3982209600000002</v>
      </c>
      <c r="G95" s="358">
        <f>'Rate Class Energy Model'!M13/1000000</f>
        <v>0.89521695999999995</v>
      </c>
      <c r="H95" s="470">
        <f t="shared" si="8"/>
        <v>633.69792679000011</v>
      </c>
      <c r="I95" s="356"/>
    </row>
    <row r="96" spans="1:9" x14ac:dyDescent="0.25">
      <c r="A96" s="479">
        <v>2019</v>
      </c>
      <c r="B96" s="358">
        <f>'Rate Class Energy Model'!H14/1000000</f>
        <v>296.03526568000001</v>
      </c>
      <c r="C96" s="358">
        <f>'Rate Class Energy Model'!I14/1000000</f>
        <v>91.718380409999995</v>
      </c>
      <c r="D96" s="358">
        <f>'Rate Class Energy Model'!J14/1000000</f>
        <v>240.70831594000001</v>
      </c>
      <c r="E96" s="358">
        <f>'Rate Class Energy Model'!K14/1000000</f>
        <v>0.20682602999999999</v>
      </c>
      <c r="F96" s="358">
        <f>'Rate Class Energy Model'!L14/1000000</f>
        <v>2.4105459300000001</v>
      </c>
      <c r="G96" s="358">
        <f>'Rate Class Energy Model'!M14/1000000</f>
        <v>0.86648004000000001</v>
      </c>
      <c r="H96" s="470">
        <f t="shared" si="8"/>
        <v>631.94581403000007</v>
      </c>
      <c r="I96" s="356"/>
    </row>
    <row r="97" spans="1:9" x14ac:dyDescent="0.25">
      <c r="A97" s="479">
        <v>2020</v>
      </c>
      <c r="B97" s="358">
        <f>'Rate Class Energy Model'!H15/1000000</f>
        <v>298.18496297000002</v>
      </c>
      <c r="C97" s="358">
        <f>'Rate Class Energy Model'!I15/1000000</f>
        <v>90.568262279999999</v>
      </c>
      <c r="D97" s="358">
        <f>'Rate Class Energy Model'!J15/1000000</f>
        <v>238.882521</v>
      </c>
      <c r="E97" s="358">
        <f>'Rate Class Energy Model'!K15/1000000</f>
        <v>0.2041396</v>
      </c>
      <c r="F97" s="358">
        <f>'Rate Class Energy Model'!L15/1000000</f>
        <v>2.4689966499999998</v>
      </c>
      <c r="G97" s="358">
        <f>'Rate Class Energy Model'!M15/1000000</f>
        <v>0.87082118000000008</v>
      </c>
      <c r="H97" s="470">
        <f t="shared" si="8"/>
        <v>631.17970367999999</v>
      </c>
      <c r="I97" s="356"/>
    </row>
    <row r="98" spans="1:9" x14ac:dyDescent="0.25">
      <c r="A98" s="479">
        <v>2021</v>
      </c>
      <c r="B98" s="358">
        <f>'Rate Class Energy Model'!H16/1000000</f>
        <v>292.49218437999997</v>
      </c>
      <c r="C98" s="358">
        <f>'Rate Class Energy Model'!I16/1000000</f>
        <v>89.432556000000005</v>
      </c>
      <c r="D98" s="358">
        <f>'Rate Class Energy Model'!J16/1000000</f>
        <v>237.07057399999999</v>
      </c>
      <c r="E98" s="358">
        <f>'Rate Class Energy Model'!K16/1000000</f>
        <v>0.20361079000000001</v>
      </c>
      <c r="F98" s="358">
        <f>'Rate Class Energy Model'!L16/1000000</f>
        <v>2.4599944799999998</v>
      </c>
      <c r="G98" s="358">
        <f>'Rate Class Energy Model'!M16/1000000</f>
        <v>0.87791799000000004</v>
      </c>
      <c r="H98" s="470">
        <f t="shared" si="8"/>
        <v>622.53683763999993</v>
      </c>
      <c r="I98" s="356"/>
    </row>
    <row r="99" spans="1:9" x14ac:dyDescent="0.25">
      <c r="A99" s="596" t="s">
        <v>144</v>
      </c>
      <c r="B99" s="597"/>
      <c r="C99" s="597"/>
      <c r="D99" s="597"/>
      <c r="E99" s="597"/>
      <c r="F99" s="597"/>
      <c r="G99" s="597"/>
      <c r="H99" s="598"/>
    </row>
    <row r="100" spans="1:9" hidden="1" x14ac:dyDescent="0.25">
      <c r="A100" s="327">
        <f t="shared" ref="A100:A118" si="9">A80</f>
        <v>2003</v>
      </c>
      <c r="B100" s="358">
        <f t="shared" ref="B100:G109" si="10">B80*$F$225</f>
        <v>343.99591320946132</v>
      </c>
      <c r="C100" s="358">
        <f t="shared" si="10"/>
        <v>94.235183571557371</v>
      </c>
      <c r="D100" s="358">
        <f t="shared" si="10"/>
        <v>258.47197873456622</v>
      </c>
      <c r="E100" s="358">
        <f t="shared" si="10"/>
        <v>0.27101404281183156</v>
      </c>
      <c r="F100" s="358">
        <f t="shared" si="10"/>
        <v>7.0482554165064402</v>
      </c>
      <c r="G100" s="358">
        <f t="shared" si="10"/>
        <v>0.83455278157570389</v>
      </c>
      <c r="H100" s="470">
        <f t="shared" ref="H100:H118" si="11">SUM(B100:G100)</f>
        <v>704.85689775647893</v>
      </c>
      <c r="I100" s="359"/>
    </row>
    <row r="101" spans="1:9" hidden="1" x14ac:dyDescent="0.25">
      <c r="A101" s="471">
        <f t="shared" si="9"/>
        <v>2004</v>
      </c>
      <c r="B101" s="358">
        <f t="shared" si="10"/>
        <v>349.33913357908506</v>
      </c>
      <c r="C101" s="358">
        <f t="shared" si="10"/>
        <v>93.801624015177765</v>
      </c>
      <c r="D101" s="358">
        <f t="shared" si="10"/>
        <v>261.23892233884624</v>
      </c>
      <c r="E101" s="358">
        <f t="shared" si="10"/>
        <v>0.2853858363043516</v>
      </c>
      <c r="F101" s="358">
        <f t="shared" si="10"/>
        <v>7.2271786598328589</v>
      </c>
      <c r="G101" s="358">
        <f t="shared" si="10"/>
        <v>0.82574998456606896</v>
      </c>
      <c r="H101" s="470">
        <f t="shared" si="11"/>
        <v>712.71799441381233</v>
      </c>
      <c r="I101" s="359"/>
    </row>
    <row r="102" spans="1:9" hidden="1" x14ac:dyDescent="0.25">
      <c r="A102" s="469">
        <f t="shared" si="9"/>
        <v>2005</v>
      </c>
      <c r="B102" s="358">
        <f t="shared" si="10"/>
        <v>340.30778232755438</v>
      </c>
      <c r="C102" s="358">
        <f t="shared" si="10"/>
        <v>93.674011386815337</v>
      </c>
      <c r="D102" s="358">
        <f t="shared" si="10"/>
        <v>260.73423582985055</v>
      </c>
      <c r="E102" s="358">
        <f t="shared" si="10"/>
        <v>0.27576087000927924</v>
      </c>
      <c r="F102" s="358">
        <f t="shared" si="10"/>
        <v>7.5642778662577124</v>
      </c>
      <c r="G102" s="358">
        <f t="shared" si="10"/>
        <v>0.82885933276951673</v>
      </c>
      <c r="H102" s="470">
        <f t="shared" si="11"/>
        <v>703.38492761325676</v>
      </c>
      <c r="I102" s="359"/>
    </row>
    <row r="103" spans="1:9" hidden="1" x14ac:dyDescent="0.25">
      <c r="A103" s="469">
        <f t="shared" si="9"/>
        <v>2006</v>
      </c>
      <c r="B103" s="358">
        <f t="shared" si="10"/>
        <v>328.66735475388282</v>
      </c>
      <c r="C103" s="358">
        <f t="shared" si="10"/>
        <v>85.030210549685066</v>
      </c>
      <c r="D103" s="358">
        <f t="shared" si="10"/>
        <v>260.89754569627007</v>
      </c>
      <c r="E103" s="358">
        <f t="shared" si="10"/>
        <v>0.26851225713159138</v>
      </c>
      <c r="F103" s="358">
        <f t="shared" si="10"/>
        <v>7.4532477750206336</v>
      </c>
      <c r="G103" s="358">
        <f t="shared" si="10"/>
        <v>0.83897818859958373</v>
      </c>
      <c r="H103" s="470">
        <f t="shared" si="11"/>
        <v>683.15584922058986</v>
      </c>
      <c r="I103" s="359"/>
    </row>
    <row r="104" spans="1:9" hidden="1" x14ac:dyDescent="0.25">
      <c r="A104" s="469">
        <f t="shared" si="9"/>
        <v>2007</v>
      </c>
      <c r="B104" s="358">
        <f t="shared" si="10"/>
        <v>332.07636651293041</v>
      </c>
      <c r="C104" s="358">
        <f t="shared" si="10"/>
        <v>92.335263045960289</v>
      </c>
      <c r="D104" s="358">
        <f t="shared" si="10"/>
        <v>254.71608307265151</v>
      </c>
      <c r="E104" s="358">
        <f t="shared" si="10"/>
        <v>0.26365665664369853</v>
      </c>
      <c r="F104" s="358">
        <f t="shared" si="10"/>
        <v>7.4843157786267183</v>
      </c>
      <c r="G104" s="358">
        <f t="shared" si="10"/>
        <v>0.84665013536440981</v>
      </c>
      <c r="H104" s="470">
        <f t="shared" si="11"/>
        <v>687.72233520217696</v>
      </c>
      <c r="I104" s="359"/>
    </row>
    <row r="105" spans="1:9" x14ac:dyDescent="0.25">
      <c r="A105" s="479">
        <f t="shared" si="9"/>
        <v>2008</v>
      </c>
      <c r="B105" s="358">
        <f t="shared" si="10"/>
        <v>340.39496852957421</v>
      </c>
      <c r="C105" s="358">
        <f t="shared" si="10"/>
        <v>91.59902465997466</v>
      </c>
      <c r="D105" s="358">
        <f t="shared" si="10"/>
        <v>255.88568208728734</v>
      </c>
      <c r="E105" s="358">
        <f t="shared" si="10"/>
        <v>0.26337149423361234</v>
      </c>
      <c r="F105" s="358">
        <f t="shared" si="10"/>
        <v>7.4673402857403888</v>
      </c>
      <c r="G105" s="358">
        <f t="shared" si="10"/>
        <v>0.83130722177431116</v>
      </c>
      <c r="H105" s="470">
        <f t="shared" si="11"/>
        <v>696.44169427858458</v>
      </c>
      <c r="I105" s="359"/>
    </row>
    <row r="106" spans="1:9" x14ac:dyDescent="0.25">
      <c r="A106" s="479">
        <f t="shared" si="9"/>
        <v>2009</v>
      </c>
      <c r="B106" s="358">
        <f t="shared" si="10"/>
        <v>341.62589902104878</v>
      </c>
      <c r="C106" s="358">
        <f t="shared" si="10"/>
        <v>89.615688739759847</v>
      </c>
      <c r="D106" s="358">
        <f t="shared" si="10"/>
        <v>253.80252266456995</v>
      </c>
      <c r="E106" s="358">
        <f t="shared" si="10"/>
        <v>0.25725569147984051</v>
      </c>
      <c r="F106" s="358">
        <f t="shared" si="10"/>
        <v>7.4504892451773603</v>
      </c>
      <c r="G106" s="358">
        <f t="shared" si="10"/>
        <v>0.80692926550038369</v>
      </c>
      <c r="H106" s="470">
        <f t="shared" si="11"/>
        <v>693.55878462753606</v>
      </c>
      <c r="I106" s="359"/>
    </row>
    <row r="107" spans="1:9" x14ac:dyDescent="0.25">
      <c r="A107" s="479">
        <f t="shared" si="9"/>
        <v>2010</v>
      </c>
      <c r="B107" s="358">
        <f t="shared" si="10"/>
        <v>319.94410433750807</v>
      </c>
      <c r="C107" s="358">
        <f t="shared" si="10"/>
        <v>89.544293283706082</v>
      </c>
      <c r="D107" s="358">
        <f t="shared" si="10"/>
        <v>251.88054663944089</v>
      </c>
      <c r="E107" s="358">
        <f t="shared" si="10"/>
        <v>0.25296845593301287</v>
      </c>
      <c r="F107" s="358">
        <f t="shared" si="10"/>
        <v>7.5990275027665248</v>
      </c>
      <c r="G107" s="358">
        <f t="shared" si="10"/>
        <v>0.82043381248800262</v>
      </c>
      <c r="H107" s="470">
        <f t="shared" si="11"/>
        <v>670.04137403184257</v>
      </c>
      <c r="I107" s="359"/>
    </row>
    <row r="108" spans="1:9" x14ac:dyDescent="0.25">
      <c r="A108" s="479">
        <f t="shared" si="9"/>
        <v>2011</v>
      </c>
      <c r="B108" s="358">
        <f t="shared" si="10"/>
        <v>338.35576233565274</v>
      </c>
      <c r="C108" s="358">
        <f t="shared" si="10"/>
        <v>99.687583906541064</v>
      </c>
      <c r="D108" s="358">
        <f t="shared" si="10"/>
        <v>250.83352826355994</v>
      </c>
      <c r="E108" s="358">
        <f t="shared" si="10"/>
        <v>0.25513902204414957</v>
      </c>
      <c r="F108" s="358">
        <f t="shared" si="10"/>
        <v>7.6580669009894446</v>
      </c>
      <c r="G108" s="358">
        <f t="shared" si="10"/>
        <v>0.85732265704223853</v>
      </c>
      <c r="H108" s="470">
        <f t="shared" si="11"/>
        <v>697.64740308582964</v>
      </c>
      <c r="I108" s="359"/>
    </row>
    <row r="109" spans="1:9" x14ac:dyDescent="0.25">
      <c r="A109" s="479">
        <f t="shared" si="9"/>
        <v>2012</v>
      </c>
      <c r="B109" s="358">
        <f t="shared" si="10"/>
        <v>309.78598330946949</v>
      </c>
      <c r="C109" s="358">
        <f t="shared" si="10"/>
        <v>95.523541460689231</v>
      </c>
      <c r="D109" s="358">
        <f t="shared" si="10"/>
        <v>249.21243287895615</v>
      </c>
      <c r="E109" s="358">
        <f t="shared" si="10"/>
        <v>0.24156685922733506</v>
      </c>
      <c r="F109" s="358">
        <f t="shared" si="10"/>
        <v>7.5812621786000243</v>
      </c>
      <c r="G109" s="358">
        <f t="shared" si="10"/>
        <v>0.84470005565282413</v>
      </c>
      <c r="H109" s="470">
        <f t="shared" si="11"/>
        <v>663.18948674259502</v>
      </c>
      <c r="I109" s="359"/>
    </row>
    <row r="110" spans="1:9" x14ac:dyDescent="0.25">
      <c r="A110" s="479">
        <f t="shared" si="9"/>
        <v>2013</v>
      </c>
      <c r="B110" s="358">
        <f t="shared" ref="B110:G118" si="12">B90*$F$225</f>
        <v>317.68208830735387</v>
      </c>
      <c r="C110" s="358">
        <f t="shared" si="12"/>
        <v>93.905348657043064</v>
      </c>
      <c r="D110" s="358">
        <f t="shared" si="12"/>
        <v>253.85211642543609</v>
      </c>
      <c r="E110" s="358">
        <f t="shared" si="12"/>
        <v>0.23255435515323802</v>
      </c>
      <c r="F110" s="358">
        <f t="shared" si="12"/>
        <v>7.9253512938604258</v>
      </c>
      <c r="G110" s="358">
        <f t="shared" si="12"/>
        <v>0.84022271183260577</v>
      </c>
      <c r="H110" s="470">
        <f t="shared" si="11"/>
        <v>674.43768175067919</v>
      </c>
      <c r="I110" s="359"/>
    </row>
    <row r="111" spans="1:9" x14ac:dyDescent="0.25">
      <c r="A111" s="479">
        <f t="shared" si="9"/>
        <v>2014</v>
      </c>
      <c r="B111" s="358">
        <f t="shared" si="12"/>
        <v>328.23112878197799</v>
      </c>
      <c r="C111" s="358">
        <f t="shared" si="12"/>
        <v>97.164364008445759</v>
      </c>
      <c r="D111" s="358">
        <f t="shared" si="12"/>
        <v>253.61602938819232</v>
      </c>
      <c r="E111" s="358">
        <f t="shared" si="12"/>
        <v>0.23846731041942282</v>
      </c>
      <c r="F111" s="358">
        <f t="shared" si="12"/>
        <v>7.6554004854642068</v>
      </c>
      <c r="G111" s="358">
        <f t="shared" si="12"/>
        <v>0.85845056746838677</v>
      </c>
      <c r="H111" s="470">
        <f t="shared" si="11"/>
        <v>687.76384054196808</v>
      </c>
    </row>
    <row r="112" spans="1:9" x14ac:dyDescent="0.25">
      <c r="A112" s="479">
        <f t="shared" si="9"/>
        <v>2015</v>
      </c>
      <c r="B112" s="358">
        <f t="shared" si="12"/>
        <v>304.23030910481515</v>
      </c>
      <c r="C112" s="358">
        <f t="shared" si="12"/>
        <v>93.781353965512366</v>
      </c>
      <c r="D112" s="358">
        <f t="shared" si="12"/>
        <v>249.67347288023623</v>
      </c>
      <c r="E112" s="358">
        <f t="shared" si="12"/>
        <v>0.23051902070049263</v>
      </c>
      <c r="F112" s="358">
        <f t="shared" si="12"/>
        <v>7.1492587662314868</v>
      </c>
      <c r="G112" s="358">
        <f t="shared" si="12"/>
        <v>0.89439964999075805</v>
      </c>
      <c r="H112" s="470">
        <f t="shared" si="11"/>
        <v>655.95931338748653</v>
      </c>
      <c r="I112" s="359"/>
    </row>
    <row r="113" spans="1:9" x14ac:dyDescent="0.25">
      <c r="A113" s="479">
        <f t="shared" si="9"/>
        <v>2016</v>
      </c>
      <c r="B113" s="358">
        <f t="shared" si="12"/>
        <v>282.95410297501303</v>
      </c>
      <c r="C113" s="358">
        <f t="shared" si="12"/>
        <v>90.325924429691739</v>
      </c>
      <c r="D113" s="358">
        <f t="shared" si="12"/>
        <v>244.94096553948478</v>
      </c>
      <c r="E113" s="358">
        <f t="shared" si="12"/>
        <v>0.22250095928534894</v>
      </c>
      <c r="F113" s="358">
        <f t="shared" si="12"/>
        <v>4.7715972275369403</v>
      </c>
      <c r="G113" s="358">
        <f t="shared" si="12"/>
        <v>0.88513101911554692</v>
      </c>
      <c r="H113" s="470">
        <f t="shared" si="11"/>
        <v>624.10022215012737</v>
      </c>
      <c r="I113" s="359"/>
    </row>
    <row r="114" spans="1:9" x14ac:dyDescent="0.25">
      <c r="A114" s="479">
        <f t="shared" si="9"/>
        <v>2017</v>
      </c>
      <c r="B114" s="358">
        <f t="shared" si="12"/>
        <v>277.14704046695573</v>
      </c>
      <c r="C114" s="358">
        <f t="shared" si="12"/>
        <v>89.209772494234556</v>
      </c>
      <c r="D114" s="358">
        <f t="shared" si="12"/>
        <v>240.2482288495267</v>
      </c>
      <c r="E114" s="358">
        <f t="shared" si="12"/>
        <v>0.2093750609412259</v>
      </c>
      <c r="F114" s="358">
        <f t="shared" si="12"/>
        <v>2.3501119100615644</v>
      </c>
      <c r="G114" s="358">
        <f t="shared" si="12"/>
        <v>0.88950377398721381</v>
      </c>
      <c r="H114" s="470">
        <f t="shared" si="11"/>
        <v>610.05403255570695</v>
      </c>
      <c r="I114" s="359"/>
    </row>
    <row r="115" spans="1:9" ht="15" customHeight="1" x14ac:dyDescent="0.25">
      <c r="A115" s="479">
        <f t="shared" si="9"/>
        <v>2018</v>
      </c>
      <c r="B115" s="358">
        <f t="shared" si="12"/>
        <v>289.68742845560882</v>
      </c>
      <c r="C115" s="358">
        <f t="shared" si="12"/>
        <v>90.899192253328252</v>
      </c>
      <c r="D115" s="358">
        <f t="shared" si="12"/>
        <v>236.96675691913211</v>
      </c>
      <c r="E115" s="358">
        <f t="shared" si="12"/>
        <v>0.20491575780818846</v>
      </c>
      <c r="F115" s="358">
        <f t="shared" si="12"/>
        <v>2.3501115768821168</v>
      </c>
      <c r="G115" s="358">
        <f t="shared" si="12"/>
        <v>0.87725850812229345</v>
      </c>
      <c r="H115" s="470">
        <f t="shared" si="11"/>
        <v>620.98566347088172</v>
      </c>
    </row>
    <row r="116" spans="1:9" x14ac:dyDescent="0.25">
      <c r="A116" s="479">
        <f t="shared" si="9"/>
        <v>2019</v>
      </c>
      <c r="B116" s="358">
        <f t="shared" si="12"/>
        <v>290.09666608865814</v>
      </c>
      <c r="C116" s="358">
        <f t="shared" si="12"/>
        <v>89.878468752278323</v>
      </c>
      <c r="D116" s="358">
        <f t="shared" si="12"/>
        <v>235.87959966057178</v>
      </c>
      <c r="E116" s="358">
        <f t="shared" si="12"/>
        <v>0.20267700750291495</v>
      </c>
      <c r="F116" s="358">
        <f t="shared" si="12"/>
        <v>2.3621893024815646</v>
      </c>
      <c r="G116" s="358">
        <f t="shared" si="12"/>
        <v>0.8490980635667863</v>
      </c>
      <c r="H116" s="470">
        <f t="shared" si="11"/>
        <v>619.26869887505939</v>
      </c>
    </row>
    <row r="117" spans="1:9" x14ac:dyDescent="0.25">
      <c r="A117" s="479">
        <f t="shared" si="9"/>
        <v>2020</v>
      </c>
      <c r="B117" s="358">
        <f t="shared" si="12"/>
        <v>292.20323949131119</v>
      </c>
      <c r="C117" s="358">
        <f t="shared" si="12"/>
        <v>88.751422505424145</v>
      </c>
      <c r="D117" s="358">
        <f t="shared" si="12"/>
        <v>234.09043098217492</v>
      </c>
      <c r="E117" s="358">
        <f t="shared" si="12"/>
        <v>0.20004446848804311</v>
      </c>
      <c r="F117" s="358">
        <f t="shared" si="12"/>
        <v>2.4194674749436609</v>
      </c>
      <c r="G117" s="358">
        <f t="shared" si="12"/>
        <v>0.85335211836033054</v>
      </c>
      <c r="H117" s="470">
        <f t="shared" si="11"/>
        <v>618.5179570407023</v>
      </c>
    </row>
    <row r="118" spans="1:9" ht="16.5" thickBot="1" x14ac:dyDescent="0.3">
      <c r="A118" s="483">
        <f t="shared" si="9"/>
        <v>2021</v>
      </c>
      <c r="B118" s="473">
        <f t="shared" si="12"/>
        <v>286.62466058130713</v>
      </c>
      <c r="C118" s="473">
        <f t="shared" si="12"/>
        <v>87.638499000424972</v>
      </c>
      <c r="D118" s="473">
        <f t="shared" si="12"/>
        <v>232.31483244791943</v>
      </c>
      <c r="E118" s="473">
        <f t="shared" si="12"/>
        <v>0.19952626665272474</v>
      </c>
      <c r="F118" s="473">
        <f t="shared" si="12"/>
        <v>2.4106458924927843</v>
      </c>
      <c r="G118" s="473">
        <f t="shared" si="12"/>
        <v>0.86030656318343501</v>
      </c>
      <c r="H118" s="474">
        <f t="shared" si="11"/>
        <v>610.04847075198052</v>
      </c>
    </row>
    <row r="119" spans="1:9" x14ac:dyDescent="0.25">
      <c r="A119" s="360"/>
      <c r="B119" s="361"/>
      <c r="C119" s="361"/>
      <c r="D119" s="361"/>
      <c r="E119" s="361"/>
      <c r="F119" s="361"/>
      <c r="G119" s="361"/>
      <c r="H119" s="362"/>
    </row>
    <row r="120" spans="1:9" x14ac:dyDescent="0.25">
      <c r="A120" s="363"/>
      <c r="B120" s="362"/>
      <c r="C120" s="362"/>
      <c r="D120" s="362"/>
      <c r="E120" s="364"/>
      <c r="F120" s="362"/>
      <c r="G120" s="362"/>
    </row>
    <row r="121" spans="1:9" x14ac:dyDescent="0.25">
      <c r="A121" s="604" t="s">
        <v>381</v>
      </c>
      <c r="B121" s="604"/>
      <c r="C121" s="604"/>
      <c r="D121" s="604"/>
      <c r="E121" s="604"/>
      <c r="F121" s="604"/>
      <c r="G121" s="604"/>
    </row>
    <row r="122" spans="1:9" ht="16.5" thickBot="1" x14ac:dyDescent="0.3">
      <c r="A122" s="599" t="s">
        <v>122</v>
      </c>
      <c r="B122" s="599"/>
      <c r="C122" s="599"/>
      <c r="D122" s="599"/>
      <c r="E122" s="599"/>
      <c r="F122" s="599"/>
      <c r="G122" s="599"/>
      <c r="H122" s="599"/>
    </row>
    <row r="123" spans="1:9" ht="47.25" x14ac:dyDescent="0.25">
      <c r="A123" s="478" t="str">
        <f t="shared" ref="A123:H123" si="13">A78</f>
        <v>Year</v>
      </c>
      <c r="B123" s="424" t="str">
        <f t="shared" si="13"/>
        <v xml:space="preserve">Residential </v>
      </c>
      <c r="C123" s="424" t="str">
        <f t="shared" si="13"/>
        <v>General Service &lt; 50 kW</v>
      </c>
      <c r="D123" s="424" t="str">
        <f t="shared" si="13"/>
        <v>General Service 50 to 4,999 kW</v>
      </c>
      <c r="E123" s="424" t="str">
        <f t="shared" si="13"/>
        <v>Sentinel Lighting</v>
      </c>
      <c r="F123" s="424" t="str">
        <f t="shared" si="13"/>
        <v>Street Lights</v>
      </c>
      <c r="G123" s="424" t="str">
        <f t="shared" si="13"/>
        <v xml:space="preserve">Unmetered Scattered Load </v>
      </c>
      <c r="H123" s="457" t="str">
        <f t="shared" si="13"/>
        <v>Total</v>
      </c>
    </row>
    <row r="124" spans="1:9" hidden="1" x14ac:dyDescent="0.25">
      <c r="A124" s="479">
        <f t="shared" ref="A124:A134" si="14">A80</f>
        <v>2003</v>
      </c>
      <c r="B124" s="354">
        <v>28544</v>
      </c>
      <c r="C124" s="354">
        <v>3230</v>
      </c>
      <c r="D124" s="354">
        <v>419</v>
      </c>
      <c r="E124" s="354">
        <v>466</v>
      </c>
      <c r="F124" s="354">
        <v>8619</v>
      </c>
      <c r="G124" s="365">
        <v>12</v>
      </c>
      <c r="H124" s="475">
        <f t="shared" ref="H124:H143" si="15">SUM(B124:G124)</f>
        <v>41290</v>
      </c>
    </row>
    <row r="125" spans="1:9" hidden="1" x14ac:dyDescent="0.25">
      <c r="A125" s="479">
        <f t="shared" si="14"/>
        <v>2004</v>
      </c>
      <c r="B125" s="354">
        <v>28560</v>
      </c>
      <c r="C125" s="354">
        <v>3247</v>
      </c>
      <c r="D125" s="354">
        <v>424</v>
      </c>
      <c r="E125" s="354">
        <v>466</v>
      </c>
      <c r="F125" s="354">
        <v>8635</v>
      </c>
      <c r="G125" s="365">
        <v>19</v>
      </c>
      <c r="H125" s="475">
        <f t="shared" si="15"/>
        <v>41351</v>
      </c>
    </row>
    <row r="126" spans="1:9" hidden="1" x14ac:dyDescent="0.25">
      <c r="A126" s="479">
        <f t="shared" si="14"/>
        <v>2005</v>
      </c>
      <c r="B126" s="354">
        <v>28576</v>
      </c>
      <c r="C126" s="354">
        <v>3274</v>
      </c>
      <c r="D126" s="354">
        <v>431</v>
      </c>
      <c r="E126" s="354">
        <v>459</v>
      </c>
      <c r="F126" s="354">
        <v>8642</v>
      </c>
      <c r="G126" s="365">
        <v>27</v>
      </c>
      <c r="H126" s="475">
        <f t="shared" si="15"/>
        <v>41409</v>
      </c>
    </row>
    <row r="127" spans="1:9" hidden="1" x14ac:dyDescent="0.25">
      <c r="A127" s="479">
        <f t="shared" si="14"/>
        <v>2006</v>
      </c>
      <c r="B127" s="354">
        <v>28596</v>
      </c>
      <c r="C127" s="354">
        <v>3301</v>
      </c>
      <c r="D127" s="354">
        <v>432</v>
      </c>
      <c r="E127" s="354">
        <v>449</v>
      </c>
      <c r="F127" s="354">
        <v>8663</v>
      </c>
      <c r="G127" s="365">
        <v>28</v>
      </c>
      <c r="H127" s="475">
        <f t="shared" si="15"/>
        <v>41469</v>
      </c>
    </row>
    <row r="128" spans="1:9" hidden="1" x14ac:dyDescent="0.25">
      <c r="A128" s="479">
        <f t="shared" si="14"/>
        <v>2007</v>
      </c>
      <c r="B128" s="354">
        <v>28630</v>
      </c>
      <c r="C128" s="354">
        <v>3302</v>
      </c>
      <c r="D128" s="354">
        <v>429</v>
      </c>
      <c r="E128" s="354">
        <v>443</v>
      </c>
      <c r="F128" s="354">
        <v>8707</v>
      </c>
      <c r="G128" s="365">
        <v>27</v>
      </c>
      <c r="H128" s="475">
        <f t="shared" si="15"/>
        <v>41538</v>
      </c>
    </row>
    <row r="129" spans="1:8" ht="16.5" customHeight="1" x14ac:dyDescent="0.25">
      <c r="A129" s="479">
        <f t="shared" si="14"/>
        <v>2008</v>
      </c>
      <c r="B129" s="354">
        <v>28780</v>
      </c>
      <c r="C129" s="354">
        <v>3325</v>
      </c>
      <c r="D129" s="354">
        <v>426</v>
      </c>
      <c r="E129" s="354">
        <v>435</v>
      </c>
      <c r="F129" s="354">
        <v>8741</v>
      </c>
      <c r="G129" s="365">
        <v>22</v>
      </c>
      <c r="H129" s="475">
        <f t="shared" si="15"/>
        <v>41729</v>
      </c>
    </row>
    <row r="130" spans="1:8" ht="16.5" customHeight="1" x14ac:dyDescent="0.25">
      <c r="A130" s="479">
        <f t="shared" si="14"/>
        <v>2009</v>
      </c>
      <c r="B130" s="354">
        <v>28971</v>
      </c>
      <c r="C130" s="354">
        <v>3352</v>
      </c>
      <c r="D130" s="354">
        <v>433</v>
      </c>
      <c r="E130" s="354">
        <v>423</v>
      </c>
      <c r="F130" s="354">
        <v>8799</v>
      </c>
      <c r="G130" s="365">
        <v>17</v>
      </c>
      <c r="H130" s="475">
        <f t="shared" si="15"/>
        <v>41995</v>
      </c>
    </row>
    <row r="131" spans="1:8" ht="16.5" customHeight="1" x14ac:dyDescent="0.25">
      <c r="A131" s="479">
        <f t="shared" si="14"/>
        <v>2010</v>
      </c>
      <c r="B131" s="354">
        <v>29057</v>
      </c>
      <c r="C131" s="354">
        <v>3345</v>
      </c>
      <c r="D131" s="354">
        <v>435</v>
      </c>
      <c r="E131" s="354">
        <v>411</v>
      </c>
      <c r="F131" s="354">
        <v>8846</v>
      </c>
      <c r="G131" s="365">
        <v>16</v>
      </c>
      <c r="H131" s="475">
        <f t="shared" si="15"/>
        <v>42110</v>
      </c>
    </row>
    <row r="132" spans="1:8" ht="16.5" customHeight="1" x14ac:dyDescent="0.25">
      <c r="A132" s="479">
        <f t="shared" si="14"/>
        <v>2011</v>
      </c>
      <c r="B132" s="354">
        <f>'Rate Class Customer Model'!B4</f>
        <v>29124</v>
      </c>
      <c r="C132" s="354">
        <f>'Rate Class Customer Model'!C4</f>
        <v>3366</v>
      </c>
      <c r="D132" s="354">
        <f>'Rate Class Customer Model'!D4</f>
        <v>403</v>
      </c>
      <c r="E132" s="354">
        <f>'Rate Class Customer Model'!E4</f>
        <v>402</v>
      </c>
      <c r="F132" s="354">
        <f>'Rate Class Customer Model'!F4</f>
        <v>8846</v>
      </c>
      <c r="G132" s="354">
        <f>'Rate Class Customer Model'!G4</f>
        <v>19</v>
      </c>
      <c r="H132" s="475">
        <f t="shared" si="15"/>
        <v>42160</v>
      </c>
    </row>
    <row r="133" spans="1:8" ht="16.5" customHeight="1" x14ac:dyDescent="0.25">
      <c r="A133" s="479">
        <f t="shared" si="14"/>
        <v>2012</v>
      </c>
      <c r="B133" s="354">
        <f>'Rate Class Customer Model'!B5</f>
        <v>29327</v>
      </c>
      <c r="C133" s="354">
        <f>'Rate Class Customer Model'!C5</f>
        <v>3448</v>
      </c>
      <c r="D133" s="354">
        <f>'Rate Class Customer Model'!D5</f>
        <v>366</v>
      </c>
      <c r="E133" s="354">
        <f>'Rate Class Customer Model'!E5</f>
        <v>392</v>
      </c>
      <c r="F133" s="354">
        <f>'Rate Class Customer Model'!F5</f>
        <v>8846</v>
      </c>
      <c r="G133" s="354">
        <f>'Rate Class Customer Model'!G5</f>
        <v>21</v>
      </c>
      <c r="H133" s="475">
        <f t="shared" si="15"/>
        <v>42400</v>
      </c>
    </row>
    <row r="134" spans="1:8" ht="16.5" customHeight="1" x14ac:dyDescent="0.25">
      <c r="A134" s="479">
        <f t="shared" si="14"/>
        <v>2013</v>
      </c>
      <c r="B134" s="354">
        <f>'Rate Class Customer Model'!B6</f>
        <v>29504</v>
      </c>
      <c r="C134" s="354">
        <f>'Rate Class Customer Model'!C6</f>
        <v>3474</v>
      </c>
      <c r="D134" s="354">
        <f>'Rate Class Customer Model'!D6</f>
        <v>373</v>
      </c>
      <c r="E134" s="354">
        <f>'Rate Class Customer Model'!E6</f>
        <v>374</v>
      </c>
      <c r="F134" s="354">
        <f>'Rate Class Customer Model'!F6</f>
        <v>8846</v>
      </c>
      <c r="G134" s="354">
        <f>'Rate Class Customer Model'!G6</f>
        <v>21</v>
      </c>
      <c r="H134" s="475">
        <f t="shared" si="15"/>
        <v>42592</v>
      </c>
    </row>
    <row r="135" spans="1:8" ht="16.5" customHeight="1" x14ac:dyDescent="0.25">
      <c r="A135" s="479">
        <f>A111</f>
        <v>2014</v>
      </c>
      <c r="B135" s="354">
        <f>'Rate Class Customer Model'!B7</f>
        <v>29514</v>
      </c>
      <c r="C135" s="354">
        <f>'Rate Class Customer Model'!C7</f>
        <v>3464</v>
      </c>
      <c r="D135" s="354">
        <f>'Rate Class Customer Model'!D7</f>
        <v>370</v>
      </c>
      <c r="E135" s="354">
        <f>'Rate Class Customer Model'!E7</f>
        <v>362</v>
      </c>
      <c r="F135" s="354">
        <f>'Rate Class Customer Model'!F7</f>
        <v>8846</v>
      </c>
      <c r="G135" s="354">
        <f>'Rate Class Customer Model'!G7</f>
        <v>21</v>
      </c>
      <c r="H135" s="475">
        <f t="shared" si="15"/>
        <v>42577</v>
      </c>
    </row>
    <row r="136" spans="1:8" ht="16.5" customHeight="1" x14ac:dyDescent="0.25">
      <c r="A136" s="479">
        <f>A91</f>
        <v>2014</v>
      </c>
      <c r="B136" s="354">
        <f>'Rate Class Customer Model'!B8</f>
        <v>29566</v>
      </c>
      <c r="C136" s="354">
        <f>'Rate Class Customer Model'!C8</f>
        <v>3431</v>
      </c>
      <c r="D136" s="354">
        <f>'Rate Class Customer Model'!D8</f>
        <v>373</v>
      </c>
      <c r="E136" s="354">
        <f>'Rate Class Customer Model'!E8</f>
        <v>360</v>
      </c>
      <c r="F136" s="354">
        <f>'Rate Class Customer Model'!F8</f>
        <v>8839</v>
      </c>
      <c r="G136" s="354">
        <f>'Rate Class Customer Model'!G8</f>
        <v>21</v>
      </c>
      <c r="H136" s="475">
        <f t="shared" si="15"/>
        <v>42590</v>
      </c>
    </row>
    <row r="137" spans="1:8" ht="16.5" customHeight="1" x14ac:dyDescent="0.25">
      <c r="A137" s="479">
        <f>A92</f>
        <v>2015</v>
      </c>
      <c r="B137" s="354">
        <f>'Rate Class Customer Model'!B9</f>
        <v>29620</v>
      </c>
      <c r="C137" s="354">
        <f>'Rate Class Customer Model'!C9</f>
        <v>3414</v>
      </c>
      <c r="D137" s="354">
        <f>'Rate Class Customer Model'!D9</f>
        <v>361</v>
      </c>
      <c r="E137" s="354">
        <f>'Rate Class Customer Model'!E9</f>
        <v>362</v>
      </c>
      <c r="F137" s="354">
        <f>'Rate Class Customer Model'!F9</f>
        <v>8872</v>
      </c>
      <c r="G137" s="354">
        <f>'Rate Class Customer Model'!G9</f>
        <v>21</v>
      </c>
      <c r="H137" s="475">
        <f t="shared" si="15"/>
        <v>42650</v>
      </c>
    </row>
    <row r="138" spans="1:8" ht="16.5" customHeight="1" x14ac:dyDescent="0.25">
      <c r="A138" s="479">
        <f>A93</f>
        <v>2016</v>
      </c>
      <c r="B138" s="354">
        <f>'Rate Class Customer Model'!B10</f>
        <v>29729</v>
      </c>
      <c r="C138" s="354">
        <f>'Rate Class Customer Model'!C10</f>
        <v>3417</v>
      </c>
      <c r="D138" s="354">
        <f>'Rate Class Customer Model'!D10</f>
        <v>361</v>
      </c>
      <c r="E138" s="354">
        <f>'Rate Class Customer Model'!E10</f>
        <v>361</v>
      </c>
      <c r="F138" s="354">
        <f>'Rate Class Customer Model'!F10</f>
        <v>8070</v>
      </c>
      <c r="G138" s="354">
        <f>'Rate Class Customer Model'!G10</f>
        <v>21</v>
      </c>
      <c r="H138" s="475">
        <f t="shared" si="15"/>
        <v>41959</v>
      </c>
    </row>
    <row r="139" spans="1:8" ht="16.5" customHeight="1" x14ac:dyDescent="0.25">
      <c r="A139" s="480">
        <v>2017</v>
      </c>
      <c r="B139" s="354">
        <f>'Rate Class Customer Model'!B11</f>
        <v>29837</v>
      </c>
      <c r="C139" s="354">
        <f>'Rate Class Customer Model'!C11</f>
        <v>3414</v>
      </c>
      <c r="D139" s="354">
        <f>'Rate Class Customer Model'!D11</f>
        <v>362</v>
      </c>
      <c r="E139" s="354">
        <f>'Rate Class Customer Model'!E11</f>
        <v>355</v>
      </c>
      <c r="F139" s="354">
        <f>'Rate Class Customer Model'!F11</f>
        <v>8070</v>
      </c>
      <c r="G139" s="354">
        <f>'Rate Class Customer Model'!G11</f>
        <v>23</v>
      </c>
      <c r="H139" s="475">
        <f t="shared" si="15"/>
        <v>42061</v>
      </c>
    </row>
    <row r="140" spans="1:8" ht="16.5" customHeight="1" x14ac:dyDescent="0.25">
      <c r="A140" s="479">
        <v>2018</v>
      </c>
      <c r="B140" s="354">
        <f>'Rate Class Customer Model'!B12</f>
        <v>29897</v>
      </c>
      <c r="C140" s="354">
        <f>'Rate Class Customer Model'!C12</f>
        <v>3388</v>
      </c>
      <c r="D140" s="354">
        <f>'Rate Class Customer Model'!D12</f>
        <v>362</v>
      </c>
      <c r="E140" s="354">
        <f>'Rate Class Customer Model'!E12</f>
        <v>350</v>
      </c>
      <c r="F140" s="354">
        <f>'Rate Class Customer Model'!F12</f>
        <v>8037</v>
      </c>
      <c r="G140" s="354">
        <f>'Rate Class Customer Model'!G12</f>
        <v>23</v>
      </c>
      <c r="H140" s="475">
        <f t="shared" si="15"/>
        <v>42057</v>
      </c>
    </row>
    <row r="141" spans="1:8" ht="16.5" customHeight="1" x14ac:dyDescent="0.25">
      <c r="A141" s="481">
        <v>2019</v>
      </c>
      <c r="B141" s="354">
        <f>'Rate Class Customer Model'!B13</f>
        <v>30026</v>
      </c>
      <c r="C141" s="354">
        <f>'Rate Class Customer Model'!C13</f>
        <v>3391</v>
      </c>
      <c r="D141" s="354">
        <f>'Rate Class Customer Model'!D13</f>
        <v>357</v>
      </c>
      <c r="E141" s="354">
        <f>'Rate Class Customer Model'!E13</f>
        <v>348</v>
      </c>
      <c r="F141" s="354">
        <f>'Rate Class Customer Model'!F13</f>
        <v>8037</v>
      </c>
      <c r="G141" s="354">
        <f>'Rate Class Customer Model'!G13</f>
        <v>24</v>
      </c>
      <c r="H141" s="475">
        <f t="shared" si="15"/>
        <v>42183</v>
      </c>
    </row>
    <row r="142" spans="1:8" ht="16.5" customHeight="1" x14ac:dyDescent="0.25">
      <c r="A142" s="481">
        <v>2020</v>
      </c>
      <c r="B142" s="354">
        <f>'Rate Class Customer Model'!B14</f>
        <v>30134</v>
      </c>
      <c r="C142" s="354">
        <f>'Rate Class Customer Model'!C14</f>
        <v>3394</v>
      </c>
      <c r="D142" s="354">
        <f>'Rate Class Customer Model'!D14</f>
        <v>353</v>
      </c>
      <c r="E142" s="354">
        <f>'Rate Class Customer Model'!E14</f>
        <v>330</v>
      </c>
      <c r="F142" s="354">
        <f>'Rate Class Customer Model'!F14</f>
        <v>8037</v>
      </c>
      <c r="G142" s="354">
        <f>'Rate Class Customer Model'!G14</f>
        <v>24</v>
      </c>
      <c r="H142" s="475">
        <f t="shared" si="15"/>
        <v>42272</v>
      </c>
    </row>
    <row r="143" spans="1:8" ht="16.5" customHeight="1" thickBot="1" x14ac:dyDescent="0.3">
      <c r="A143" s="482">
        <v>2021</v>
      </c>
      <c r="B143" s="465">
        <f>'Rate Class Customer Model'!B15</f>
        <v>30236.906716667905</v>
      </c>
      <c r="C143" s="465">
        <f>'Rate Class Customer Model'!C15</f>
        <v>3396.8127786141727</v>
      </c>
      <c r="D143" s="465">
        <f>'Rate Class Customer Model'!D15</f>
        <v>348.35469751603625</v>
      </c>
      <c r="E143" s="465">
        <f>'Rate Class Customer Model'!E15</f>
        <v>323.55098668062487</v>
      </c>
      <c r="F143" s="465">
        <f>'Rate Class Customer Model'!F15</f>
        <v>8037</v>
      </c>
      <c r="G143" s="465">
        <f>'Rate Class Customer Model'!G15</f>
        <v>24.567276048890488</v>
      </c>
      <c r="H143" s="477">
        <f t="shared" si="15"/>
        <v>42367.192455527627</v>
      </c>
    </row>
    <row r="144" spans="1:8" ht="12.75" customHeight="1" x14ac:dyDescent="0.25">
      <c r="A144" s="323"/>
      <c r="B144" s="323"/>
      <c r="C144" s="323"/>
      <c r="D144" s="323"/>
      <c r="E144" s="323"/>
      <c r="F144" s="323"/>
      <c r="G144" s="323"/>
      <c r="H144" s="323"/>
    </row>
    <row r="145" spans="1:8" ht="12.75" customHeight="1" thickBot="1" x14ac:dyDescent="0.3">
      <c r="A145" s="604" t="s">
        <v>382</v>
      </c>
      <c r="B145" s="604"/>
      <c r="C145" s="604"/>
      <c r="D145" s="604"/>
      <c r="E145" s="604"/>
      <c r="F145" s="604"/>
      <c r="G145" s="604"/>
      <c r="H145" s="323"/>
    </row>
    <row r="146" spans="1:8" ht="47.25" x14ac:dyDescent="0.25">
      <c r="A146" s="484" t="str">
        <f t="shared" ref="A146:G146" si="16">A123</f>
        <v>Year</v>
      </c>
      <c r="B146" s="424" t="str">
        <f t="shared" si="16"/>
        <v xml:space="preserve">Residential </v>
      </c>
      <c r="C146" s="424" t="str">
        <f t="shared" si="16"/>
        <v>General Service &lt; 50 kW</v>
      </c>
      <c r="D146" s="424" t="str">
        <f t="shared" si="16"/>
        <v>General Service 50 to 4,999 kW</v>
      </c>
      <c r="E146" s="424" t="str">
        <f t="shared" si="16"/>
        <v>Sentinel Lighting</v>
      </c>
      <c r="F146" s="424" t="str">
        <f t="shared" si="16"/>
        <v>Street Lights</v>
      </c>
      <c r="G146" s="457" t="str">
        <f t="shared" si="16"/>
        <v xml:space="preserve">Unmetered Scattered Load </v>
      </c>
      <c r="H146" s="323"/>
    </row>
    <row r="147" spans="1:8" x14ac:dyDescent="0.25">
      <c r="A147" s="600" t="s">
        <v>145</v>
      </c>
      <c r="B147" s="601"/>
      <c r="C147" s="601"/>
      <c r="D147" s="601"/>
      <c r="E147" s="601"/>
      <c r="F147" s="601"/>
      <c r="G147" s="602"/>
      <c r="H147" s="323"/>
    </row>
    <row r="148" spans="1:8" hidden="1" x14ac:dyDescent="0.25">
      <c r="A148" s="476">
        <f t="shared" ref="A148:A161" si="17">A55</f>
        <v>2003</v>
      </c>
      <c r="B148" s="354">
        <f t="shared" ref="B148:G158" si="18">B80/B124*1000000</f>
        <v>12298.132357062781</v>
      </c>
      <c r="C148" s="354">
        <f t="shared" si="18"/>
        <v>29772.223529411764</v>
      </c>
      <c r="D148" s="354">
        <f t="shared" si="18"/>
        <v>629506.41050119337</v>
      </c>
      <c r="E148" s="354">
        <f t="shared" si="18"/>
        <v>593.48068669527891</v>
      </c>
      <c r="F148" s="354">
        <f t="shared" si="18"/>
        <v>834.49831767026342</v>
      </c>
      <c r="G148" s="475">
        <f t="shared" si="18"/>
        <v>70969.75</v>
      </c>
      <c r="H148" s="323"/>
    </row>
    <row r="149" spans="1:8" hidden="1" x14ac:dyDescent="0.25">
      <c r="A149" s="476">
        <f t="shared" si="17"/>
        <v>2004</v>
      </c>
      <c r="B149" s="354">
        <f t="shared" si="18"/>
        <v>12482.160084033614</v>
      </c>
      <c r="C149" s="354">
        <f t="shared" si="18"/>
        <v>29480.088389282413</v>
      </c>
      <c r="D149" s="354">
        <f t="shared" si="18"/>
        <v>628742.38679245289</v>
      </c>
      <c r="E149" s="354">
        <f t="shared" si="18"/>
        <v>624.95278969957087</v>
      </c>
      <c r="F149" s="354">
        <f t="shared" si="18"/>
        <v>854.09693109438331</v>
      </c>
      <c r="G149" s="475">
        <f t="shared" si="18"/>
        <v>44350.210526315794</v>
      </c>
      <c r="H149" s="323"/>
    </row>
    <row r="150" spans="1:8" hidden="1" x14ac:dyDescent="0.25">
      <c r="A150" s="476">
        <f t="shared" si="17"/>
        <v>2005</v>
      </c>
      <c r="B150" s="354">
        <f t="shared" si="18"/>
        <v>12152.654640257557</v>
      </c>
      <c r="C150" s="354">
        <f t="shared" si="18"/>
        <v>29197.196701282835</v>
      </c>
      <c r="D150" s="354">
        <f t="shared" si="18"/>
        <v>617335.85614849185</v>
      </c>
      <c r="E150" s="354">
        <f t="shared" si="18"/>
        <v>613.0849673202614</v>
      </c>
      <c r="F150" s="354">
        <f t="shared" si="18"/>
        <v>893.21071511224261</v>
      </c>
      <c r="G150" s="475">
        <f t="shared" si="18"/>
        <v>31326.925925925923</v>
      </c>
      <c r="H150" s="323"/>
    </row>
    <row r="151" spans="1:8" hidden="1" x14ac:dyDescent="0.25">
      <c r="A151" s="476">
        <f t="shared" si="17"/>
        <v>2006</v>
      </c>
      <c r="B151" s="354">
        <f t="shared" si="18"/>
        <v>11728.757133864876</v>
      </c>
      <c r="C151" s="354">
        <f t="shared" si="18"/>
        <v>26286.238412602241</v>
      </c>
      <c r="D151" s="354">
        <f t="shared" si="18"/>
        <v>616292.60879629629</v>
      </c>
      <c r="E151" s="354">
        <f t="shared" si="18"/>
        <v>610.26503340757245</v>
      </c>
      <c r="F151" s="354">
        <f t="shared" si="18"/>
        <v>877.96652429874177</v>
      </c>
      <c r="G151" s="475">
        <f t="shared" si="18"/>
        <v>30576.892857142859</v>
      </c>
      <c r="H151" s="323"/>
    </row>
    <row r="152" spans="1:8" hidden="1" x14ac:dyDescent="0.25">
      <c r="A152" s="476">
        <f t="shared" si="17"/>
        <v>2007</v>
      </c>
      <c r="B152" s="354">
        <f t="shared" si="18"/>
        <v>11836.337303527769</v>
      </c>
      <c r="C152" s="354">
        <f t="shared" si="18"/>
        <v>28535.877649909147</v>
      </c>
      <c r="D152" s="354">
        <f t="shared" si="18"/>
        <v>605898.37529137533</v>
      </c>
      <c r="E152" s="354">
        <f t="shared" si="18"/>
        <v>607.34537246049661</v>
      </c>
      <c r="F152" s="354">
        <f t="shared" si="18"/>
        <v>877.1710118295623</v>
      </c>
      <c r="G152" s="475">
        <f t="shared" si="18"/>
        <v>31999.333333333332</v>
      </c>
      <c r="H152" s="323"/>
    </row>
    <row r="153" spans="1:8" x14ac:dyDescent="0.25">
      <c r="A153" s="480">
        <f t="shared" si="17"/>
        <v>2008</v>
      </c>
      <c r="B153" s="354">
        <f t="shared" si="18"/>
        <v>12069.604933981931</v>
      </c>
      <c r="C153" s="354">
        <f t="shared" si="18"/>
        <v>28112.528721804512</v>
      </c>
      <c r="D153" s="354">
        <f t="shared" si="18"/>
        <v>612967.00704225351</v>
      </c>
      <c r="E153" s="354">
        <f t="shared" si="18"/>
        <v>617.84597701149414</v>
      </c>
      <c r="F153" s="354">
        <f t="shared" si="18"/>
        <v>871.77725660679562</v>
      </c>
      <c r="G153" s="475">
        <f t="shared" si="18"/>
        <v>38560.227272727272</v>
      </c>
      <c r="H153" s="323"/>
    </row>
    <row r="154" spans="1:8" x14ac:dyDescent="0.25">
      <c r="A154" s="480">
        <f t="shared" si="17"/>
        <v>2009</v>
      </c>
      <c r="B154" s="354">
        <f t="shared" si="18"/>
        <v>12033.390597494044</v>
      </c>
      <c r="C154" s="354">
        <f t="shared" si="18"/>
        <v>27282.285501193317</v>
      </c>
      <c r="D154" s="354">
        <f t="shared" si="18"/>
        <v>598148.13163972285</v>
      </c>
      <c r="E154" s="354">
        <f t="shared" si="18"/>
        <v>620.61938534278954</v>
      </c>
      <c r="F154" s="354">
        <f t="shared" si="18"/>
        <v>864.07648596431409</v>
      </c>
      <c r="G154" s="475">
        <f t="shared" si="18"/>
        <v>48438.117647058818</v>
      </c>
      <c r="H154" s="323"/>
    </row>
    <row r="155" spans="1:8" x14ac:dyDescent="0.25">
      <c r="A155" s="480">
        <f t="shared" si="17"/>
        <v>2010</v>
      </c>
      <c r="B155" s="354">
        <f t="shared" si="18"/>
        <v>11236.318752796229</v>
      </c>
      <c r="C155" s="354">
        <f t="shared" si="18"/>
        <v>27317.597608370703</v>
      </c>
      <c r="D155" s="354">
        <f t="shared" si="18"/>
        <v>590889.24137931026</v>
      </c>
      <c r="E155" s="354">
        <f t="shared" si="18"/>
        <v>628.09489051094897</v>
      </c>
      <c r="F155" s="354">
        <f t="shared" si="18"/>
        <v>876.62084557992318</v>
      </c>
      <c r="G155" s="475">
        <f t="shared" si="18"/>
        <v>52326.8125</v>
      </c>
      <c r="H155" s="323"/>
    </row>
    <row r="156" spans="1:8" x14ac:dyDescent="0.25">
      <c r="A156" s="480">
        <f t="shared" si="17"/>
        <v>2011</v>
      </c>
      <c r="B156" s="354">
        <f t="shared" si="18"/>
        <v>11855.592604037907</v>
      </c>
      <c r="C156" s="354">
        <f t="shared" si="18"/>
        <v>30222.311051693407</v>
      </c>
      <c r="D156" s="354">
        <f t="shared" si="18"/>
        <v>635157.2406947891</v>
      </c>
      <c r="E156" s="354">
        <f t="shared" si="18"/>
        <v>647.66666666666663</v>
      </c>
      <c r="F156" s="354">
        <f t="shared" si="18"/>
        <v>883.43160750621746</v>
      </c>
      <c r="G156" s="475">
        <f t="shared" si="18"/>
        <v>46045.947368421053</v>
      </c>
      <c r="H156" s="323"/>
    </row>
    <row r="157" spans="1:8" x14ac:dyDescent="0.25">
      <c r="A157" s="480">
        <f t="shared" si="17"/>
        <v>2012</v>
      </c>
      <c r="B157" s="354">
        <f t="shared" si="18"/>
        <v>10779.406178606743</v>
      </c>
      <c r="C157" s="354">
        <f t="shared" si="18"/>
        <v>28271.175754060328</v>
      </c>
      <c r="D157" s="354">
        <f t="shared" si="18"/>
        <v>694847.23224043718</v>
      </c>
      <c r="E157" s="354">
        <f t="shared" si="18"/>
        <v>628.85714285714289</v>
      </c>
      <c r="F157" s="354">
        <f t="shared" si="18"/>
        <v>874.57144472077778</v>
      </c>
      <c r="G157" s="475">
        <f t="shared" si="18"/>
        <v>41047.238095238092</v>
      </c>
      <c r="H157" s="323"/>
    </row>
    <row r="158" spans="1:8" x14ac:dyDescent="0.25">
      <c r="A158" s="480">
        <f t="shared" si="17"/>
        <v>2013</v>
      </c>
      <c r="B158" s="354">
        <f t="shared" si="18"/>
        <v>10987.845444685465</v>
      </c>
      <c r="C158" s="354">
        <f t="shared" si="18"/>
        <v>27584.253022452504</v>
      </c>
      <c r="D158" s="354">
        <f t="shared" si="18"/>
        <v>694500.67024128686</v>
      </c>
      <c r="E158" s="354">
        <f t="shared" si="18"/>
        <v>634.5320855614973</v>
      </c>
      <c r="F158" s="354">
        <f t="shared" si="18"/>
        <v>914.26543070314278</v>
      </c>
      <c r="G158" s="475">
        <f t="shared" si="18"/>
        <v>40829.666666666664</v>
      </c>
      <c r="H158" s="323"/>
    </row>
    <row r="159" spans="1:8" x14ac:dyDescent="0.25">
      <c r="A159" s="480">
        <f t="shared" si="17"/>
        <v>2014</v>
      </c>
      <c r="B159" s="354">
        <f t="shared" ref="B159:G166" si="19">B91/B136*1000000</f>
        <v>11328.904248122844</v>
      </c>
      <c r="C159" s="354">
        <f t="shared" si="19"/>
        <v>28899.278927426403</v>
      </c>
      <c r="D159" s="354">
        <f t="shared" si="19"/>
        <v>693854.7721179626</v>
      </c>
      <c r="E159" s="354">
        <f t="shared" si="19"/>
        <v>675.96944444444443</v>
      </c>
      <c r="F159" s="354">
        <f t="shared" si="19"/>
        <v>883.82339631180002</v>
      </c>
      <c r="G159" s="475">
        <f t="shared" si="19"/>
        <v>41715.428571428572</v>
      </c>
      <c r="H159" s="323"/>
    </row>
    <row r="160" spans="1:8" x14ac:dyDescent="0.25">
      <c r="A160" s="480">
        <f t="shared" si="17"/>
        <v>2015</v>
      </c>
      <c r="B160" s="354">
        <f t="shared" si="19"/>
        <v>10481.372045914923</v>
      </c>
      <c r="C160" s="354">
        <f t="shared" si="19"/>
        <v>28031.974809607498</v>
      </c>
      <c r="D160" s="354">
        <f t="shared" si="19"/>
        <v>705774.41828254843</v>
      </c>
      <c r="E160" s="354">
        <f t="shared" si="19"/>
        <v>649.82872928176801</v>
      </c>
      <c r="F160" s="354">
        <f t="shared" si="19"/>
        <v>822.31875563570793</v>
      </c>
      <c r="G160" s="475">
        <f t="shared" si="19"/>
        <v>43462.333333333328</v>
      </c>
      <c r="H160" s="323"/>
    </row>
    <row r="161" spans="1:20" x14ac:dyDescent="0.25">
      <c r="A161" s="480">
        <f t="shared" si="17"/>
        <v>2016</v>
      </c>
      <c r="B161" s="354">
        <f t="shared" si="19"/>
        <v>9712.6202159507538</v>
      </c>
      <c r="C161" s="354">
        <f t="shared" si="19"/>
        <v>26975.415861867132</v>
      </c>
      <c r="D161" s="354">
        <f t="shared" si="19"/>
        <v>692396.61495844868</v>
      </c>
      <c r="E161" s="354">
        <f t="shared" si="19"/>
        <v>628.96343490304719</v>
      </c>
      <c r="F161" s="354">
        <f t="shared" si="19"/>
        <v>603.38006195786852</v>
      </c>
      <c r="G161" s="475">
        <f t="shared" si="19"/>
        <v>43011.934761904762</v>
      </c>
      <c r="H161" s="323"/>
    </row>
    <row r="162" spans="1:20" x14ac:dyDescent="0.25">
      <c r="A162" s="480">
        <v>2017</v>
      </c>
      <c r="B162" s="354">
        <f t="shared" si="19"/>
        <v>9478.853333109897</v>
      </c>
      <c r="C162" s="354">
        <f t="shared" si="19"/>
        <v>26665.493614528412</v>
      </c>
      <c r="D162" s="354">
        <f t="shared" si="19"/>
        <v>677255.18176795589</v>
      </c>
      <c r="E162" s="354">
        <f t="shared" si="19"/>
        <v>601.86253521126764</v>
      </c>
      <c r="F162" s="354">
        <f t="shared" si="19"/>
        <v>297.17736059479552</v>
      </c>
      <c r="G162" s="475">
        <f t="shared" si="19"/>
        <v>39465.778260869571</v>
      </c>
      <c r="H162" s="323"/>
    </row>
    <row r="163" spans="1:20" x14ac:dyDescent="0.25">
      <c r="A163" s="480">
        <v>2018</v>
      </c>
      <c r="B163" s="354">
        <f t="shared" si="19"/>
        <v>9887.8700371274717</v>
      </c>
      <c r="C163" s="354">
        <f t="shared" si="19"/>
        <v>27378.984430342385</v>
      </c>
      <c r="D163" s="354">
        <f t="shared" si="19"/>
        <v>668004.77488950267</v>
      </c>
      <c r="E163" s="354">
        <f t="shared" si="19"/>
        <v>597.45888571428554</v>
      </c>
      <c r="F163" s="354">
        <f t="shared" si="19"/>
        <v>298.39753141719552</v>
      </c>
      <c r="G163" s="475">
        <f t="shared" si="19"/>
        <v>38922.476521739125</v>
      </c>
      <c r="H163" s="323"/>
    </row>
    <row r="164" spans="1:20" x14ac:dyDescent="0.25">
      <c r="A164" s="480">
        <v>2019</v>
      </c>
      <c r="B164" s="354">
        <f t="shared" si="19"/>
        <v>9859.2974648637864</v>
      </c>
      <c r="C164" s="354">
        <f t="shared" si="19"/>
        <v>27047.590802123268</v>
      </c>
      <c r="D164" s="354">
        <f t="shared" si="19"/>
        <v>674252.98582633049</v>
      </c>
      <c r="E164" s="354">
        <f t="shared" si="19"/>
        <v>594.32767241379315</v>
      </c>
      <c r="F164" s="354">
        <f t="shared" si="19"/>
        <v>299.93106009705116</v>
      </c>
      <c r="G164" s="475">
        <f t="shared" si="19"/>
        <v>36103.334999999999</v>
      </c>
      <c r="H164" s="323"/>
    </row>
    <row r="165" spans="1:20" x14ac:dyDescent="0.25">
      <c r="A165" s="480">
        <v>2020</v>
      </c>
      <c r="B165" s="354">
        <f t="shared" si="19"/>
        <v>9895.2997600716808</v>
      </c>
      <c r="C165" s="354">
        <f t="shared" si="19"/>
        <v>26684.815050088393</v>
      </c>
      <c r="D165" s="354">
        <f t="shared" si="19"/>
        <v>676721.02266288945</v>
      </c>
      <c r="E165" s="354">
        <f t="shared" si="19"/>
        <v>618.6048484848485</v>
      </c>
      <c r="F165" s="354">
        <f t="shared" si="19"/>
        <v>307.20376384222971</v>
      </c>
      <c r="G165" s="475">
        <f t="shared" si="19"/>
        <v>36284.215833333335</v>
      </c>
      <c r="H165" s="323"/>
    </row>
    <row r="166" spans="1:20" x14ac:dyDescent="0.25">
      <c r="A166" s="480">
        <v>2021</v>
      </c>
      <c r="B166" s="354">
        <f t="shared" si="19"/>
        <v>9673.350092348086</v>
      </c>
      <c r="C166" s="354">
        <f t="shared" si="19"/>
        <v>26328.373633970663</v>
      </c>
      <c r="D166" s="354">
        <f t="shared" si="19"/>
        <v>680543.6404057293</v>
      </c>
      <c r="E166" s="354">
        <f t="shared" si="19"/>
        <v>629.30047622133486</v>
      </c>
      <c r="F166" s="354">
        <f t="shared" si="19"/>
        <v>306.083673012318</v>
      </c>
      <c r="G166" s="475">
        <f t="shared" si="19"/>
        <v>35735.259711043494</v>
      </c>
      <c r="H166" s="323"/>
    </row>
    <row r="167" spans="1:20" x14ac:dyDescent="0.25">
      <c r="A167" s="600" t="s">
        <v>146</v>
      </c>
      <c r="B167" s="601"/>
      <c r="C167" s="601"/>
      <c r="D167" s="601"/>
      <c r="E167" s="601"/>
      <c r="F167" s="601"/>
      <c r="G167" s="602"/>
      <c r="H167" s="323"/>
    </row>
    <row r="168" spans="1:20" hidden="1" x14ac:dyDescent="0.25">
      <c r="A168" s="476">
        <f t="shared" ref="A168:A186" si="20">A100</f>
        <v>2003</v>
      </c>
      <c r="B168" s="354">
        <f t="shared" ref="B168:G177" si="21">B100*1000000/B124</f>
        <v>12051.426331609491</v>
      </c>
      <c r="C168" s="354">
        <f t="shared" si="21"/>
        <v>29174.979433918692</v>
      </c>
      <c r="D168" s="354">
        <f t="shared" si="21"/>
        <v>616878.23087008647</v>
      </c>
      <c r="E168" s="354">
        <f t="shared" si="21"/>
        <v>581.57519916702051</v>
      </c>
      <c r="F168" s="354">
        <f t="shared" si="21"/>
        <v>817.7579088648846</v>
      </c>
      <c r="G168" s="475">
        <f t="shared" si="21"/>
        <v>69546.065131308656</v>
      </c>
      <c r="H168" s="323"/>
    </row>
    <row r="169" spans="1:20" hidden="1" x14ac:dyDescent="0.25">
      <c r="A169" s="476">
        <f t="shared" si="20"/>
        <v>2004</v>
      </c>
      <c r="B169" s="354">
        <f t="shared" si="21"/>
        <v>12231.762380220065</v>
      </c>
      <c r="C169" s="354">
        <f t="shared" si="21"/>
        <v>28888.704655120964</v>
      </c>
      <c r="D169" s="354">
        <f t="shared" si="21"/>
        <v>616129.53381803352</v>
      </c>
      <c r="E169" s="354">
        <f t="shared" si="21"/>
        <v>612.4159577346602</v>
      </c>
      <c r="F169" s="354">
        <f t="shared" si="21"/>
        <v>836.96336535412377</v>
      </c>
      <c r="G169" s="475">
        <f t="shared" si="21"/>
        <v>43460.525503477314</v>
      </c>
      <c r="H169" s="323"/>
    </row>
    <row r="170" spans="1:20" hidden="1" x14ac:dyDescent="0.25">
      <c r="A170" s="476">
        <f t="shared" si="20"/>
        <v>2005</v>
      </c>
      <c r="B170" s="354">
        <f t="shared" si="21"/>
        <v>11908.866962750364</v>
      </c>
      <c r="C170" s="354">
        <f t="shared" si="21"/>
        <v>28611.487900676646</v>
      </c>
      <c r="D170" s="354">
        <f t="shared" si="21"/>
        <v>604951.82327111496</v>
      </c>
      <c r="E170" s="354">
        <f t="shared" si="21"/>
        <v>600.78620917054297</v>
      </c>
      <c r="F170" s="354">
        <f t="shared" si="21"/>
        <v>875.29250940265126</v>
      </c>
      <c r="G170" s="475">
        <f t="shared" si="21"/>
        <v>30698.493806278399</v>
      </c>
      <c r="H170" s="323"/>
    </row>
    <row r="171" spans="1:20" hidden="1" x14ac:dyDescent="0.25">
      <c r="A171" s="476">
        <f t="shared" si="20"/>
        <v>2006</v>
      </c>
      <c r="B171" s="354">
        <f t="shared" si="21"/>
        <v>11493.47302958046</v>
      </c>
      <c r="C171" s="354">
        <f t="shared" si="21"/>
        <v>25758.924734833403</v>
      </c>
      <c r="D171" s="354">
        <f t="shared" si="21"/>
        <v>603929.50392655109</v>
      </c>
      <c r="E171" s="354">
        <f t="shared" si="21"/>
        <v>598.02284439107211</v>
      </c>
      <c r="F171" s="354">
        <f t="shared" si="21"/>
        <v>860.35412386247651</v>
      </c>
      <c r="G171" s="475">
        <f t="shared" si="21"/>
        <v>29963.506735699419</v>
      </c>
      <c r="H171" s="323"/>
    </row>
    <row r="172" spans="1:20" hidden="1" x14ac:dyDescent="0.25">
      <c r="A172" s="476">
        <f t="shared" si="20"/>
        <v>2007</v>
      </c>
      <c r="B172" s="354">
        <f t="shared" si="21"/>
        <v>11598.89509301189</v>
      </c>
      <c r="C172" s="354">
        <f t="shared" si="21"/>
        <v>27963.435204712383</v>
      </c>
      <c r="D172" s="354">
        <f t="shared" si="21"/>
        <v>593743.78338613408</v>
      </c>
      <c r="E172" s="354">
        <f t="shared" si="21"/>
        <v>595.16175314604629</v>
      </c>
      <c r="F172" s="354">
        <f t="shared" si="21"/>
        <v>859.57456972857688</v>
      </c>
      <c r="G172" s="475">
        <f t="shared" si="21"/>
        <v>31357.412420904064</v>
      </c>
      <c r="H172" s="323"/>
      <c r="M172" s="325"/>
      <c r="N172" s="325"/>
      <c r="O172" s="325"/>
      <c r="P172" s="325"/>
      <c r="Q172" s="325"/>
      <c r="R172" s="325"/>
      <c r="S172" s="325"/>
      <c r="T172" s="325"/>
    </row>
    <row r="173" spans="1:20" s="325" customFormat="1" x14ac:dyDescent="0.25">
      <c r="A173" s="480">
        <f t="shared" si="20"/>
        <v>2008</v>
      </c>
      <c r="B173" s="354">
        <f t="shared" si="21"/>
        <v>11827.483270659284</v>
      </c>
      <c r="C173" s="354">
        <f t="shared" si="21"/>
        <v>27548.578845105163</v>
      </c>
      <c r="D173" s="354">
        <f t="shared" si="21"/>
        <v>600670.61522837402</v>
      </c>
      <c r="E173" s="354">
        <f t="shared" si="21"/>
        <v>605.45171088186737</v>
      </c>
      <c r="F173" s="354">
        <f t="shared" si="21"/>
        <v>854.28901564356352</v>
      </c>
      <c r="G173" s="475">
        <f t="shared" si="21"/>
        <v>37786.691898832323</v>
      </c>
      <c r="H173" s="323"/>
    </row>
    <row r="174" spans="1:20" s="325" customFormat="1" x14ac:dyDescent="0.25">
      <c r="A174" s="480">
        <f t="shared" si="20"/>
        <v>2009</v>
      </c>
      <c r="B174" s="354">
        <f t="shared" si="21"/>
        <v>11791.995409928852</v>
      </c>
      <c r="C174" s="354">
        <f t="shared" si="21"/>
        <v>26734.990674152697</v>
      </c>
      <c r="D174" s="354">
        <f t="shared" si="21"/>
        <v>586149.01308214769</v>
      </c>
      <c r="E174" s="354">
        <f t="shared" si="21"/>
        <v>608.1694834038783</v>
      </c>
      <c r="F174" s="354">
        <f t="shared" si="21"/>
        <v>846.74272589809755</v>
      </c>
      <c r="G174" s="475">
        <f t="shared" si="21"/>
        <v>47466.427382375514</v>
      </c>
      <c r="H174" s="323"/>
      <c r="M174" s="324"/>
      <c r="N174" s="324"/>
      <c r="O174" s="324"/>
      <c r="P174" s="324"/>
      <c r="Q174" s="324"/>
      <c r="R174" s="324"/>
      <c r="S174" s="324"/>
      <c r="T174" s="324"/>
    </row>
    <row r="175" spans="1:20" x14ac:dyDescent="0.25">
      <c r="A175" s="480">
        <f t="shared" si="20"/>
        <v>2010</v>
      </c>
      <c r="B175" s="354">
        <f t="shared" si="21"/>
        <v>11010.913182279935</v>
      </c>
      <c r="C175" s="354">
        <f t="shared" si="21"/>
        <v>26769.594404695392</v>
      </c>
      <c r="D175" s="354">
        <f t="shared" si="21"/>
        <v>579035.73940101359</v>
      </c>
      <c r="E175" s="354">
        <f t="shared" si="21"/>
        <v>615.49502660100461</v>
      </c>
      <c r="F175" s="354">
        <f t="shared" si="21"/>
        <v>859.03544005952119</v>
      </c>
      <c r="G175" s="475">
        <f t="shared" si="21"/>
        <v>51277.113280500162</v>
      </c>
      <c r="H175" s="323"/>
    </row>
    <row r="176" spans="1:20" x14ac:dyDescent="0.25">
      <c r="A176" s="480">
        <f t="shared" si="20"/>
        <v>2011</v>
      </c>
      <c r="B176" s="354">
        <f t="shared" si="21"/>
        <v>11617.764123597472</v>
      </c>
      <c r="C176" s="354">
        <f t="shared" si="21"/>
        <v>29616.037999566568</v>
      </c>
      <c r="D176" s="354">
        <f t="shared" si="21"/>
        <v>622415.70288724545</v>
      </c>
      <c r="E176" s="354">
        <f t="shared" si="21"/>
        <v>634.6741841894268</v>
      </c>
      <c r="F176" s="354">
        <f t="shared" si="21"/>
        <v>865.70957506098182</v>
      </c>
      <c r="G176" s="475">
        <f t="shared" si="21"/>
        <v>45122.24510748624</v>
      </c>
      <c r="H176" s="323"/>
    </row>
    <row r="177" spans="1:8" x14ac:dyDescent="0.25">
      <c r="A177" s="480">
        <f t="shared" si="20"/>
        <v>2012</v>
      </c>
      <c r="B177" s="354">
        <f t="shared" si="21"/>
        <v>10563.166478312458</v>
      </c>
      <c r="C177" s="354">
        <f t="shared" si="21"/>
        <v>27704.043347067643</v>
      </c>
      <c r="D177" s="354">
        <f t="shared" si="21"/>
        <v>680908.28655452502</v>
      </c>
      <c r="E177" s="354">
        <f t="shared" si="21"/>
        <v>616.24198782483427</v>
      </c>
      <c r="F177" s="354">
        <f t="shared" si="21"/>
        <v>857.02715109654355</v>
      </c>
      <c r="G177" s="475">
        <f t="shared" si="21"/>
        <v>40223.812173944003</v>
      </c>
      <c r="H177" s="323"/>
    </row>
    <row r="178" spans="1:8" x14ac:dyDescent="0.25">
      <c r="A178" s="480">
        <f t="shared" si="20"/>
        <v>2013</v>
      </c>
      <c r="B178" s="354">
        <f t="shared" ref="B178:G186" si="22">B110*1000000/B134</f>
        <v>10767.424359658144</v>
      </c>
      <c r="C178" s="354">
        <f t="shared" si="22"/>
        <v>27030.900592125236</v>
      </c>
      <c r="D178" s="354">
        <f t="shared" si="22"/>
        <v>680568.67674379644</v>
      </c>
      <c r="E178" s="354">
        <f t="shared" si="22"/>
        <v>621.80308864502149</v>
      </c>
      <c r="F178" s="354">
        <f t="shared" si="22"/>
        <v>895.9248579991438</v>
      </c>
      <c r="G178" s="475">
        <f t="shared" si="22"/>
        <v>40010.605325362179</v>
      </c>
      <c r="H178" s="323"/>
    </row>
    <row r="179" spans="1:8" ht="12.75" customHeight="1" x14ac:dyDescent="0.25">
      <c r="A179" s="480">
        <f t="shared" si="20"/>
        <v>2014</v>
      </c>
      <c r="B179" s="354">
        <f t="shared" si="22"/>
        <v>11121.201083620586</v>
      </c>
      <c r="C179" s="354">
        <f t="shared" si="22"/>
        <v>28049.758662946235</v>
      </c>
      <c r="D179" s="354">
        <f t="shared" si="22"/>
        <v>685448.72807619546</v>
      </c>
      <c r="E179" s="354">
        <f t="shared" si="22"/>
        <v>658.74947629674807</v>
      </c>
      <c r="F179" s="354">
        <f t="shared" si="22"/>
        <v>865.40814893332663</v>
      </c>
      <c r="G179" s="475">
        <f t="shared" si="22"/>
        <v>40878.598450875557</v>
      </c>
      <c r="H179" s="323"/>
    </row>
    <row r="180" spans="1:8" x14ac:dyDescent="0.25">
      <c r="A180" s="480">
        <f t="shared" si="20"/>
        <v>2015</v>
      </c>
      <c r="B180" s="354">
        <f t="shared" si="22"/>
        <v>10289.870429033861</v>
      </c>
      <c r="C180" s="354">
        <f t="shared" si="22"/>
        <v>27333.533653603139</v>
      </c>
      <c r="D180" s="354">
        <f t="shared" si="22"/>
        <v>669365.87903548591</v>
      </c>
      <c r="E180" s="354">
        <f t="shared" si="22"/>
        <v>640.33061305692399</v>
      </c>
      <c r="F180" s="354">
        <f t="shared" si="22"/>
        <v>808.83117617733751</v>
      </c>
      <c r="G180" s="475">
        <f t="shared" si="22"/>
        <v>42590.459523369427</v>
      </c>
      <c r="H180" s="323"/>
    </row>
    <row r="181" spans="1:8" x14ac:dyDescent="0.25">
      <c r="A181" s="480">
        <f t="shared" si="20"/>
        <v>2016</v>
      </c>
      <c r="B181" s="354">
        <f t="shared" si="22"/>
        <v>9552.8056372387928</v>
      </c>
      <c r="C181" s="354">
        <f t="shared" si="22"/>
        <v>26457.505691180941</v>
      </c>
      <c r="D181" s="354">
        <f t="shared" si="22"/>
        <v>678506.82974926534</v>
      </c>
      <c r="E181" s="354">
        <f t="shared" si="22"/>
        <v>614.64353393742806</v>
      </c>
      <c r="F181" s="354">
        <f t="shared" si="22"/>
        <v>537.82655855916812</v>
      </c>
      <c r="G181" s="475">
        <f t="shared" si="22"/>
        <v>42149.096148359378</v>
      </c>
      <c r="H181" s="323"/>
    </row>
    <row r="182" spans="1:8" x14ac:dyDescent="0.25">
      <c r="A182" s="480">
        <f t="shared" si="20"/>
        <v>2017</v>
      </c>
      <c r="B182" s="354">
        <f t="shared" si="22"/>
        <v>9322.4474575988334</v>
      </c>
      <c r="C182" s="354">
        <f t="shared" si="22"/>
        <v>26107.630229509676</v>
      </c>
      <c r="D182" s="354">
        <f t="shared" si="22"/>
        <v>665507.55913996312</v>
      </c>
      <c r="E182" s="354">
        <f t="shared" si="22"/>
        <v>579.98631839674772</v>
      </c>
      <c r="F182" s="354">
        <f t="shared" si="22"/>
        <v>291.21585006958668</v>
      </c>
      <c r="G182" s="475">
        <f t="shared" si="22"/>
        <v>42357.322570819706</v>
      </c>
      <c r="H182" s="323"/>
    </row>
    <row r="183" spans="1:8" ht="12.75" customHeight="1" x14ac:dyDescent="0.25">
      <c r="A183" s="480">
        <f t="shared" si="20"/>
        <v>2018</v>
      </c>
      <c r="B183" s="354">
        <f t="shared" si="22"/>
        <v>9708.9998476927594</v>
      </c>
      <c r="C183" s="354">
        <f t="shared" si="22"/>
        <v>26625.422452644478</v>
      </c>
      <c r="D183" s="354">
        <f t="shared" si="22"/>
        <v>654604.30088158045</v>
      </c>
      <c r="E183" s="354">
        <f t="shared" si="22"/>
        <v>577.2274867836295</v>
      </c>
      <c r="F183" s="354">
        <f t="shared" si="22"/>
        <v>291.21580878340978</v>
      </c>
      <c r="G183" s="475">
        <f t="shared" si="22"/>
        <v>38141.674266186667</v>
      </c>
      <c r="H183" s="323"/>
    </row>
    <row r="184" spans="1:8" x14ac:dyDescent="0.25">
      <c r="A184" s="480">
        <f t="shared" si="20"/>
        <v>2019</v>
      </c>
      <c r="B184" s="354">
        <f t="shared" si="22"/>
        <v>9703.203200610702</v>
      </c>
      <c r="C184" s="354">
        <f t="shared" si="22"/>
        <v>26528.473657697265</v>
      </c>
      <c r="D184" s="354">
        <f t="shared" si="22"/>
        <v>651601.10403472872</v>
      </c>
      <c r="E184" s="354">
        <f t="shared" si="22"/>
        <v>579.07716429404275</v>
      </c>
      <c r="F184" s="354">
        <f t="shared" si="22"/>
        <v>293.91430913046719</v>
      </c>
      <c r="G184" s="475">
        <f t="shared" si="22"/>
        <v>36917.30711159941</v>
      </c>
      <c r="H184" s="323"/>
    </row>
    <row r="185" spans="1:8" x14ac:dyDescent="0.25">
      <c r="A185" s="480">
        <f t="shared" si="20"/>
        <v>2020</v>
      </c>
      <c r="B185" s="354">
        <f t="shared" si="22"/>
        <v>9731.6738656934394</v>
      </c>
      <c r="C185" s="354">
        <f t="shared" si="22"/>
        <v>26172.640078273118</v>
      </c>
      <c r="D185" s="354">
        <f t="shared" si="22"/>
        <v>655715.49294726877</v>
      </c>
      <c r="E185" s="354">
        <f t="shared" si="22"/>
        <v>574.84042668977906</v>
      </c>
      <c r="F185" s="354">
        <f t="shared" si="22"/>
        <v>301.041119191696</v>
      </c>
      <c r="G185" s="475">
        <f t="shared" si="22"/>
        <v>35556.338265013772</v>
      </c>
      <c r="H185" s="323"/>
    </row>
    <row r="186" spans="1:8" ht="16.5" thickBot="1" x14ac:dyDescent="0.3">
      <c r="A186" s="485">
        <f t="shared" si="20"/>
        <v>2021</v>
      </c>
      <c r="B186" s="465">
        <f t="shared" si="22"/>
        <v>9511.6698938510362</v>
      </c>
      <c r="C186" s="465">
        <f t="shared" si="22"/>
        <v>25821.596641256619</v>
      </c>
      <c r="D186" s="465">
        <f t="shared" si="22"/>
        <v>658115.67265699559</v>
      </c>
      <c r="E186" s="465">
        <f t="shared" si="22"/>
        <v>604.62505046280228</v>
      </c>
      <c r="F186" s="465">
        <f t="shared" si="22"/>
        <v>299.94349788388507</v>
      </c>
      <c r="G186" s="477">
        <f t="shared" si="22"/>
        <v>35846.106799309789</v>
      </c>
      <c r="H186" s="323"/>
    </row>
    <row r="187" spans="1:8" x14ac:dyDescent="0.25">
      <c r="A187" s="363"/>
      <c r="B187" s="366"/>
      <c r="C187" s="366"/>
      <c r="D187" s="366"/>
      <c r="E187" s="366"/>
      <c r="F187" s="366"/>
      <c r="G187" s="366"/>
      <c r="H187" s="323"/>
    </row>
    <row r="188" spans="1:8" x14ac:dyDescent="0.25">
      <c r="A188" s="363"/>
      <c r="B188" s="366"/>
      <c r="C188" s="366"/>
      <c r="D188" s="366"/>
      <c r="E188" s="366"/>
      <c r="F188" s="366"/>
      <c r="G188" s="366"/>
      <c r="H188" s="323"/>
    </row>
    <row r="189" spans="1:8" x14ac:dyDescent="0.25">
      <c r="A189" s="363"/>
      <c r="B189" s="366"/>
      <c r="C189" s="366"/>
      <c r="D189" s="366"/>
      <c r="E189" s="366"/>
      <c r="F189" s="366"/>
      <c r="G189" s="366"/>
      <c r="H189" s="323"/>
    </row>
    <row r="191" spans="1:8" hidden="1" x14ac:dyDescent="0.25">
      <c r="A191" s="601" t="s">
        <v>173</v>
      </c>
      <c r="B191" s="601"/>
      <c r="C191" s="601"/>
      <c r="D191" s="601"/>
      <c r="E191" s="601"/>
      <c r="F191" s="601"/>
      <c r="G191" s="323"/>
    </row>
    <row r="192" spans="1:8" ht="94.5" hidden="1" x14ac:dyDescent="0.25">
      <c r="A192" s="343" t="s">
        <v>115</v>
      </c>
      <c r="B192" s="344" t="s">
        <v>163</v>
      </c>
      <c r="C192" s="344" t="s">
        <v>166</v>
      </c>
      <c r="D192" s="344" t="s">
        <v>164</v>
      </c>
      <c r="E192" s="344" t="s">
        <v>165</v>
      </c>
      <c r="F192" s="344" t="s">
        <v>162</v>
      </c>
      <c r="G192" s="356"/>
    </row>
    <row r="193" spans="1:7" hidden="1" x14ac:dyDescent="0.25">
      <c r="A193" s="357" t="e">
        <f>#REF!</f>
        <v>#REF!</v>
      </c>
      <c r="B193" s="354" t="e">
        <f>#REF!</f>
        <v>#REF!</v>
      </c>
      <c r="C193" s="354" t="e">
        <f>#REF!</f>
        <v>#REF!</v>
      </c>
      <c r="D193" s="354" t="e">
        <f>#REF!</f>
        <v>#REF!</v>
      </c>
      <c r="E193" s="354" t="e">
        <f>#REF!</f>
        <v>#REF!</v>
      </c>
      <c r="F193" s="354" t="e">
        <f t="shared" ref="F193:F205" si="23">SUM(B193:E193)</f>
        <v>#REF!</v>
      </c>
      <c r="G193" s="356"/>
    </row>
    <row r="194" spans="1:7" hidden="1" x14ac:dyDescent="0.25">
      <c r="A194" s="357" t="e">
        <f>#REF!</f>
        <v>#REF!</v>
      </c>
      <c r="B194" s="354" t="e">
        <f>#REF!</f>
        <v>#REF!</v>
      </c>
      <c r="C194" s="354" t="e">
        <f>#REF!</f>
        <v>#REF!</v>
      </c>
      <c r="D194" s="354" t="e">
        <f>#REF!</f>
        <v>#REF!</v>
      </c>
      <c r="E194" s="354" t="e">
        <f>#REF!</f>
        <v>#REF!</v>
      </c>
      <c r="F194" s="354" t="e">
        <f t="shared" si="23"/>
        <v>#REF!</v>
      </c>
      <c r="G194" s="356"/>
    </row>
    <row r="195" spans="1:7" hidden="1" x14ac:dyDescent="0.25">
      <c r="A195" s="357" t="e">
        <f>#REF!</f>
        <v>#REF!</v>
      </c>
      <c r="B195" s="354" t="e">
        <f>#REF!</f>
        <v>#REF!</v>
      </c>
      <c r="C195" s="354" t="e">
        <f>#REF!</f>
        <v>#REF!</v>
      </c>
      <c r="D195" s="354" t="e">
        <f>#REF!</f>
        <v>#REF!</v>
      </c>
      <c r="E195" s="354" t="e">
        <f>#REF!</f>
        <v>#REF!</v>
      </c>
      <c r="F195" s="354" t="e">
        <f t="shared" si="23"/>
        <v>#REF!</v>
      </c>
      <c r="G195" s="356"/>
    </row>
    <row r="196" spans="1:7" hidden="1" x14ac:dyDescent="0.25">
      <c r="A196" s="357" t="e">
        <f>#REF!</f>
        <v>#REF!</v>
      </c>
      <c r="B196" s="354" t="e">
        <f>#REF!</f>
        <v>#REF!</v>
      </c>
      <c r="C196" s="354" t="e">
        <f>#REF!</f>
        <v>#REF!</v>
      </c>
      <c r="D196" s="354" t="e">
        <f>#REF!</f>
        <v>#REF!</v>
      </c>
      <c r="E196" s="354" t="e">
        <f>#REF!</f>
        <v>#REF!</v>
      </c>
      <c r="F196" s="354" t="e">
        <f t="shared" si="23"/>
        <v>#REF!</v>
      </c>
      <c r="G196" s="356"/>
    </row>
    <row r="197" spans="1:7" hidden="1" x14ac:dyDescent="0.25">
      <c r="A197" s="357" t="e">
        <f>#REF!</f>
        <v>#REF!</v>
      </c>
      <c r="B197" s="354" t="e">
        <f>#REF!</f>
        <v>#REF!</v>
      </c>
      <c r="C197" s="354" t="e">
        <f>#REF!</f>
        <v>#REF!</v>
      </c>
      <c r="D197" s="354" t="e">
        <f>#REF!</f>
        <v>#REF!</v>
      </c>
      <c r="E197" s="354" t="e">
        <f>#REF!</f>
        <v>#REF!</v>
      </c>
      <c r="F197" s="354" t="e">
        <f t="shared" si="23"/>
        <v>#REF!</v>
      </c>
      <c r="G197" s="356"/>
    </row>
    <row r="198" spans="1:7" hidden="1" x14ac:dyDescent="0.25">
      <c r="A198" s="357" t="e">
        <f>#REF!</f>
        <v>#REF!</v>
      </c>
      <c r="B198" s="354" t="e">
        <f>#REF!</f>
        <v>#REF!</v>
      </c>
      <c r="C198" s="354" t="e">
        <f>#REF!</f>
        <v>#REF!</v>
      </c>
      <c r="D198" s="354" t="e">
        <f>#REF!</f>
        <v>#REF!</v>
      </c>
      <c r="E198" s="354" t="e">
        <f>#REF!</f>
        <v>#REF!</v>
      </c>
      <c r="F198" s="354" t="e">
        <f t="shared" si="23"/>
        <v>#REF!</v>
      </c>
      <c r="G198" s="356"/>
    </row>
    <row r="199" spans="1:7" hidden="1" x14ac:dyDescent="0.25">
      <c r="A199" s="357" t="e">
        <f>#REF!</f>
        <v>#REF!</v>
      </c>
      <c r="B199" s="354" t="e">
        <f>#REF!</f>
        <v>#REF!</v>
      </c>
      <c r="C199" s="354" t="e">
        <f>#REF!</f>
        <v>#REF!</v>
      </c>
      <c r="D199" s="354" t="e">
        <f>#REF!</f>
        <v>#REF!</v>
      </c>
      <c r="E199" s="354" t="e">
        <f>#REF!</f>
        <v>#REF!</v>
      </c>
      <c r="F199" s="354" t="e">
        <f t="shared" si="23"/>
        <v>#REF!</v>
      </c>
      <c r="G199" s="356"/>
    </row>
    <row r="200" spans="1:7" hidden="1" x14ac:dyDescent="0.25">
      <c r="A200" s="357" t="e">
        <f>#REF!</f>
        <v>#REF!</v>
      </c>
      <c r="B200" s="354" t="e">
        <f>#REF!</f>
        <v>#REF!</v>
      </c>
      <c r="C200" s="354" t="e">
        <f>#REF!</f>
        <v>#REF!</v>
      </c>
      <c r="D200" s="354" t="e">
        <f>#REF!</f>
        <v>#REF!</v>
      </c>
      <c r="E200" s="354" t="e">
        <f>#REF!</f>
        <v>#REF!</v>
      </c>
      <c r="F200" s="354" t="e">
        <f t="shared" si="23"/>
        <v>#REF!</v>
      </c>
      <c r="G200" s="356"/>
    </row>
    <row r="201" spans="1:7" hidden="1" x14ac:dyDescent="0.25">
      <c r="A201" s="357" t="e">
        <f>#REF!</f>
        <v>#REF!</v>
      </c>
      <c r="B201" s="354" t="e">
        <f>#REF!</f>
        <v>#REF!</v>
      </c>
      <c r="C201" s="354" t="e">
        <f>#REF!</f>
        <v>#REF!</v>
      </c>
      <c r="D201" s="354" t="e">
        <f>#REF!</f>
        <v>#REF!</v>
      </c>
      <c r="E201" s="354" t="e">
        <f>#REF!</f>
        <v>#REF!</v>
      </c>
      <c r="F201" s="354" t="e">
        <f t="shared" si="23"/>
        <v>#REF!</v>
      </c>
      <c r="G201" s="356"/>
    </row>
    <row r="202" spans="1:7" hidden="1" x14ac:dyDescent="0.25">
      <c r="A202" s="357" t="e">
        <f>#REF!</f>
        <v>#REF!</v>
      </c>
      <c r="B202" s="354" t="e">
        <f>#REF!</f>
        <v>#REF!</v>
      </c>
      <c r="C202" s="354" t="e">
        <f>#REF!</f>
        <v>#REF!</v>
      </c>
      <c r="D202" s="354" t="e">
        <f>#REF!</f>
        <v>#REF!</v>
      </c>
      <c r="E202" s="354" t="e">
        <f>#REF!</f>
        <v>#REF!</v>
      </c>
      <c r="F202" s="354" t="e">
        <f t="shared" si="23"/>
        <v>#REF!</v>
      </c>
      <c r="G202" s="356"/>
    </row>
    <row r="203" spans="1:7" hidden="1" x14ac:dyDescent="0.25">
      <c r="A203" s="357" t="e">
        <f>#REF!</f>
        <v>#REF!</v>
      </c>
      <c r="B203" s="354" t="e">
        <f>#REF!</f>
        <v>#REF!</v>
      </c>
      <c r="C203" s="354" t="e">
        <f>#REF!</f>
        <v>#REF!</v>
      </c>
      <c r="D203" s="354" t="e">
        <f>#REF!</f>
        <v>#REF!</v>
      </c>
      <c r="E203" s="354" t="e">
        <f>#REF!</f>
        <v>#REF!</v>
      </c>
      <c r="F203" s="354" t="e">
        <f t="shared" si="23"/>
        <v>#REF!</v>
      </c>
      <c r="G203" s="356"/>
    </row>
    <row r="204" spans="1:7" hidden="1" x14ac:dyDescent="0.25">
      <c r="A204" s="357" t="e">
        <f>#REF!</f>
        <v>#REF!</v>
      </c>
      <c r="B204" s="354" t="e">
        <f>#REF!</f>
        <v>#REF!</v>
      </c>
      <c r="C204" s="354" t="e">
        <f>#REF!</f>
        <v>#REF!</v>
      </c>
      <c r="D204" s="354" t="e">
        <f>#REF!</f>
        <v>#REF!</v>
      </c>
      <c r="E204" s="354" t="e">
        <f>#REF!</f>
        <v>#REF!</v>
      </c>
      <c r="F204" s="354" t="e">
        <f t="shared" si="23"/>
        <v>#REF!</v>
      </c>
      <c r="G204" s="356"/>
    </row>
    <row r="205" spans="1:7" hidden="1" x14ac:dyDescent="0.25">
      <c r="A205" s="357" t="e">
        <f>#REF!</f>
        <v>#REF!</v>
      </c>
      <c r="B205" s="354" t="e">
        <f>#REF!</f>
        <v>#REF!</v>
      </c>
      <c r="C205" s="354" t="e">
        <f>#REF!</f>
        <v>#REF!</v>
      </c>
      <c r="D205" s="354" t="e">
        <f>#REF!</f>
        <v>#REF!</v>
      </c>
      <c r="E205" s="354" t="e">
        <f>#REF!</f>
        <v>#REF!</v>
      </c>
      <c r="F205" s="354" t="e">
        <f t="shared" si="23"/>
        <v>#REF!</v>
      </c>
      <c r="G205" s="356"/>
    </row>
    <row r="207" spans="1:7" ht="16.5" thickBot="1" x14ac:dyDescent="0.3">
      <c r="A207" s="604" t="s">
        <v>383</v>
      </c>
      <c r="B207" s="604"/>
    </row>
    <row r="208" spans="1:7" x14ac:dyDescent="0.25">
      <c r="A208" s="607" t="s">
        <v>26</v>
      </c>
      <c r="B208" s="608"/>
      <c r="C208" s="486">
        <f>'Purchased Power Model'!$X$32</f>
        <v>0.95806475018978599</v>
      </c>
    </row>
    <row r="209" spans="1:11" x14ac:dyDescent="0.25">
      <c r="A209" s="609" t="s">
        <v>27</v>
      </c>
      <c r="B209" s="610"/>
      <c r="C209" s="487">
        <f>'Purchased Power Model'!$X$33</f>
        <v>0.95605185819889571</v>
      </c>
    </row>
    <row r="210" spans="1:11" x14ac:dyDescent="0.25">
      <c r="A210" s="609" t="s">
        <v>123</v>
      </c>
      <c r="B210" s="610"/>
      <c r="C210" s="488">
        <f>'Purchased Power Model'!$AA$39</f>
        <v>475.9643113121283</v>
      </c>
      <c r="F210" s="368"/>
    </row>
    <row r="211" spans="1:11" x14ac:dyDescent="0.25">
      <c r="A211" s="609" t="s">
        <v>124</v>
      </c>
      <c r="B211" s="610"/>
      <c r="C211" s="487">
        <f>'Purchased Power Model'!$T$135</f>
        <v>0</v>
      </c>
    </row>
    <row r="212" spans="1:11" x14ac:dyDescent="0.25">
      <c r="A212" s="609" t="s">
        <v>125</v>
      </c>
      <c r="B212" s="610"/>
      <c r="C212" s="488"/>
    </row>
    <row r="213" spans="1:11" x14ac:dyDescent="0.25">
      <c r="A213" s="611" t="str">
        <f>'Purchased Power Model'!W45</f>
        <v>Heating Degree Days</v>
      </c>
      <c r="B213" s="612"/>
      <c r="C213" s="489">
        <f>'Purchased Power Model'!Z45</f>
        <v>40.730805083690726</v>
      </c>
    </row>
    <row r="214" spans="1:11" x14ac:dyDescent="0.25">
      <c r="A214" s="611" t="str">
        <f>'Purchased Power Model'!W46</f>
        <v>Cooling Degree Days</v>
      </c>
      <c r="B214" s="612"/>
      <c r="C214" s="489">
        <f>'Purchased Power Model'!Z46</f>
        <v>7.5452312224631575</v>
      </c>
    </row>
    <row r="215" spans="1:11" x14ac:dyDescent="0.25">
      <c r="A215" s="611" t="str">
        <f>'Purchased Power Model'!W47</f>
        <v>Spring Fall Flag</v>
      </c>
      <c r="B215" s="612"/>
      <c r="C215" s="489">
        <f>'Purchased Power Model'!Z47</f>
        <v>-6.7794757146007898</v>
      </c>
    </row>
    <row r="216" spans="1:11" x14ac:dyDescent="0.25">
      <c r="A216" s="611" t="str">
        <f>'Purchased Power Model'!W48</f>
        <v>Number of Days in Month</v>
      </c>
      <c r="B216" s="612"/>
      <c r="C216" s="489">
        <f>'Purchased Power Model'!Z48</f>
        <v>7.608363929816198</v>
      </c>
    </row>
    <row r="217" spans="1:11" x14ac:dyDescent="0.25">
      <c r="A217" s="611" t="str">
        <f>'Purchased Power Model'!W49</f>
        <v>Trend</v>
      </c>
      <c r="B217" s="612"/>
      <c r="C217" s="489">
        <f>'Purchased Power Model'!Z49</f>
        <v>-3.9153533009780235</v>
      </c>
    </row>
    <row r="218" spans="1:11" x14ac:dyDescent="0.25">
      <c r="A218" s="611" t="str">
        <f>'Purchased Power Model'!W50</f>
        <v>Number of Customers</v>
      </c>
      <c r="B218" s="612"/>
      <c r="C218" s="489">
        <f>'Purchased Power Model'!Z50</f>
        <v>-1.5895438138962332</v>
      </c>
    </row>
    <row r="219" spans="1:11" ht="16.5" thickBot="1" x14ac:dyDescent="0.3">
      <c r="A219" s="613" t="s">
        <v>126</v>
      </c>
      <c r="B219" s="614"/>
      <c r="C219" s="490">
        <f>'Purchased Power Model'!$Z$44</f>
        <v>1.5271105546247192</v>
      </c>
    </row>
    <row r="222" spans="1:11" x14ac:dyDescent="0.25">
      <c r="A222" s="604" t="s">
        <v>385</v>
      </c>
      <c r="B222" s="604"/>
      <c r="C222" s="604"/>
      <c r="D222" s="604"/>
      <c r="E222" s="604"/>
      <c r="F222" s="604"/>
      <c r="G222" s="604"/>
    </row>
    <row r="223" spans="1:11" ht="63" x14ac:dyDescent="0.25">
      <c r="A223" s="491" t="s">
        <v>115</v>
      </c>
      <c r="B223" s="456" t="s">
        <v>127</v>
      </c>
      <c r="C223" s="456" t="s">
        <v>128</v>
      </c>
      <c r="D223" s="456" t="s">
        <v>11</v>
      </c>
      <c r="E223" s="456" t="s">
        <v>147</v>
      </c>
      <c r="F223" s="456" t="s">
        <v>148</v>
      </c>
      <c r="G223" s="456" t="s">
        <v>149</v>
      </c>
    </row>
    <row r="224" spans="1:11" x14ac:dyDescent="0.25">
      <c r="A224" s="601" t="s">
        <v>129</v>
      </c>
      <c r="B224" s="601"/>
      <c r="C224" s="601"/>
      <c r="D224" s="601"/>
      <c r="E224" s="601"/>
      <c r="F224" s="601"/>
      <c r="G224" s="601"/>
      <c r="K224" s="324">
        <v>1000000</v>
      </c>
    </row>
    <row r="225" spans="1:9" hidden="1" x14ac:dyDescent="0.25">
      <c r="A225" s="346">
        <v>2003</v>
      </c>
      <c r="B225" s="351">
        <v>755.12602000000004</v>
      </c>
      <c r="C225" s="351">
        <v>768.81940305715489</v>
      </c>
      <c r="D225" s="369">
        <v>1.8133904400691847E-2</v>
      </c>
      <c r="E225" s="351">
        <v>753.39654260056909</v>
      </c>
      <c r="F225" s="370">
        <v>0.9799395535606179</v>
      </c>
      <c r="G225" s="351">
        <v>739.97785492080629</v>
      </c>
      <c r="I225" s="356"/>
    </row>
    <row r="226" spans="1:9" hidden="1" x14ac:dyDescent="0.25">
      <c r="A226" s="346">
        <v>2004</v>
      </c>
      <c r="B226" s="351">
        <v>757.68575199999998</v>
      </c>
      <c r="C226" s="351">
        <v>757.64853494666863</v>
      </c>
      <c r="D226" s="369">
        <v>-4.9119378625173127E-5</v>
      </c>
      <c r="E226" s="351">
        <v>747.70621665652516</v>
      </c>
      <c r="F226" s="370">
        <v>0.98687740049435546</v>
      </c>
      <c r="G226" s="351">
        <v>747.7429453253709</v>
      </c>
      <c r="I226" s="356"/>
    </row>
    <row r="227" spans="1:9" hidden="1" x14ac:dyDescent="0.25">
      <c r="A227" s="346">
        <v>2005</v>
      </c>
      <c r="B227" s="351">
        <v>749.21903199999997</v>
      </c>
      <c r="C227" s="351">
        <v>751.00286935742918</v>
      </c>
      <c r="D227" s="369">
        <v>2.3809290491023649E-3</v>
      </c>
      <c r="E227" s="351">
        <v>744.49958874953302</v>
      </c>
      <c r="F227" s="370">
        <v>0.99134053826790236</v>
      </c>
      <c r="G227" s="351">
        <v>742.73119846343673</v>
      </c>
      <c r="I227" s="356"/>
    </row>
    <row r="228" spans="1:9" hidden="1" x14ac:dyDescent="0.25">
      <c r="A228" s="346">
        <v>2006</v>
      </c>
      <c r="B228" s="351">
        <v>728.09333300000003</v>
      </c>
      <c r="C228" s="351">
        <v>726.47578963264755</v>
      </c>
      <c r="D228" s="369">
        <v>-2.2216154084087059E-3</v>
      </c>
      <c r="E228" s="351">
        <v>738.46037052479426</v>
      </c>
      <c r="F228" s="370">
        <v>1.0164968758259747</v>
      </c>
      <c r="G228" s="351">
        <v>740.1045983042211</v>
      </c>
      <c r="I228" s="356"/>
    </row>
    <row r="229" spans="1:9" hidden="1" x14ac:dyDescent="0.25">
      <c r="A229" s="346">
        <v>2007</v>
      </c>
      <c r="B229" s="351">
        <v>738.09357599999998</v>
      </c>
      <c r="C229" s="351">
        <v>728.52360434743548</v>
      </c>
      <c r="D229" s="369">
        <v>-1.2965797242712407E-2</v>
      </c>
      <c r="E229" s="351">
        <v>724.95142130042109</v>
      </c>
      <c r="F229" s="370">
        <v>0.99509668180180089</v>
      </c>
      <c r="G229" s="351">
        <v>734.47446833682534</v>
      </c>
      <c r="I229" s="356"/>
    </row>
    <row r="230" spans="1:9" hidden="1" x14ac:dyDescent="0.25">
      <c r="A230" s="346">
        <v>2008</v>
      </c>
      <c r="B230" s="351">
        <v>740.96648600000003</v>
      </c>
      <c r="C230" s="351">
        <v>738.24939937264389</v>
      </c>
      <c r="D230" s="369">
        <v>-3.6669494217260734E-3</v>
      </c>
      <c r="E230" s="351">
        <v>728.22403583071866</v>
      </c>
      <c r="F230" s="370">
        <v>0.98642008574548834</v>
      </c>
      <c r="G230" s="351">
        <v>730.90422465465326</v>
      </c>
      <c r="I230" s="356"/>
    </row>
    <row r="231" spans="1:9" hidden="1" x14ac:dyDescent="0.25">
      <c r="A231" s="346">
        <v>2009</v>
      </c>
      <c r="B231" s="351">
        <v>732.86998400000004</v>
      </c>
      <c r="C231" s="351">
        <v>737.58518584566821</v>
      </c>
      <c r="D231" s="369">
        <v>6.4338858850960801E-3</v>
      </c>
      <c r="E231" s="351">
        <v>728.08736412912708</v>
      </c>
      <c r="F231" s="370">
        <v>0.98712308503640633</v>
      </c>
      <c r="G231" s="351">
        <v>723.43287953666174</v>
      </c>
      <c r="I231" s="356"/>
    </row>
    <row r="232" spans="1:9" hidden="1" x14ac:dyDescent="0.25">
      <c r="A232" s="346">
        <v>2010</v>
      </c>
      <c r="B232" s="351">
        <v>714.19906200000003</v>
      </c>
      <c r="C232" s="351">
        <v>724.21263500198597</v>
      </c>
      <c r="D232" s="369">
        <v>1.4020703099139498E-2</v>
      </c>
      <c r="E232" s="351">
        <v>732.29105387914353</v>
      </c>
      <c r="F232" s="370">
        <v>1.0111547610283482</v>
      </c>
      <c r="G232" s="351">
        <v>722.16578186328047</v>
      </c>
      <c r="I232" s="356"/>
    </row>
    <row r="233" spans="1:9" ht="17.25" customHeight="1" x14ac:dyDescent="0.25">
      <c r="A233" s="346">
        <v>2011</v>
      </c>
      <c r="B233" s="351">
        <f>'Purchased Power Model'!B164/1000000</f>
        <v>745.04919400000006</v>
      </c>
      <c r="C233" s="351">
        <f>Summary!B5/1000000</f>
        <v>731.05913697020355</v>
      </c>
      <c r="D233" s="369">
        <f t="shared" ref="D233:D243" si="24">C233/B233-1</f>
        <v>-1.8777360129318521E-2</v>
      </c>
      <c r="E233" s="351">
        <f>'Purchased Power Model'!U164/1000000</f>
        <v>734.1795982981472</v>
      </c>
      <c r="F233" s="370">
        <f t="shared" ref="F233:F246" si="25">E233/C233</f>
        <v>1.0042684116374991</v>
      </c>
      <c r="G233" s="351">
        <f t="shared" ref="G233:G243" si="26">B233*F233</f>
        <v>748.22937065017902</v>
      </c>
      <c r="I233" s="356"/>
    </row>
    <row r="234" spans="1:9" ht="17.25" customHeight="1" x14ac:dyDescent="0.25">
      <c r="A234" s="346">
        <v>2012</v>
      </c>
      <c r="B234" s="351">
        <f>'Purchased Power Model'!B165/1000000</f>
        <v>706.95351300000004</v>
      </c>
      <c r="C234" s="351">
        <f>Summary!C5/1000000</f>
        <v>705.4631603318287</v>
      </c>
      <c r="D234" s="369">
        <f t="shared" si="24"/>
        <v>-2.1081339023932832E-3</v>
      </c>
      <c r="E234" s="351">
        <f>'Purchased Power Model'!U165/1000000</f>
        <v>726.35951408935784</v>
      </c>
      <c r="F234" s="370">
        <f t="shared" si="25"/>
        <v>1.0296207582940264</v>
      </c>
      <c r="G234" s="351">
        <f t="shared" si="26"/>
        <v>727.89401213368592</v>
      </c>
      <c r="I234" s="356"/>
    </row>
    <row r="235" spans="1:9" ht="17.25" customHeight="1" x14ac:dyDescent="0.25">
      <c r="A235" s="346">
        <v>2013</v>
      </c>
      <c r="B235" s="351">
        <f>'Purchased Power Model'!B166/1000000</f>
        <v>730.56831099999999</v>
      </c>
      <c r="C235" s="351">
        <f>Summary!D5/1000000</f>
        <v>727.27353555742934</v>
      </c>
      <c r="D235" s="369">
        <f t="shared" si="24"/>
        <v>-4.5098800385425797E-3</v>
      </c>
      <c r="E235" s="351">
        <f>'Purchased Power Model'!U166/1000000</f>
        <v>715.04011987575552</v>
      </c>
      <c r="F235" s="370">
        <f t="shared" si="25"/>
        <v>0.98317907213233413</v>
      </c>
      <c r="G235" s="351">
        <f t="shared" si="26"/>
        <v>718.27947413826655</v>
      </c>
      <c r="I235" s="356"/>
    </row>
    <row r="236" spans="1:9" ht="17.25" customHeight="1" x14ac:dyDescent="0.25">
      <c r="A236" s="346">
        <v>2014</v>
      </c>
      <c r="B236" s="351">
        <f>'Purchased Power Model'!B167/1000000</f>
        <v>730.49028498999996</v>
      </c>
      <c r="C236" s="351">
        <f>Summary!E5/1000000</f>
        <v>725.0784888515517</v>
      </c>
      <c r="D236" s="369">
        <f t="shared" si="24"/>
        <v>-7.40844368453486E-3</v>
      </c>
      <c r="E236" s="351">
        <f>'Purchased Power Model'!U167/1000000</f>
        <v>705.54437177379793</v>
      </c>
      <c r="F236" s="370">
        <f t="shared" si="25"/>
        <v>0.9730593068500849</v>
      </c>
      <c r="G236" s="351">
        <f t="shared" si="26"/>
        <v>710.81037037309034</v>
      </c>
      <c r="I236" s="356"/>
    </row>
    <row r="237" spans="1:9" ht="17.25" customHeight="1" x14ac:dyDescent="0.25">
      <c r="A237" s="346">
        <v>2015</v>
      </c>
      <c r="B237" s="351">
        <f>'Purchased Power Model'!B168/1000000</f>
        <v>698.51737710999987</v>
      </c>
      <c r="C237" s="351">
        <f>Summary!F5/1000000</f>
        <v>703.9016844121096</v>
      </c>
      <c r="D237" s="369">
        <f t="shared" si="24"/>
        <v>7.7081937809284629E-3</v>
      </c>
      <c r="E237" s="351">
        <f>'Purchased Power Model'!U168/1000000</f>
        <v>696.03546778606096</v>
      </c>
      <c r="F237" s="370">
        <f t="shared" si="25"/>
        <v>0.98882483619481831</v>
      </c>
      <c r="G237" s="351">
        <f t="shared" si="26"/>
        <v>690.71133100002976</v>
      </c>
      <c r="I237" s="356"/>
    </row>
    <row r="238" spans="1:9" ht="17.25" customHeight="1" x14ac:dyDescent="0.25">
      <c r="A238" s="346">
        <v>2016</v>
      </c>
      <c r="B238" s="351">
        <f>'Purchased Power Model'!B169/1000000</f>
        <v>669.95846173000018</v>
      </c>
      <c r="C238" s="351">
        <f>Summary!G5/1000000</f>
        <v>678.82654911724421</v>
      </c>
      <c r="D238" s="369">
        <f t="shared" si="24"/>
        <v>1.3236771969928451E-2</v>
      </c>
      <c r="E238" s="351">
        <f>'Purchased Power Model'!U169/1000000</f>
        <v>688.23812692229603</v>
      </c>
      <c r="F238" s="370">
        <f t="shared" si="25"/>
        <v>1.0138644810184438</v>
      </c>
      <c r="G238" s="351">
        <f t="shared" si="26"/>
        <v>679.24708810580159</v>
      </c>
      <c r="I238" s="356"/>
    </row>
    <row r="239" spans="1:9" ht="17.25" customHeight="1" x14ac:dyDescent="0.25">
      <c r="A239" s="346">
        <v>2017</v>
      </c>
      <c r="B239" s="367">
        <f>Summary!$H$4/1000000</f>
        <v>652.97047299999997</v>
      </c>
      <c r="C239" s="351">
        <f>Summary!H5/1000000</f>
        <v>667.41476734397884</v>
      </c>
      <c r="D239" s="369">
        <f t="shared" si="24"/>
        <v>2.212089970564235E-2</v>
      </c>
      <c r="E239" s="351">
        <f>'Purchased Power Model'!U170/1000000</f>
        <v>676.96955054199987</v>
      </c>
      <c r="F239" s="370">
        <f t="shared" si="25"/>
        <v>1.0143161099596956</v>
      </c>
      <c r="G239" s="351">
        <f t="shared" si="26"/>
        <v>662.31847009190244</v>
      </c>
    </row>
    <row r="240" spans="1:9" ht="17.25" customHeight="1" x14ac:dyDescent="0.25">
      <c r="A240" s="346">
        <v>2018</v>
      </c>
      <c r="B240" s="367">
        <f>Summary!$J$4/K224</f>
        <v>666.73629839</v>
      </c>
      <c r="C240" s="351">
        <f>Summary!$J$5/1000000</f>
        <v>684.01577332876093</v>
      </c>
      <c r="D240" s="369">
        <f t="shared" si="24"/>
        <v>2.591650549173119E-2</v>
      </c>
      <c r="E240" s="351">
        <f>'Purchased Power Model'!U171/1000000</f>
        <v>667.41821237365946</v>
      </c>
      <c r="F240" s="370">
        <f t="shared" si="25"/>
        <v>0.97573511956554815</v>
      </c>
      <c r="G240" s="351">
        <f t="shared" si="26"/>
        <v>650.55802182825767</v>
      </c>
    </row>
    <row r="241" spans="1:10" ht="17.25" customHeight="1" x14ac:dyDescent="0.25">
      <c r="A241" s="346">
        <v>2019</v>
      </c>
      <c r="B241" s="367">
        <f>Summary!$K$4/K224</f>
        <v>660.63951394000003</v>
      </c>
      <c r="C241" s="351">
        <f>Summary!$K$5/1000000</f>
        <v>671.08209506483684</v>
      </c>
      <c r="D241" s="369">
        <f t="shared" si="24"/>
        <v>1.5806776471116724E-2</v>
      </c>
      <c r="E241" s="351">
        <f>'Purchased Power Model'!U172/1000000</f>
        <v>657.90363329793865</v>
      </c>
      <c r="F241" s="370">
        <f t="shared" si="25"/>
        <v>0.9803623701722739</v>
      </c>
      <c r="G241" s="351">
        <f t="shared" si="26"/>
        <v>647.66611971567738</v>
      </c>
    </row>
    <row r="242" spans="1:10" ht="17.25" customHeight="1" x14ac:dyDescent="0.25">
      <c r="A242" s="346">
        <v>2020</v>
      </c>
      <c r="B242" s="367">
        <f>Summary!$L$4/K224</f>
        <v>659.06859553012544</v>
      </c>
      <c r="C242" s="351">
        <f>Summary!$L$5/1000000</f>
        <v>647.28348479280623</v>
      </c>
      <c r="D242" s="369">
        <f t="shared" si="24"/>
        <v>-1.7881463048379342E-2</v>
      </c>
      <c r="E242" s="351">
        <f>'Purchased Power Model'!U173/1000000</f>
        <v>648.34103093981287</v>
      </c>
      <c r="F242" s="370">
        <f t="shared" si="25"/>
        <v>1.0016338222306802</v>
      </c>
      <c r="G242" s="351">
        <f t="shared" si="26"/>
        <v>660.14539645304569</v>
      </c>
    </row>
    <row r="243" spans="1:10" ht="17.25" customHeight="1" x14ac:dyDescent="0.25">
      <c r="A243" s="346">
        <v>2021</v>
      </c>
      <c r="B243" s="367">
        <f>Summary!$M$4/K224</f>
        <v>647.74093670370291</v>
      </c>
      <c r="C243" s="351">
        <f>Summary!$M$5/1000000</f>
        <v>610.76445586947477</v>
      </c>
      <c r="D243" s="369">
        <f t="shared" si="24"/>
        <v>-5.7085292497334184E-2</v>
      </c>
      <c r="E243" s="351">
        <f>'Purchased Power Model'!U174/1000000</f>
        <v>638.78728515838873</v>
      </c>
      <c r="F243" s="370">
        <f t="shared" si="25"/>
        <v>1.0458815653393272</v>
      </c>
      <c r="G243" s="351">
        <f t="shared" si="26"/>
        <v>677.46030481403091</v>
      </c>
    </row>
    <row r="244" spans="1:10" ht="17.25" customHeight="1" x14ac:dyDescent="0.25">
      <c r="A244" s="346" t="s">
        <v>310</v>
      </c>
      <c r="B244" s="371"/>
      <c r="C244" s="351">
        <f>Summary!$N$5/1000000</f>
        <v>630.49875171553992</v>
      </c>
      <c r="D244" s="372"/>
      <c r="E244" s="351">
        <f>'Purchased Power Model'!U175/1000000</f>
        <v>629.23729277584823</v>
      </c>
      <c r="F244" s="370">
        <f t="shared" si="25"/>
        <v>0.99799926814088158</v>
      </c>
      <c r="G244" s="351"/>
    </row>
    <row r="245" spans="1:10" ht="17.25" customHeight="1" x14ac:dyDescent="0.25">
      <c r="A245" s="346" t="s">
        <v>318</v>
      </c>
      <c r="B245" s="371"/>
      <c r="C245" s="351">
        <f>Summary!$O$5/1000000</f>
        <v>620.94853836945367</v>
      </c>
      <c r="D245" s="372"/>
      <c r="E245" s="351">
        <f>'Purchased Power Model'!U176/1000000</f>
        <v>619.68707942976187</v>
      </c>
      <c r="F245" s="370">
        <f t="shared" si="25"/>
        <v>0.99796849680489741</v>
      </c>
      <c r="G245" s="351"/>
    </row>
    <row r="246" spans="1:10" ht="17.25" customHeight="1" x14ac:dyDescent="0.25">
      <c r="A246" s="346" t="s">
        <v>319</v>
      </c>
      <c r="B246" s="367"/>
      <c r="C246" s="351">
        <f>'Purchased Power Model'!$R$196/K224</f>
        <v>593.9943013577797</v>
      </c>
      <c r="D246" s="369"/>
      <c r="E246" s="351">
        <f>C246</f>
        <v>593.9943013577797</v>
      </c>
      <c r="F246" s="370">
        <f t="shared" si="25"/>
        <v>1</v>
      </c>
      <c r="G246" s="347"/>
    </row>
    <row r="248" spans="1:10" ht="16.5" thickBot="1" x14ac:dyDescent="0.3">
      <c r="A248" s="492" t="s">
        <v>384</v>
      </c>
      <c r="B248" s="404"/>
      <c r="C248" s="404"/>
      <c r="D248" s="404"/>
      <c r="E248" s="404"/>
      <c r="F248" s="404"/>
      <c r="G248" s="404"/>
      <c r="H248" s="404"/>
      <c r="I248" s="356"/>
      <c r="J248" s="373"/>
    </row>
    <row r="249" spans="1:10" ht="47.25" x14ac:dyDescent="0.25">
      <c r="A249" s="478" t="s">
        <v>115</v>
      </c>
      <c r="B249" s="424" t="str">
        <f t="shared" ref="B249:H249" si="27">B123</f>
        <v xml:space="preserve">Residential </v>
      </c>
      <c r="C249" s="424" t="str">
        <f t="shared" si="27"/>
        <v>General Service &lt; 50 kW</v>
      </c>
      <c r="D249" s="424" t="str">
        <f t="shared" si="27"/>
        <v>General Service 50 to 4,999 kW</v>
      </c>
      <c r="E249" s="424" t="str">
        <f t="shared" si="27"/>
        <v>Sentinel Lighting</v>
      </c>
      <c r="F249" s="424" t="str">
        <f t="shared" si="27"/>
        <v>Street Lights</v>
      </c>
      <c r="G249" s="424" t="str">
        <f t="shared" si="27"/>
        <v xml:space="preserve">Unmetered Scattered Load </v>
      </c>
      <c r="H249" s="457" t="str">
        <f t="shared" si="27"/>
        <v>Total</v>
      </c>
      <c r="I249" s="356"/>
      <c r="J249" s="356"/>
    </row>
    <row r="250" spans="1:10" x14ac:dyDescent="0.25">
      <c r="A250" s="600" t="s">
        <v>122</v>
      </c>
      <c r="B250" s="601"/>
      <c r="C250" s="601"/>
      <c r="D250" s="601"/>
      <c r="E250" s="601"/>
      <c r="F250" s="601"/>
      <c r="G250" s="601"/>
      <c r="H250" s="602"/>
      <c r="I250" s="356"/>
      <c r="J250" s="356"/>
    </row>
    <row r="251" spans="1:10" hidden="1" x14ac:dyDescent="0.25">
      <c r="A251" s="327">
        <v>2003</v>
      </c>
      <c r="B251" s="374">
        <v>28544</v>
      </c>
      <c r="C251" s="374">
        <v>3230</v>
      </c>
      <c r="D251" s="374">
        <v>419</v>
      </c>
      <c r="E251" s="374">
        <v>466</v>
      </c>
      <c r="F251" s="374">
        <v>8619</v>
      </c>
      <c r="G251" s="374">
        <v>12</v>
      </c>
      <c r="H251" s="493">
        <f t="shared" ref="H251:H269" si="28">SUM(B251:G251)</f>
        <v>41290</v>
      </c>
      <c r="I251" s="356"/>
      <c r="J251" s="356"/>
    </row>
    <row r="252" spans="1:10" hidden="1" x14ac:dyDescent="0.25">
      <c r="A252" s="327">
        <v>2004</v>
      </c>
      <c r="B252" s="374">
        <v>28560</v>
      </c>
      <c r="C252" s="374">
        <v>3247</v>
      </c>
      <c r="D252" s="374">
        <v>424</v>
      </c>
      <c r="E252" s="374">
        <v>466</v>
      </c>
      <c r="F252" s="374">
        <v>8635</v>
      </c>
      <c r="G252" s="374">
        <v>19</v>
      </c>
      <c r="H252" s="493">
        <f t="shared" si="28"/>
        <v>41351</v>
      </c>
      <c r="I252" s="356"/>
      <c r="J252" s="356"/>
    </row>
    <row r="253" spans="1:10" hidden="1" x14ac:dyDescent="0.25">
      <c r="A253" s="327">
        <v>2005</v>
      </c>
      <c r="B253" s="374">
        <v>28576</v>
      </c>
      <c r="C253" s="374">
        <v>3274</v>
      </c>
      <c r="D253" s="374">
        <v>431</v>
      </c>
      <c r="E253" s="374">
        <v>459</v>
      </c>
      <c r="F253" s="374">
        <v>8642</v>
      </c>
      <c r="G253" s="374">
        <v>27</v>
      </c>
      <c r="H253" s="493">
        <f t="shared" si="28"/>
        <v>41409</v>
      </c>
      <c r="I253" s="356"/>
      <c r="J253" s="356"/>
    </row>
    <row r="254" spans="1:10" hidden="1" x14ac:dyDescent="0.25">
      <c r="A254" s="327">
        <v>2006</v>
      </c>
      <c r="B254" s="374">
        <v>28596</v>
      </c>
      <c r="C254" s="374">
        <v>3301</v>
      </c>
      <c r="D254" s="374">
        <v>432</v>
      </c>
      <c r="E254" s="374">
        <v>449</v>
      </c>
      <c r="F254" s="374">
        <v>8663</v>
      </c>
      <c r="G254" s="374">
        <v>28</v>
      </c>
      <c r="H254" s="493">
        <f t="shared" si="28"/>
        <v>41469</v>
      </c>
      <c r="I254" s="356"/>
      <c r="J254" s="356"/>
    </row>
    <row r="255" spans="1:10" hidden="1" x14ac:dyDescent="0.25">
      <c r="A255" s="327">
        <v>2007</v>
      </c>
      <c r="B255" s="374">
        <v>28630</v>
      </c>
      <c r="C255" s="374">
        <v>3302</v>
      </c>
      <c r="D255" s="374">
        <v>429</v>
      </c>
      <c r="E255" s="374">
        <v>443</v>
      </c>
      <c r="F255" s="374">
        <v>8707</v>
      </c>
      <c r="G255" s="374">
        <v>27</v>
      </c>
      <c r="H255" s="493">
        <f t="shared" si="28"/>
        <v>41538</v>
      </c>
      <c r="I255" s="356"/>
      <c r="J255" s="356"/>
    </row>
    <row r="256" spans="1:10" x14ac:dyDescent="0.25">
      <c r="A256" s="481">
        <v>2008</v>
      </c>
      <c r="B256" s="374">
        <v>28780</v>
      </c>
      <c r="C256" s="374">
        <v>3325</v>
      </c>
      <c r="D256" s="374">
        <v>426</v>
      </c>
      <c r="E256" s="374">
        <v>435</v>
      </c>
      <c r="F256" s="374">
        <v>8741</v>
      </c>
      <c r="G256" s="374">
        <v>22</v>
      </c>
      <c r="H256" s="493">
        <f t="shared" si="28"/>
        <v>41729</v>
      </c>
      <c r="I256" s="356"/>
      <c r="J256" s="356"/>
    </row>
    <row r="257" spans="1:10" x14ac:dyDescent="0.25">
      <c r="A257" s="481">
        <v>2009</v>
      </c>
      <c r="B257" s="374">
        <v>28971</v>
      </c>
      <c r="C257" s="374">
        <v>3352</v>
      </c>
      <c r="D257" s="374">
        <v>433</v>
      </c>
      <c r="E257" s="374">
        <v>423</v>
      </c>
      <c r="F257" s="374">
        <v>8799</v>
      </c>
      <c r="G257" s="374">
        <v>17</v>
      </c>
      <c r="H257" s="493">
        <f t="shared" si="28"/>
        <v>41995</v>
      </c>
      <c r="I257" s="356"/>
      <c r="J257" s="356"/>
    </row>
    <row r="258" spans="1:10" x14ac:dyDescent="0.25">
      <c r="A258" s="481">
        <v>2010</v>
      </c>
      <c r="B258" s="374">
        <v>29057</v>
      </c>
      <c r="C258" s="374">
        <v>3345</v>
      </c>
      <c r="D258" s="374">
        <v>435</v>
      </c>
      <c r="E258" s="374">
        <v>411</v>
      </c>
      <c r="F258" s="374">
        <v>8846</v>
      </c>
      <c r="G258" s="374">
        <v>16</v>
      </c>
      <c r="H258" s="493">
        <f t="shared" si="28"/>
        <v>42110</v>
      </c>
      <c r="I258" s="356"/>
      <c r="J258" s="356"/>
    </row>
    <row r="259" spans="1:10" x14ac:dyDescent="0.25">
      <c r="A259" s="481">
        <v>2011</v>
      </c>
      <c r="B259" s="374">
        <f>'Rate Class Customer Model'!B4</f>
        <v>29124</v>
      </c>
      <c r="C259" s="374">
        <f>'Rate Class Customer Model'!C4</f>
        <v>3366</v>
      </c>
      <c r="D259" s="374">
        <f>'Rate Class Customer Model'!D4</f>
        <v>403</v>
      </c>
      <c r="E259" s="374">
        <f>'Rate Class Customer Model'!E4</f>
        <v>402</v>
      </c>
      <c r="F259" s="374">
        <f>'Rate Class Customer Model'!F4</f>
        <v>8846</v>
      </c>
      <c r="G259" s="374">
        <f>'Rate Class Customer Model'!G4</f>
        <v>19</v>
      </c>
      <c r="H259" s="493">
        <f t="shared" si="28"/>
        <v>42160</v>
      </c>
      <c r="I259" s="356"/>
      <c r="J259" s="356"/>
    </row>
    <row r="260" spans="1:10" x14ac:dyDescent="0.25">
      <c r="A260" s="481">
        <v>2012</v>
      </c>
      <c r="B260" s="374">
        <f>'Rate Class Customer Model'!B5</f>
        <v>29327</v>
      </c>
      <c r="C260" s="374">
        <f>'Rate Class Customer Model'!C5</f>
        <v>3448</v>
      </c>
      <c r="D260" s="374">
        <f>'Rate Class Customer Model'!D5</f>
        <v>366</v>
      </c>
      <c r="E260" s="374">
        <f>'Rate Class Customer Model'!E5</f>
        <v>392</v>
      </c>
      <c r="F260" s="374">
        <f>'Rate Class Customer Model'!F5</f>
        <v>8846</v>
      </c>
      <c r="G260" s="374">
        <f>'Rate Class Customer Model'!G5</f>
        <v>21</v>
      </c>
      <c r="H260" s="493">
        <f t="shared" si="28"/>
        <v>42400</v>
      </c>
      <c r="I260" s="356"/>
      <c r="J260" s="356"/>
    </row>
    <row r="261" spans="1:10" x14ac:dyDescent="0.25">
      <c r="A261" s="481">
        <v>2013</v>
      </c>
      <c r="B261" s="374">
        <f>'Rate Class Customer Model'!B6</f>
        <v>29504</v>
      </c>
      <c r="C261" s="374">
        <f>'Rate Class Customer Model'!C6</f>
        <v>3474</v>
      </c>
      <c r="D261" s="374">
        <f>'Rate Class Customer Model'!D6</f>
        <v>373</v>
      </c>
      <c r="E261" s="374">
        <f>'Rate Class Customer Model'!E6</f>
        <v>374</v>
      </c>
      <c r="F261" s="374">
        <f>'Rate Class Customer Model'!F6</f>
        <v>8846</v>
      </c>
      <c r="G261" s="374">
        <f>'Rate Class Customer Model'!G6</f>
        <v>21</v>
      </c>
      <c r="H261" s="493">
        <f t="shared" si="28"/>
        <v>42592</v>
      </c>
      <c r="I261" s="356"/>
      <c r="J261" s="356"/>
    </row>
    <row r="262" spans="1:10" x14ac:dyDescent="0.25">
      <c r="A262" s="481">
        <v>2014</v>
      </c>
      <c r="B262" s="374">
        <f>'Rate Class Customer Model'!B7</f>
        <v>29514</v>
      </c>
      <c r="C262" s="374">
        <f>'Rate Class Customer Model'!C7</f>
        <v>3464</v>
      </c>
      <c r="D262" s="374">
        <f>'Rate Class Customer Model'!D7</f>
        <v>370</v>
      </c>
      <c r="E262" s="374">
        <f>'Rate Class Customer Model'!E7</f>
        <v>362</v>
      </c>
      <c r="F262" s="374">
        <f>'Rate Class Customer Model'!F7</f>
        <v>8846</v>
      </c>
      <c r="G262" s="374">
        <f>'Rate Class Customer Model'!G7</f>
        <v>21</v>
      </c>
      <c r="H262" s="493">
        <f t="shared" si="28"/>
        <v>42577</v>
      </c>
      <c r="I262" s="356"/>
      <c r="J262" s="356"/>
    </row>
    <row r="263" spans="1:10" x14ac:dyDescent="0.25">
      <c r="A263" s="481">
        <v>2015</v>
      </c>
      <c r="B263" s="374">
        <f>'Rate Class Customer Model'!B8</f>
        <v>29566</v>
      </c>
      <c r="C263" s="374">
        <f>'Rate Class Customer Model'!C8</f>
        <v>3431</v>
      </c>
      <c r="D263" s="374">
        <f>'Rate Class Customer Model'!D8</f>
        <v>373</v>
      </c>
      <c r="E263" s="374">
        <f>'Rate Class Customer Model'!E8</f>
        <v>360</v>
      </c>
      <c r="F263" s="374">
        <f>'Rate Class Customer Model'!F8</f>
        <v>8839</v>
      </c>
      <c r="G263" s="374">
        <f>'Rate Class Customer Model'!G8</f>
        <v>21</v>
      </c>
      <c r="H263" s="493">
        <f t="shared" si="28"/>
        <v>42590</v>
      </c>
      <c r="I263" s="356"/>
      <c r="J263" s="356"/>
    </row>
    <row r="264" spans="1:10" x14ac:dyDescent="0.25">
      <c r="A264" s="481">
        <v>2016</v>
      </c>
      <c r="B264" s="374">
        <f>'Rate Class Customer Model'!B9</f>
        <v>29620</v>
      </c>
      <c r="C264" s="374">
        <f>'Rate Class Customer Model'!C9</f>
        <v>3414</v>
      </c>
      <c r="D264" s="374">
        <f>'Rate Class Customer Model'!D9</f>
        <v>361</v>
      </c>
      <c r="E264" s="374">
        <f>'Rate Class Customer Model'!E9</f>
        <v>362</v>
      </c>
      <c r="F264" s="374">
        <f>'Rate Class Customer Model'!F9</f>
        <v>8872</v>
      </c>
      <c r="G264" s="374">
        <f>'Rate Class Customer Model'!G9</f>
        <v>21</v>
      </c>
      <c r="H264" s="493">
        <f t="shared" si="28"/>
        <v>42650</v>
      </c>
      <c r="I264" s="356"/>
      <c r="J264" s="356"/>
    </row>
    <row r="265" spans="1:10" x14ac:dyDescent="0.25">
      <c r="A265" s="481">
        <v>2017</v>
      </c>
      <c r="B265" s="374">
        <f>'Rate Class Customer Model'!B10</f>
        <v>29729</v>
      </c>
      <c r="C265" s="374">
        <f>'Rate Class Customer Model'!C10</f>
        <v>3417</v>
      </c>
      <c r="D265" s="374">
        <f>'Rate Class Customer Model'!D10</f>
        <v>361</v>
      </c>
      <c r="E265" s="374">
        <f>'Rate Class Customer Model'!E10</f>
        <v>361</v>
      </c>
      <c r="F265" s="374">
        <f>'Rate Class Customer Model'!F10</f>
        <v>8070</v>
      </c>
      <c r="G265" s="374">
        <f>'Rate Class Customer Model'!G10</f>
        <v>21</v>
      </c>
      <c r="H265" s="493">
        <f t="shared" si="28"/>
        <v>41959</v>
      </c>
      <c r="I265" s="356"/>
      <c r="J265" s="356"/>
    </row>
    <row r="266" spans="1:10" x14ac:dyDescent="0.25">
      <c r="A266" s="481">
        <v>2018</v>
      </c>
      <c r="B266" s="374">
        <f>'Rate Class Customer Model'!B11</f>
        <v>29837</v>
      </c>
      <c r="C266" s="374">
        <f>'Rate Class Customer Model'!C11</f>
        <v>3414</v>
      </c>
      <c r="D266" s="374">
        <f>'Rate Class Customer Model'!D11</f>
        <v>362</v>
      </c>
      <c r="E266" s="374">
        <f>'Rate Class Customer Model'!E11</f>
        <v>355</v>
      </c>
      <c r="F266" s="374">
        <f>'Rate Class Customer Model'!F11</f>
        <v>8070</v>
      </c>
      <c r="G266" s="374">
        <f>'Rate Class Customer Model'!G11</f>
        <v>23</v>
      </c>
      <c r="H266" s="493">
        <f t="shared" si="28"/>
        <v>42061</v>
      </c>
      <c r="I266" s="356"/>
      <c r="J266" s="356"/>
    </row>
    <row r="267" spans="1:10" x14ac:dyDescent="0.25">
      <c r="A267" s="481">
        <v>2019</v>
      </c>
      <c r="B267" s="374">
        <f>'Rate Class Customer Model'!B12</f>
        <v>29897</v>
      </c>
      <c r="C267" s="374">
        <f>'Rate Class Customer Model'!C12</f>
        <v>3388</v>
      </c>
      <c r="D267" s="374">
        <f>'Rate Class Customer Model'!D12</f>
        <v>362</v>
      </c>
      <c r="E267" s="374">
        <f>'Rate Class Customer Model'!E12</f>
        <v>350</v>
      </c>
      <c r="F267" s="374">
        <f>'Rate Class Customer Model'!F12</f>
        <v>8037</v>
      </c>
      <c r="G267" s="374">
        <f>'Rate Class Customer Model'!G12</f>
        <v>23</v>
      </c>
      <c r="H267" s="493">
        <f t="shared" si="28"/>
        <v>42057</v>
      </c>
      <c r="I267" s="356"/>
      <c r="J267" s="356"/>
    </row>
    <row r="268" spans="1:10" x14ac:dyDescent="0.25">
      <c r="A268" s="481">
        <v>2020</v>
      </c>
      <c r="B268" s="374">
        <f>'Rate Class Customer Model'!B13</f>
        <v>30026</v>
      </c>
      <c r="C268" s="374">
        <f>'Rate Class Customer Model'!C13</f>
        <v>3391</v>
      </c>
      <c r="D268" s="374">
        <f>'Rate Class Customer Model'!D13</f>
        <v>357</v>
      </c>
      <c r="E268" s="374">
        <f>'Rate Class Customer Model'!E13</f>
        <v>348</v>
      </c>
      <c r="F268" s="374">
        <f>'Rate Class Customer Model'!F13</f>
        <v>8037</v>
      </c>
      <c r="G268" s="374">
        <f>'Rate Class Customer Model'!G13</f>
        <v>24</v>
      </c>
      <c r="H268" s="493">
        <f t="shared" si="28"/>
        <v>42183</v>
      </c>
      <c r="I268" s="356"/>
      <c r="J268" s="356"/>
    </row>
    <row r="269" spans="1:10" ht="16.5" thickBot="1" x14ac:dyDescent="0.3">
      <c r="A269" s="482">
        <v>2021</v>
      </c>
      <c r="B269" s="494">
        <f>'Rate Class Customer Model'!B14</f>
        <v>30134</v>
      </c>
      <c r="C269" s="494">
        <f>'Rate Class Customer Model'!C14</f>
        <v>3394</v>
      </c>
      <c r="D269" s="494">
        <f>'Rate Class Customer Model'!D14</f>
        <v>353</v>
      </c>
      <c r="E269" s="494">
        <f>'Rate Class Customer Model'!E14</f>
        <v>330</v>
      </c>
      <c r="F269" s="494">
        <f>'Rate Class Customer Model'!F14</f>
        <v>8037</v>
      </c>
      <c r="G269" s="494">
        <f>'Rate Class Customer Model'!G14</f>
        <v>24</v>
      </c>
      <c r="H269" s="495">
        <f t="shared" si="28"/>
        <v>42272</v>
      </c>
      <c r="I269" s="356"/>
      <c r="J269" s="356"/>
    </row>
    <row r="270" spans="1:10" x14ac:dyDescent="0.25">
      <c r="A270" s="360"/>
      <c r="B270" s="375"/>
      <c r="C270" s="375"/>
      <c r="D270" s="375"/>
      <c r="E270" s="375"/>
      <c r="F270" s="375"/>
      <c r="G270" s="375"/>
      <c r="H270" s="375"/>
      <c r="I270" s="375"/>
      <c r="J270" s="375"/>
    </row>
    <row r="272" spans="1:10" ht="16.5" thickBot="1" x14ac:dyDescent="0.3">
      <c r="A272" s="603" t="s">
        <v>386</v>
      </c>
      <c r="B272" s="604"/>
      <c r="C272" s="604"/>
      <c r="D272" s="604"/>
      <c r="E272" s="604"/>
      <c r="F272" s="604"/>
    </row>
    <row r="273" spans="1:10" ht="47.25" x14ac:dyDescent="0.25">
      <c r="A273" s="478" t="s">
        <v>115</v>
      </c>
      <c r="B273" s="424" t="str">
        <f t="shared" ref="B273:G273" si="29">B249</f>
        <v xml:space="preserve">Residential </v>
      </c>
      <c r="C273" s="424" t="str">
        <f t="shared" si="29"/>
        <v>General Service &lt; 50 kW</v>
      </c>
      <c r="D273" s="424" t="str">
        <f t="shared" si="29"/>
        <v>General Service 50 to 4,999 kW</v>
      </c>
      <c r="E273" s="424" t="str">
        <f t="shared" si="29"/>
        <v>Sentinel Lighting</v>
      </c>
      <c r="F273" s="424" t="str">
        <f t="shared" si="29"/>
        <v>Street Lights</v>
      </c>
      <c r="G273" s="457" t="str">
        <f t="shared" si="29"/>
        <v xml:space="preserve">Unmetered Scattered Load </v>
      </c>
      <c r="H273" s="323"/>
      <c r="I273" s="323"/>
      <c r="J273" s="323"/>
    </row>
    <row r="274" spans="1:10" x14ac:dyDescent="0.25">
      <c r="A274" s="600" t="s">
        <v>130</v>
      </c>
      <c r="B274" s="601"/>
      <c r="C274" s="601"/>
      <c r="D274" s="601"/>
      <c r="E274" s="601"/>
      <c r="F274" s="601"/>
      <c r="G274" s="602"/>
      <c r="H274" s="323"/>
      <c r="I274" s="323"/>
      <c r="J274" s="323"/>
    </row>
    <row r="275" spans="1:10" hidden="1" x14ac:dyDescent="0.25">
      <c r="A275" s="471">
        <f t="shared" ref="A275:A293" si="30">A251</f>
        <v>2003</v>
      </c>
      <c r="B275" s="376"/>
      <c r="C275" s="376"/>
      <c r="D275" s="376"/>
      <c r="E275" s="376"/>
      <c r="F275" s="376"/>
      <c r="G275" s="496"/>
      <c r="H275" s="323"/>
      <c r="I275" s="323"/>
      <c r="J275" s="323"/>
    </row>
    <row r="276" spans="1:10" hidden="1" x14ac:dyDescent="0.25">
      <c r="A276" s="471">
        <f t="shared" si="30"/>
        <v>2004</v>
      </c>
      <c r="B276" s="377">
        <f t="shared" ref="B276:G285" si="31">B252/B251-1</f>
        <v>5.605381165918466E-4</v>
      </c>
      <c r="C276" s="377">
        <f t="shared" si="31"/>
        <v>5.2631578947368585E-3</v>
      </c>
      <c r="D276" s="377">
        <f t="shared" si="31"/>
        <v>1.193317422434359E-2</v>
      </c>
      <c r="E276" s="377">
        <f t="shared" si="31"/>
        <v>0</v>
      </c>
      <c r="F276" s="377">
        <f t="shared" si="31"/>
        <v>1.8563638473141353E-3</v>
      </c>
      <c r="G276" s="497">
        <f t="shared" si="31"/>
        <v>0.58333333333333326</v>
      </c>
      <c r="H276" s="323"/>
      <c r="I276" s="323"/>
      <c r="J276" s="323"/>
    </row>
    <row r="277" spans="1:10" hidden="1" x14ac:dyDescent="0.25">
      <c r="A277" s="471">
        <f t="shared" si="30"/>
        <v>2005</v>
      </c>
      <c r="B277" s="377">
        <f t="shared" si="31"/>
        <v>5.6022408963585235E-4</v>
      </c>
      <c r="C277" s="377">
        <f t="shared" si="31"/>
        <v>8.3153680320295909E-3</v>
      </c>
      <c r="D277" s="377">
        <f t="shared" si="31"/>
        <v>1.6509433962264231E-2</v>
      </c>
      <c r="E277" s="377">
        <f t="shared" si="31"/>
        <v>-1.5021459227467782E-2</v>
      </c>
      <c r="F277" s="377">
        <f t="shared" si="31"/>
        <v>8.1065431383908759E-4</v>
      </c>
      <c r="G277" s="497">
        <f t="shared" si="31"/>
        <v>0.42105263157894735</v>
      </c>
      <c r="H277" s="323"/>
      <c r="I277" s="323"/>
      <c r="J277" s="323"/>
    </row>
    <row r="278" spans="1:10" hidden="1" x14ac:dyDescent="0.25">
      <c r="A278" s="471">
        <f t="shared" si="30"/>
        <v>2006</v>
      </c>
      <c r="B278" s="377">
        <f t="shared" si="31"/>
        <v>6.9988801791720512E-4</v>
      </c>
      <c r="C278" s="377">
        <f t="shared" si="31"/>
        <v>8.2467929138667628E-3</v>
      </c>
      <c r="D278" s="377">
        <f t="shared" si="31"/>
        <v>2.3201856148491462E-3</v>
      </c>
      <c r="E278" s="377">
        <f t="shared" si="31"/>
        <v>-2.1786492374727628E-2</v>
      </c>
      <c r="F278" s="377">
        <f t="shared" si="31"/>
        <v>2.4299930571627382E-3</v>
      </c>
      <c r="G278" s="497">
        <f t="shared" si="31"/>
        <v>3.7037037037036979E-2</v>
      </c>
      <c r="H278" s="323"/>
      <c r="I278" s="323"/>
      <c r="J278" s="323"/>
    </row>
    <row r="279" spans="1:10" hidden="1" x14ac:dyDescent="0.25">
      <c r="A279" s="471">
        <f t="shared" si="30"/>
        <v>2007</v>
      </c>
      <c r="B279" s="377">
        <f t="shared" si="31"/>
        <v>1.1889774793676366E-3</v>
      </c>
      <c r="C279" s="377">
        <f t="shared" si="31"/>
        <v>3.0293850348384055E-4</v>
      </c>
      <c r="D279" s="377">
        <f t="shared" si="31"/>
        <v>-6.9444444444444198E-3</v>
      </c>
      <c r="E279" s="377">
        <f t="shared" si="31"/>
        <v>-1.3363028953229383E-2</v>
      </c>
      <c r="F279" s="377">
        <f t="shared" si="31"/>
        <v>5.079071915041089E-3</v>
      </c>
      <c r="G279" s="497">
        <f t="shared" si="31"/>
        <v>-3.5714285714285698E-2</v>
      </c>
      <c r="H279" s="323"/>
      <c r="I279" s="323"/>
      <c r="J279" s="323"/>
    </row>
    <row r="280" spans="1:10" hidden="1" x14ac:dyDescent="0.25">
      <c r="A280" s="471">
        <f t="shared" si="30"/>
        <v>2008</v>
      </c>
      <c r="B280" s="377"/>
      <c r="C280" s="377"/>
      <c r="D280" s="377"/>
      <c r="E280" s="377"/>
      <c r="F280" s="377"/>
      <c r="G280" s="497"/>
      <c r="H280" s="323"/>
      <c r="I280" s="323"/>
      <c r="J280" s="323"/>
    </row>
    <row r="281" spans="1:10" hidden="1" x14ac:dyDescent="0.25">
      <c r="A281" s="471">
        <f t="shared" si="30"/>
        <v>2009</v>
      </c>
      <c r="B281" s="377">
        <f t="shared" si="31"/>
        <v>6.636553161917913E-3</v>
      </c>
      <c r="C281" s="377">
        <f t="shared" si="31"/>
        <v>8.1203007518797499E-3</v>
      </c>
      <c r="D281" s="377">
        <f t="shared" si="31"/>
        <v>1.6431924882629012E-2</v>
      </c>
      <c r="E281" s="377">
        <f t="shared" si="31"/>
        <v>-2.7586206896551779E-2</v>
      </c>
      <c r="F281" s="377">
        <f t="shared" si="31"/>
        <v>6.6353964077336958E-3</v>
      </c>
      <c r="G281" s="497">
        <f t="shared" si="31"/>
        <v>-0.22727272727272729</v>
      </c>
      <c r="H281" s="323"/>
      <c r="I281" s="323"/>
      <c r="J281" s="323"/>
    </row>
    <row r="282" spans="1:10" hidden="1" x14ac:dyDescent="0.25">
      <c r="A282" s="471">
        <f t="shared" si="30"/>
        <v>2010</v>
      </c>
      <c r="B282" s="377">
        <f t="shared" si="31"/>
        <v>2.9684857271063958E-3</v>
      </c>
      <c r="C282" s="377">
        <f t="shared" si="31"/>
        <v>-2.0883054892600894E-3</v>
      </c>
      <c r="D282" s="377">
        <f t="shared" si="31"/>
        <v>4.6189376443417363E-3</v>
      </c>
      <c r="E282" s="377">
        <f t="shared" si="31"/>
        <v>-2.8368794326241176E-2</v>
      </c>
      <c r="F282" s="377">
        <f t="shared" si="31"/>
        <v>5.341516081372788E-3</v>
      </c>
      <c r="G282" s="497">
        <f t="shared" si="31"/>
        <v>-5.8823529411764719E-2</v>
      </c>
      <c r="H282" s="323"/>
      <c r="I282" s="323"/>
      <c r="J282" s="323"/>
    </row>
    <row r="283" spans="1:10" hidden="1" x14ac:dyDescent="0.25">
      <c r="A283" s="471">
        <f t="shared" si="30"/>
        <v>2011</v>
      </c>
      <c r="B283" s="377">
        <f t="shared" si="31"/>
        <v>2.3058127129436112E-3</v>
      </c>
      <c r="C283" s="377">
        <f t="shared" si="31"/>
        <v>6.2780269058295701E-3</v>
      </c>
      <c r="D283" s="377">
        <f t="shared" si="31"/>
        <v>-7.3563218390804597E-2</v>
      </c>
      <c r="E283" s="377">
        <f t="shared" si="31"/>
        <v>-2.1897810218978075E-2</v>
      </c>
      <c r="F283" s="377">
        <f t="shared" si="31"/>
        <v>0</v>
      </c>
      <c r="G283" s="497">
        <f t="shared" si="31"/>
        <v>0.1875</v>
      </c>
      <c r="H283" s="323"/>
      <c r="I283" s="323"/>
      <c r="J283" s="323"/>
    </row>
    <row r="284" spans="1:10" x14ac:dyDescent="0.25">
      <c r="A284" s="500">
        <f t="shared" si="30"/>
        <v>2012</v>
      </c>
      <c r="B284" s="377">
        <f t="shared" si="31"/>
        <v>6.9701964015931317E-3</v>
      </c>
      <c r="C284" s="377">
        <f t="shared" si="31"/>
        <v>2.4361259655377276E-2</v>
      </c>
      <c r="D284" s="377">
        <f t="shared" si="31"/>
        <v>-9.1811414392059532E-2</v>
      </c>
      <c r="E284" s="377">
        <f t="shared" si="31"/>
        <v>-2.4875621890547261E-2</v>
      </c>
      <c r="F284" s="377">
        <f t="shared" si="31"/>
        <v>0</v>
      </c>
      <c r="G284" s="497">
        <f t="shared" si="31"/>
        <v>0.10526315789473695</v>
      </c>
      <c r="H284" s="323"/>
      <c r="I284" s="323"/>
      <c r="J284" s="323"/>
    </row>
    <row r="285" spans="1:10" x14ac:dyDescent="0.25">
      <c r="A285" s="500">
        <f t="shared" si="30"/>
        <v>2013</v>
      </c>
      <c r="B285" s="377">
        <f t="shared" si="31"/>
        <v>6.0353940055239974E-3</v>
      </c>
      <c r="C285" s="377">
        <f t="shared" si="31"/>
        <v>7.5406032482598917E-3</v>
      </c>
      <c r="D285" s="377">
        <f t="shared" si="31"/>
        <v>1.91256830601092E-2</v>
      </c>
      <c r="E285" s="377">
        <f t="shared" si="31"/>
        <v>-4.5918367346938771E-2</v>
      </c>
      <c r="F285" s="377">
        <f t="shared" si="31"/>
        <v>0</v>
      </c>
      <c r="G285" s="497">
        <f t="shared" si="31"/>
        <v>0</v>
      </c>
      <c r="H285" s="323"/>
      <c r="I285" s="323"/>
      <c r="J285" s="323"/>
    </row>
    <row r="286" spans="1:10" x14ac:dyDescent="0.25">
      <c r="A286" s="500">
        <f t="shared" si="30"/>
        <v>2014</v>
      </c>
      <c r="B286" s="377">
        <f t="shared" ref="B286:G293" si="32">B262/B261-1</f>
        <v>3.3893709327559307E-4</v>
      </c>
      <c r="C286" s="377">
        <f t="shared" si="32"/>
        <v>-2.8785261945883933E-3</v>
      </c>
      <c r="D286" s="377">
        <f t="shared" si="32"/>
        <v>-8.0428954423592547E-3</v>
      </c>
      <c r="E286" s="377">
        <f t="shared" si="32"/>
        <v>-3.208556149732622E-2</v>
      </c>
      <c r="F286" s="377">
        <f t="shared" si="32"/>
        <v>0</v>
      </c>
      <c r="G286" s="497">
        <f t="shared" si="32"/>
        <v>0</v>
      </c>
      <c r="H286" s="323"/>
      <c r="I286" s="323"/>
      <c r="J286" s="323"/>
    </row>
    <row r="287" spans="1:10" x14ac:dyDescent="0.25">
      <c r="A287" s="500">
        <f t="shared" si="30"/>
        <v>2015</v>
      </c>
      <c r="B287" s="377">
        <f t="shared" si="32"/>
        <v>1.7618757199973079E-3</v>
      </c>
      <c r="C287" s="377">
        <f t="shared" si="32"/>
        <v>-9.5265588914549282E-3</v>
      </c>
      <c r="D287" s="377">
        <f t="shared" si="32"/>
        <v>8.1081081081080253E-3</v>
      </c>
      <c r="E287" s="377">
        <f t="shared" si="32"/>
        <v>-5.5248618784530246E-3</v>
      </c>
      <c r="F287" s="377">
        <f t="shared" si="32"/>
        <v>-7.9131810988020135E-4</v>
      </c>
      <c r="G287" s="497">
        <f t="shared" si="32"/>
        <v>0</v>
      </c>
      <c r="H287" s="323"/>
      <c r="I287" s="323"/>
      <c r="J287" s="323"/>
    </row>
    <row r="288" spans="1:10" x14ac:dyDescent="0.25">
      <c r="A288" s="500">
        <f t="shared" si="30"/>
        <v>2016</v>
      </c>
      <c r="B288" s="377">
        <f t="shared" si="32"/>
        <v>1.8264222417641029E-3</v>
      </c>
      <c r="C288" s="377">
        <f t="shared" si="32"/>
        <v>-4.9548236665695189E-3</v>
      </c>
      <c r="D288" s="377">
        <f t="shared" si="32"/>
        <v>-3.2171581769437019E-2</v>
      </c>
      <c r="E288" s="377">
        <f t="shared" si="32"/>
        <v>5.5555555555555358E-3</v>
      </c>
      <c r="F288" s="377">
        <f t="shared" si="32"/>
        <v>3.7334540106346292E-3</v>
      </c>
      <c r="G288" s="497">
        <f t="shared" si="32"/>
        <v>0</v>
      </c>
      <c r="H288" s="323"/>
      <c r="I288" s="323"/>
      <c r="J288" s="323"/>
    </row>
    <row r="289" spans="1:10" x14ac:dyDescent="0.25">
      <c r="A289" s="500">
        <f t="shared" si="30"/>
        <v>2017</v>
      </c>
      <c r="B289" s="377">
        <f t="shared" si="32"/>
        <v>3.6799459824443659E-3</v>
      </c>
      <c r="C289" s="377">
        <f t="shared" si="32"/>
        <v>8.7873462214416165E-4</v>
      </c>
      <c r="D289" s="377">
        <f t="shared" si="32"/>
        <v>0</v>
      </c>
      <c r="E289" s="377">
        <f t="shared" si="32"/>
        <v>-2.7624309392265678E-3</v>
      </c>
      <c r="F289" s="377">
        <f t="shared" si="32"/>
        <v>-9.0396753832281296E-2</v>
      </c>
      <c r="G289" s="497">
        <f t="shared" si="32"/>
        <v>0</v>
      </c>
      <c r="H289" s="323"/>
      <c r="I289" s="323"/>
      <c r="J289" s="323"/>
    </row>
    <row r="290" spans="1:10" x14ac:dyDescent="0.25">
      <c r="A290" s="500">
        <f t="shared" si="30"/>
        <v>2018</v>
      </c>
      <c r="B290" s="377">
        <f t="shared" si="32"/>
        <v>3.6328164418581999E-3</v>
      </c>
      <c r="C290" s="377">
        <f t="shared" si="32"/>
        <v>-8.779631255487752E-4</v>
      </c>
      <c r="D290" s="377">
        <f t="shared" si="32"/>
        <v>2.7700831024930483E-3</v>
      </c>
      <c r="E290" s="377">
        <f t="shared" si="32"/>
        <v>-1.6620498614958401E-2</v>
      </c>
      <c r="F290" s="377">
        <f t="shared" si="32"/>
        <v>0</v>
      </c>
      <c r="G290" s="497">
        <f t="shared" si="32"/>
        <v>9.5238095238095344E-2</v>
      </c>
      <c r="H290" s="323"/>
      <c r="I290" s="323"/>
      <c r="J290" s="323"/>
    </row>
    <row r="291" spans="1:10" x14ac:dyDescent="0.25">
      <c r="A291" s="500">
        <f t="shared" si="30"/>
        <v>2019</v>
      </c>
      <c r="B291" s="377">
        <f t="shared" si="32"/>
        <v>2.0109260314373767E-3</v>
      </c>
      <c r="C291" s="377">
        <f t="shared" si="32"/>
        <v>-7.6157000585822532E-3</v>
      </c>
      <c r="D291" s="377">
        <f t="shared" si="32"/>
        <v>0</v>
      </c>
      <c r="E291" s="377">
        <f t="shared" si="32"/>
        <v>-1.4084507042253502E-2</v>
      </c>
      <c r="F291" s="377">
        <f t="shared" si="32"/>
        <v>-4.0892193308550429E-3</v>
      </c>
      <c r="G291" s="497">
        <f t="shared" si="32"/>
        <v>0</v>
      </c>
      <c r="H291" s="323"/>
      <c r="I291" s="323"/>
      <c r="J291" s="323"/>
    </row>
    <row r="292" spans="1:10" x14ac:dyDescent="0.25">
      <c r="A292" s="500">
        <f t="shared" si="30"/>
        <v>2020</v>
      </c>
      <c r="B292" s="377">
        <f t="shared" si="32"/>
        <v>4.3148141954041375E-3</v>
      </c>
      <c r="C292" s="377">
        <f t="shared" si="32"/>
        <v>8.8547815820549935E-4</v>
      </c>
      <c r="D292" s="377">
        <f t="shared" si="32"/>
        <v>-1.3812154696132617E-2</v>
      </c>
      <c r="E292" s="377">
        <f t="shared" si="32"/>
        <v>-5.7142857142856718E-3</v>
      </c>
      <c r="F292" s="377">
        <f t="shared" si="32"/>
        <v>0</v>
      </c>
      <c r="G292" s="497">
        <f t="shared" si="32"/>
        <v>4.3478260869565188E-2</v>
      </c>
      <c r="H292" s="323"/>
      <c r="I292" s="323"/>
      <c r="J292" s="323"/>
    </row>
    <row r="293" spans="1:10" x14ac:dyDescent="0.25">
      <c r="A293" s="500">
        <f t="shared" si="30"/>
        <v>2021</v>
      </c>
      <c r="B293" s="377">
        <f t="shared" si="32"/>
        <v>3.596882701658588E-3</v>
      </c>
      <c r="C293" s="377">
        <f t="shared" si="32"/>
        <v>8.8469478030073212E-4</v>
      </c>
      <c r="D293" s="377">
        <f t="shared" si="32"/>
        <v>-1.1204481792717047E-2</v>
      </c>
      <c r="E293" s="377">
        <f t="shared" si="32"/>
        <v>-5.1724137931034475E-2</v>
      </c>
      <c r="F293" s="377">
        <f t="shared" si="32"/>
        <v>0</v>
      </c>
      <c r="G293" s="497">
        <f t="shared" si="32"/>
        <v>0</v>
      </c>
      <c r="H293" s="323"/>
      <c r="I293" s="323"/>
      <c r="J293" s="323"/>
    </row>
    <row r="294" spans="1:10" ht="16.5" thickBot="1" x14ac:dyDescent="0.3">
      <c r="A294" s="472" t="s">
        <v>167</v>
      </c>
      <c r="B294" s="498">
        <f>'Rate Class Customer Model'!B35-1</f>
        <v>3.4149703546793031E-3</v>
      </c>
      <c r="C294" s="498">
        <f>'Rate Class Customer Model'!C35-1</f>
        <v>8.2875032827711692E-4</v>
      </c>
      <c r="D294" s="498">
        <f>'Rate Class Customer Model'!D35-1</f>
        <v>-1.3159497121710273E-2</v>
      </c>
      <c r="E294" s="498">
        <f>'Rate Class Customer Model'!E35-1</f>
        <v>-1.9542464604167087E-2</v>
      </c>
      <c r="F294" s="498">
        <f>'Rate Class Customer Model'!F35-1</f>
        <v>0</v>
      </c>
      <c r="G294" s="499">
        <f>'Rate Class Customer Model'!G35-1</f>
        <v>2.3636502037103657E-2</v>
      </c>
      <c r="H294" s="323"/>
      <c r="I294" s="323"/>
      <c r="J294" s="323"/>
    </row>
    <row r="295" spans="1:10" x14ac:dyDescent="0.25">
      <c r="A295" s="360"/>
      <c r="B295" s="378"/>
      <c r="C295" s="378"/>
      <c r="D295" s="378"/>
      <c r="E295" s="378"/>
      <c r="F295" s="378"/>
      <c r="G295" s="378"/>
      <c r="H295" s="378"/>
      <c r="I295" s="378"/>
      <c r="J295" s="378"/>
    </row>
    <row r="296" spans="1:10" ht="16.5" thickBot="1" x14ac:dyDescent="0.3">
      <c r="A296" s="604" t="s">
        <v>387</v>
      </c>
      <c r="B296" s="604"/>
      <c r="C296" s="604"/>
      <c r="D296" s="604"/>
      <c r="E296" s="604"/>
      <c r="F296" s="604"/>
      <c r="G296" s="604"/>
      <c r="H296" s="604"/>
      <c r="I296" s="604"/>
    </row>
    <row r="297" spans="1:10" ht="47.25" x14ac:dyDescent="0.25">
      <c r="A297" s="478" t="str">
        <f t="shared" ref="A297:H297" si="33">A249</f>
        <v>Year</v>
      </c>
      <c r="B297" s="424" t="str">
        <f t="shared" si="33"/>
        <v xml:space="preserve">Residential </v>
      </c>
      <c r="C297" s="424" t="str">
        <f t="shared" si="33"/>
        <v>General Service &lt; 50 kW</v>
      </c>
      <c r="D297" s="424" t="str">
        <f t="shared" si="33"/>
        <v>General Service 50 to 4,999 kW</v>
      </c>
      <c r="E297" s="424" t="str">
        <f t="shared" si="33"/>
        <v>Sentinel Lighting</v>
      </c>
      <c r="F297" s="424" t="str">
        <f t="shared" si="33"/>
        <v>Street Lights</v>
      </c>
      <c r="G297" s="424" t="str">
        <f t="shared" si="33"/>
        <v xml:space="preserve">Unmetered Scattered Load </v>
      </c>
      <c r="H297" s="457" t="str">
        <f t="shared" si="33"/>
        <v>Total</v>
      </c>
      <c r="I297" s="323"/>
      <c r="J297" s="323"/>
    </row>
    <row r="298" spans="1:10" x14ac:dyDescent="0.25">
      <c r="A298" s="600" t="s">
        <v>168</v>
      </c>
      <c r="B298" s="601"/>
      <c r="C298" s="601"/>
      <c r="D298" s="601"/>
      <c r="E298" s="601"/>
      <c r="F298" s="601"/>
      <c r="G298" s="601"/>
      <c r="H298" s="602"/>
      <c r="I298" s="323"/>
      <c r="J298" s="323"/>
    </row>
    <row r="299" spans="1:10" x14ac:dyDescent="0.25">
      <c r="A299" s="504">
        <v>2022</v>
      </c>
      <c r="B299" s="379">
        <f>'Rate Class Customer Model'!B15</f>
        <v>30236.906716667905</v>
      </c>
      <c r="C299" s="379">
        <f>'Rate Class Customer Model'!C15</f>
        <v>3396.8127786141727</v>
      </c>
      <c r="D299" s="379">
        <f>'Rate Class Customer Model'!D15</f>
        <v>348.35469751603625</v>
      </c>
      <c r="E299" s="379">
        <f>'Rate Class Customer Model'!E15</f>
        <v>323.55098668062487</v>
      </c>
      <c r="F299" s="379">
        <f>'Rate Class Customer Model'!F15</f>
        <v>8037</v>
      </c>
      <c r="G299" s="379">
        <f>'Rate Class Customer Model'!G15</f>
        <v>24.567276048890488</v>
      </c>
      <c r="H299" s="501">
        <f>SUM(B299:G299)</f>
        <v>42367.192455527627</v>
      </c>
      <c r="I299" s="323"/>
      <c r="J299" s="323"/>
    </row>
    <row r="300" spans="1:10" ht="16.5" thickBot="1" x14ac:dyDescent="0.3">
      <c r="A300" s="505">
        <v>2023</v>
      </c>
      <c r="B300" s="502">
        <f>'Rate Class Customer Model'!B16</f>
        <v>30340.164856722531</v>
      </c>
      <c r="C300" s="502">
        <f>'Rate Class Customer Model'!C16</f>
        <v>3399.627888319545</v>
      </c>
      <c r="D300" s="502">
        <f>'Rate Class Customer Model'!D16</f>
        <v>343.77052487673973</v>
      </c>
      <c r="E300" s="502">
        <f>'Rate Class Customer Model'!E16</f>
        <v>317.22800297577544</v>
      </c>
      <c r="F300" s="502">
        <f>'Rate Class Customer Model'!F16</f>
        <v>8037</v>
      </c>
      <c r="G300" s="502">
        <f>'Rate Class Customer Model'!G16</f>
        <v>25.147960519266174</v>
      </c>
      <c r="H300" s="503">
        <f>SUM(B300:G300)</f>
        <v>42462.939233413854</v>
      </c>
      <c r="I300" s="323"/>
      <c r="J300" s="323"/>
    </row>
    <row r="302" spans="1:10" ht="16.5" thickBot="1" x14ac:dyDescent="0.3">
      <c r="A302" s="506" t="s">
        <v>388</v>
      </c>
      <c r="B302" s="507"/>
      <c r="C302" s="507"/>
      <c r="D302" s="507"/>
      <c r="E302" s="507"/>
      <c r="F302" s="507"/>
      <c r="G302" s="507"/>
      <c r="H302" s="323"/>
      <c r="I302" s="323"/>
      <c r="J302" s="323"/>
    </row>
    <row r="303" spans="1:10" ht="47.25" x14ac:dyDescent="0.25">
      <c r="A303" s="478" t="s">
        <v>115</v>
      </c>
      <c r="B303" s="424" t="str">
        <f t="shared" ref="B303:G303" si="34">B297</f>
        <v xml:space="preserve">Residential </v>
      </c>
      <c r="C303" s="424" t="str">
        <f t="shared" si="34"/>
        <v>General Service &lt; 50 kW</v>
      </c>
      <c r="D303" s="424" t="str">
        <f t="shared" si="34"/>
        <v>General Service 50 to 4,999 kW</v>
      </c>
      <c r="E303" s="424" t="str">
        <f t="shared" si="34"/>
        <v>Sentinel Lighting</v>
      </c>
      <c r="F303" s="424" t="str">
        <f t="shared" si="34"/>
        <v>Street Lights</v>
      </c>
      <c r="G303" s="457" t="str">
        <f t="shared" si="34"/>
        <v xml:space="preserve">Unmetered Scattered Load </v>
      </c>
      <c r="H303" s="323"/>
      <c r="I303" s="323"/>
      <c r="J303" s="323"/>
    </row>
    <row r="304" spans="1:10" x14ac:dyDescent="0.25">
      <c r="A304" s="600" t="s">
        <v>169</v>
      </c>
      <c r="B304" s="601"/>
      <c r="C304" s="601"/>
      <c r="D304" s="601"/>
      <c r="E304" s="601"/>
      <c r="F304" s="601"/>
      <c r="G304" s="602"/>
      <c r="H304" s="323"/>
      <c r="I304" s="323"/>
      <c r="J304" s="323"/>
    </row>
    <row r="305" spans="1:10" ht="16.5" thickBot="1" x14ac:dyDescent="0.3">
      <c r="A305" s="482">
        <v>2021</v>
      </c>
      <c r="B305" s="502">
        <f>'Rate Class Energy Model'!H35</f>
        <v>9706.3842961438913</v>
      </c>
      <c r="C305" s="502">
        <f>'Rate Class Energy Model'!I35</f>
        <v>26350.193282262815</v>
      </c>
      <c r="D305" s="502">
        <f>'Rate Class Energy Model'!J35</f>
        <v>671588.02832861186</v>
      </c>
      <c r="E305" s="502">
        <f>'Rate Class Energy Model'!K35</f>
        <v>617.00239393939398</v>
      </c>
      <c r="F305" s="502">
        <f>'Rate Class Energy Model'!L35</f>
        <v>306.083673012318</v>
      </c>
      <c r="G305" s="503">
        <f>SUM(B305:F305)</f>
        <v>708567.69197397027</v>
      </c>
      <c r="H305" s="323"/>
      <c r="I305" s="323"/>
      <c r="J305" s="323"/>
    </row>
    <row r="306" spans="1:10" x14ac:dyDescent="0.25">
      <c r="A306" s="360"/>
      <c r="B306" s="375"/>
      <c r="C306" s="375"/>
      <c r="D306" s="375"/>
      <c r="E306" s="375"/>
      <c r="F306" s="375"/>
      <c r="G306" s="375"/>
    </row>
    <row r="308" spans="1:10" ht="16.5" thickBot="1" x14ac:dyDescent="0.3">
      <c r="A308" s="492" t="s">
        <v>389</v>
      </c>
      <c r="B308" s="404"/>
      <c r="C308" s="404"/>
      <c r="D308" s="404"/>
      <c r="E308" s="404"/>
      <c r="F308" s="404"/>
      <c r="G308" s="404"/>
    </row>
    <row r="309" spans="1:10" ht="47.25" x14ac:dyDescent="0.25">
      <c r="A309" s="478" t="str">
        <f t="shared" ref="A309:G309" si="35">A303</f>
        <v>Year</v>
      </c>
      <c r="B309" s="424" t="str">
        <f t="shared" si="35"/>
        <v xml:space="preserve">Residential </v>
      </c>
      <c r="C309" s="424" t="str">
        <f t="shared" si="35"/>
        <v>General Service &lt; 50 kW</v>
      </c>
      <c r="D309" s="424" t="str">
        <f t="shared" si="35"/>
        <v>General Service 50 to 4,999 kW</v>
      </c>
      <c r="E309" s="424" t="str">
        <f t="shared" si="35"/>
        <v>Sentinel Lighting</v>
      </c>
      <c r="F309" s="424" t="str">
        <f t="shared" si="35"/>
        <v>Street Lights</v>
      </c>
      <c r="G309" s="457" t="str">
        <f t="shared" si="35"/>
        <v xml:space="preserve">Unmetered Scattered Load </v>
      </c>
      <c r="H309" s="323"/>
      <c r="I309" s="323"/>
      <c r="J309" s="323"/>
    </row>
    <row r="310" spans="1:10" x14ac:dyDescent="0.25">
      <c r="A310" s="600" t="s">
        <v>170</v>
      </c>
      <c r="B310" s="601"/>
      <c r="C310" s="601"/>
      <c r="D310" s="601"/>
      <c r="E310" s="601"/>
      <c r="F310" s="601"/>
      <c r="G310" s="602"/>
      <c r="H310" s="323"/>
      <c r="I310" s="323"/>
      <c r="J310" s="323"/>
    </row>
    <row r="311" spans="1:10" x14ac:dyDescent="0.25">
      <c r="A311" s="504">
        <f>A299</f>
        <v>2022</v>
      </c>
      <c r="B311" s="379">
        <f>'Rate Class Energy Model'!H36</f>
        <v>9514.1699182134689</v>
      </c>
      <c r="C311" s="379">
        <f>'Rate Class Energy Model'!I36</f>
        <v>25991.384776183491</v>
      </c>
      <c r="D311" s="379">
        <f>'Rate Class Energy Model'!J36</f>
        <v>675344.10776356701</v>
      </c>
      <c r="E311" s="379">
        <f>'Rate Class Energy Model'!K36</f>
        <v>614.01697735487153</v>
      </c>
      <c r="F311" s="379">
        <f>'Rate Class Energy Model'!L36</f>
        <v>306.083673012318</v>
      </c>
      <c r="G311" s="501">
        <f>'Rate Class Energy Model'!M36</f>
        <v>35747.677908549173</v>
      </c>
      <c r="H311" s="323"/>
      <c r="I311" s="323"/>
      <c r="J311" s="323"/>
    </row>
    <row r="312" spans="1:10" ht="16.5" thickBot="1" x14ac:dyDescent="0.3">
      <c r="A312" s="505">
        <f>A300</f>
        <v>2023</v>
      </c>
      <c r="B312" s="502">
        <f>'Rate Class Energy Model'!H37</f>
        <v>9325.7619388302228</v>
      </c>
      <c r="C312" s="502">
        <f>'Rate Class Energy Model'!I37</f>
        <v>25637.462137264829</v>
      </c>
      <c r="D312" s="502">
        <f>'Rate Class Energy Model'!J37</f>
        <v>679121.19432212552</v>
      </c>
      <c r="E312" s="502">
        <f>'Rate Class Energy Model'!K37</f>
        <v>611.04600595284865</v>
      </c>
      <c r="F312" s="502">
        <f>'Rate Class Energy Model'!L37</f>
        <v>306.083673012318</v>
      </c>
      <c r="G312" s="503">
        <f>'Rate Class Energy Model'!M37</f>
        <v>34934.374018786184</v>
      </c>
      <c r="H312" s="323"/>
      <c r="I312" s="323"/>
      <c r="J312" s="323"/>
    </row>
    <row r="314" spans="1:10" ht="16.5" thickBot="1" x14ac:dyDescent="0.3">
      <c r="A314" s="492" t="s">
        <v>390</v>
      </c>
      <c r="B314" s="404"/>
      <c r="C314" s="404"/>
      <c r="D314" s="404"/>
      <c r="E314" s="404"/>
      <c r="F314" s="404"/>
      <c r="G314" s="404"/>
    </row>
    <row r="315" spans="1:10" ht="47.25" x14ac:dyDescent="0.25">
      <c r="A315" s="478" t="str">
        <f t="shared" ref="A315:H315" si="36">A297</f>
        <v>Year</v>
      </c>
      <c r="B315" s="424" t="str">
        <f t="shared" si="36"/>
        <v xml:space="preserve">Residential </v>
      </c>
      <c r="C315" s="424" t="str">
        <f t="shared" si="36"/>
        <v>General Service &lt; 50 kW</v>
      </c>
      <c r="D315" s="424" t="str">
        <f t="shared" si="36"/>
        <v>General Service 50 to 4,999 kW</v>
      </c>
      <c r="E315" s="424" t="str">
        <f t="shared" si="36"/>
        <v>Sentinel Lighting</v>
      </c>
      <c r="F315" s="424" t="str">
        <f t="shared" si="36"/>
        <v>Street Lights</v>
      </c>
      <c r="G315" s="424" t="str">
        <f t="shared" si="36"/>
        <v xml:space="preserve">Unmetered Scattered Load </v>
      </c>
      <c r="H315" s="457" t="str">
        <f t="shared" si="36"/>
        <v>Total</v>
      </c>
      <c r="I315" s="323"/>
      <c r="J315" s="323"/>
    </row>
    <row r="316" spans="1:10" x14ac:dyDescent="0.25">
      <c r="A316" s="508" t="s">
        <v>171</v>
      </c>
      <c r="B316" s="380"/>
      <c r="C316" s="380"/>
      <c r="D316" s="380"/>
      <c r="E316" s="380"/>
      <c r="F316" s="380"/>
      <c r="G316" s="380"/>
      <c r="H316" s="509"/>
      <c r="I316" s="323"/>
      <c r="J316" s="323"/>
    </row>
    <row r="317" spans="1:10" x14ac:dyDescent="0.25">
      <c r="A317" s="500">
        <f>A311</f>
        <v>2022</v>
      </c>
      <c r="B317" s="381">
        <f>'Rate Class Energy Model'!H59/1000000</f>
        <v>287.67906830354855</v>
      </c>
      <c r="C317" s="381">
        <f>'Rate Class Energy Model'!I59/1000000</f>
        <v>88.287867941617947</v>
      </c>
      <c r="D317" s="381">
        <f>'Rate Class Energy Model'!J59/1000000</f>
        <v>235.25929237921477</v>
      </c>
      <c r="E317" s="381">
        <f>'Rate Class Energy Model'!K59/1000000</f>
        <v>0.19866579886182356</v>
      </c>
      <c r="F317" s="381">
        <f>'Rate Class Energy Model'!L59/1000000</f>
        <v>2.4599944799999998</v>
      </c>
      <c r="G317" s="381">
        <f>'Rate Class Energy Model'!M59/1000000</f>
        <v>0.87822307128615162</v>
      </c>
      <c r="H317" s="510">
        <f>SUM(B317:G317)</f>
        <v>614.76311197452924</v>
      </c>
      <c r="I317" s="323"/>
      <c r="J317" s="323"/>
    </row>
    <row r="318" spans="1:10" ht="16.5" thickBot="1" x14ac:dyDescent="0.3">
      <c r="A318" s="511">
        <f>A312</f>
        <v>2023</v>
      </c>
      <c r="B318" s="512">
        <f>'Rate Class Energy Model'!H60/1000000</f>
        <v>282.9451546386573</v>
      </c>
      <c r="C318" s="512">
        <f>'Rate Class Energy Model'!I60/1000000</f>
        <v>87.157831267581926</v>
      </c>
      <c r="D318" s="512">
        <f>'Rate Class Energy Model'!J60/1000000</f>
        <v>233.46184942703545</v>
      </c>
      <c r="E318" s="512">
        <f>'Rate Class Energy Model'!K60/1000000</f>
        <v>0.19384090419474595</v>
      </c>
      <c r="F318" s="512">
        <f>'Rate Class Energy Model'!L60/1000000</f>
        <v>2.4599944799999998</v>
      </c>
      <c r="G318" s="512">
        <f>'Rate Class Energy Model'!M60/1000000</f>
        <v>0.87852825858971295</v>
      </c>
      <c r="H318" s="513">
        <f>SUM(B318:G318)</f>
        <v>607.09719897605919</v>
      </c>
      <c r="I318" s="323"/>
      <c r="J318" s="323"/>
    </row>
    <row r="320" spans="1:10" ht="16.5" thickBot="1" x14ac:dyDescent="0.3">
      <c r="A320" s="604" t="s">
        <v>391</v>
      </c>
      <c r="B320" s="604"/>
      <c r="C320" s="604"/>
      <c r="D320" s="604"/>
    </row>
    <row r="321" spans="1:20" ht="47.25" x14ac:dyDescent="0.25">
      <c r="A321" s="484" t="str">
        <f t="shared" ref="A321:F321" si="37">B315</f>
        <v xml:space="preserve">Residential </v>
      </c>
      <c r="B321" s="424" t="str">
        <f t="shared" si="37"/>
        <v>General Service &lt; 50 kW</v>
      </c>
      <c r="C321" s="424" t="str">
        <f t="shared" si="37"/>
        <v>General Service 50 to 4,999 kW</v>
      </c>
      <c r="D321" s="424" t="str">
        <f t="shared" si="37"/>
        <v>Sentinel Lighting</v>
      </c>
      <c r="E321" s="424" t="str">
        <f t="shared" si="37"/>
        <v>Street Lights</v>
      </c>
      <c r="F321" s="457" t="str">
        <f t="shared" si="37"/>
        <v xml:space="preserve">Unmetered Scattered Load </v>
      </c>
      <c r="G321" s="323"/>
      <c r="H321" s="323"/>
      <c r="I321" s="323"/>
    </row>
    <row r="322" spans="1:20" x14ac:dyDescent="0.25">
      <c r="A322" s="508" t="s">
        <v>172</v>
      </c>
      <c r="B322" s="380"/>
      <c r="C322" s="380"/>
      <c r="D322" s="380"/>
      <c r="E322" s="380"/>
      <c r="F322" s="509"/>
      <c r="G322" s="323"/>
      <c r="H322" s="323"/>
      <c r="I322" s="323"/>
    </row>
    <row r="323" spans="1:20" ht="16.5" thickBot="1" x14ac:dyDescent="0.3">
      <c r="A323" s="514">
        <f>'Rate Class Energy Model'!H66</f>
        <v>0.92649999999999999</v>
      </c>
      <c r="B323" s="515">
        <f>'Rate Class Energy Model'!I66</f>
        <v>0.92649999999999999</v>
      </c>
      <c r="C323" s="515">
        <f>'Rate Class Energy Model'!J66</f>
        <v>0.85299999999999998</v>
      </c>
      <c r="D323" s="515">
        <f>'Rate Class Energy Model'!K66</f>
        <v>0</v>
      </c>
      <c r="E323" s="515">
        <f>'Rate Class Energy Model'!L66</f>
        <v>0</v>
      </c>
      <c r="F323" s="516">
        <f>'Rate Class Energy Model'!M66</f>
        <v>0</v>
      </c>
      <c r="G323" s="323"/>
      <c r="H323" s="323"/>
      <c r="I323" s="323"/>
    </row>
    <row r="325" spans="1:20" x14ac:dyDescent="0.25">
      <c r="B325" s="382"/>
      <c r="C325" s="382"/>
      <c r="D325" s="382"/>
      <c r="E325" s="382"/>
    </row>
    <row r="326" spans="1:20" hidden="1" x14ac:dyDescent="0.25">
      <c r="A326" s="605" t="s">
        <v>174</v>
      </c>
      <c r="B326" s="606"/>
      <c r="C326" s="606"/>
      <c r="D326" s="606"/>
      <c r="E326" s="606"/>
    </row>
    <row r="327" spans="1:20" hidden="1" x14ac:dyDescent="0.25">
      <c r="A327" s="344"/>
      <c r="B327" s="344">
        <v>2017</v>
      </c>
      <c r="C327" s="344">
        <v>2018</v>
      </c>
      <c r="D327" s="356"/>
    </row>
    <row r="328" spans="1:20" hidden="1" x14ac:dyDescent="0.25">
      <c r="A328" s="383" t="s">
        <v>139</v>
      </c>
      <c r="B328" s="374" t="e">
        <f>#REF!</f>
        <v>#REF!</v>
      </c>
      <c r="C328" s="374" t="e">
        <f>#REF!</f>
        <v>#REF!</v>
      </c>
      <c r="D328" s="356"/>
    </row>
    <row r="329" spans="1:20" hidden="1" x14ac:dyDescent="0.25">
      <c r="A329" s="383" t="s">
        <v>140</v>
      </c>
      <c r="B329" s="374"/>
      <c r="C329" s="374" t="e">
        <f>#REF!</f>
        <v>#REF!</v>
      </c>
      <c r="D329" s="356"/>
    </row>
    <row r="330" spans="1:20" hidden="1" x14ac:dyDescent="0.25">
      <c r="A330" s="384" t="s">
        <v>150</v>
      </c>
      <c r="B330" s="374" t="e">
        <f>SUM(B328:B329)</f>
        <v>#REF!</v>
      </c>
      <c r="C330" s="374" t="e">
        <f>SUM(C328:C329)</f>
        <v>#REF!</v>
      </c>
      <c r="D330" s="356"/>
    </row>
    <row r="331" spans="1:20" hidden="1" x14ac:dyDescent="0.25"/>
    <row r="332" spans="1:20" hidden="1" x14ac:dyDescent="0.25">
      <c r="A332" s="605" t="s">
        <v>175</v>
      </c>
      <c r="B332" s="606"/>
      <c r="C332" s="606"/>
      <c r="D332" s="606"/>
      <c r="E332" s="606"/>
      <c r="M332" s="356"/>
      <c r="N332" s="356"/>
      <c r="O332" s="356"/>
      <c r="P332" s="356"/>
      <c r="Q332" s="356"/>
      <c r="R332" s="356"/>
      <c r="S332" s="356"/>
      <c r="T332" s="356"/>
    </row>
    <row r="333" spans="1:20" s="356" customFormat="1" hidden="1" x14ac:dyDescent="0.25">
      <c r="A333" s="344"/>
      <c r="B333" s="344">
        <v>2017</v>
      </c>
      <c r="C333" s="344">
        <v>2018</v>
      </c>
    </row>
    <row r="334" spans="1:20" s="356" customFormat="1" hidden="1" x14ac:dyDescent="0.25">
      <c r="A334" s="383" t="s">
        <v>139</v>
      </c>
      <c r="B334" s="374" t="e">
        <f>#REF!</f>
        <v>#REF!</v>
      </c>
      <c r="C334" s="374" t="e">
        <f>#REF!</f>
        <v>#REF!</v>
      </c>
    </row>
    <row r="335" spans="1:20" s="356" customFormat="1" hidden="1" x14ac:dyDescent="0.25">
      <c r="A335" s="383" t="s">
        <v>140</v>
      </c>
      <c r="B335" s="374"/>
      <c r="C335" s="374" t="e">
        <f>#REF!</f>
        <v>#REF!</v>
      </c>
    </row>
    <row r="336" spans="1:20" s="356" customFormat="1" hidden="1" x14ac:dyDescent="0.25">
      <c r="A336" s="384" t="s">
        <v>150</v>
      </c>
      <c r="B336" s="374" t="e">
        <f>SUM(B334:B335)</f>
        <v>#REF!</v>
      </c>
      <c r="C336" s="374" t="e">
        <f>SUM(C334:C335)</f>
        <v>#REF!</v>
      </c>
    </row>
    <row r="337" spans="1:20" s="356" customFormat="1" hidden="1" x14ac:dyDescent="0.25">
      <c r="M337" s="324"/>
      <c r="N337" s="324"/>
      <c r="O337" s="324"/>
      <c r="P337" s="324"/>
      <c r="Q337" s="324"/>
      <c r="R337" s="324"/>
      <c r="S337" s="324"/>
      <c r="T337" s="324"/>
    </row>
    <row r="338" spans="1:20" hidden="1" x14ac:dyDescent="0.25"/>
    <row r="339" spans="1:20" hidden="1" x14ac:dyDescent="0.25">
      <c r="A339" s="605" t="s">
        <v>176</v>
      </c>
      <c r="B339" s="606"/>
      <c r="C339" s="606"/>
      <c r="D339" s="606"/>
      <c r="E339" s="606"/>
    </row>
    <row r="340" spans="1:20" hidden="1" x14ac:dyDescent="0.25">
      <c r="A340" s="344"/>
      <c r="B340" s="344">
        <v>2017</v>
      </c>
      <c r="C340" s="344">
        <v>2018</v>
      </c>
      <c r="D340" s="356"/>
    </row>
    <row r="341" spans="1:20" hidden="1" x14ac:dyDescent="0.25">
      <c r="A341" s="383" t="s">
        <v>139</v>
      </c>
      <c r="B341" s="374" t="e">
        <f>#REF!</f>
        <v>#REF!</v>
      </c>
      <c r="C341" s="374" t="e">
        <f>#REF!</f>
        <v>#REF!</v>
      </c>
      <c r="D341" s="356"/>
    </row>
    <row r="342" spans="1:20" hidden="1" x14ac:dyDescent="0.25">
      <c r="A342" s="383" t="s">
        <v>140</v>
      </c>
      <c r="B342" s="374"/>
      <c r="C342" s="374" t="e">
        <f>#REF!</f>
        <v>#REF!</v>
      </c>
      <c r="D342" s="356"/>
    </row>
    <row r="343" spans="1:20" hidden="1" x14ac:dyDescent="0.25">
      <c r="A343" s="384" t="s">
        <v>150</v>
      </c>
      <c r="B343" s="374" t="e">
        <f>SUM(B341:B342)</f>
        <v>#REF!</v>
      </c>
      <c r="C343" s="374" t="e">
        <f>SUM(C341:C342)</f>
        <v>#REF!</v>
      </c>
      <c r="D343" s="356"/>
    </row>
    <row r="344" spans="1:20" hidden="1" x14ac:dyDescent="0.25">
      <c r="A344" s="356"/>
      <c r="B344" s="356"/>
      <c r="C344" s="356"/>
      <c r="D344" s="356"/>
    </row>
    <row r="345" spans="1:20" hidden="1" x14ac:dyDescent="0.25"/>
    <row r="346" spans="1:20" hidden="1" x14ac:dyDescent="0.25">
      <c r="A346" s="605" t="s">
        <v>177</v>
      </c>
      <c r="B346" s="606"/>
      <c r="C346" s="606"/>
      <c r="D346" s="606"/>
      <c r="E346" s="606"/>
    </row>
    <row r="347" spans="1:20" hidden="1" x14ac:dyDescent="0.25">
      <c r="A347" s="344"/>
      <c r="B347" s="344">
        <v>2017</v>
      </c>
      <c r="C347" s="344">
        <v>2018</v>
      </c>
      <c r="D347" s="356"/>
    </row>
    <row r="348" spans="1:20" hidden="1" x14ac:dyDescent="0.25">
      <c r="A348" s="383" t="s">
        <v>139</v>
      </c>
      <c r="B348" s="374" t="e">
        <f>#REF!</f>
        <v>#REF!</v>
      </c>
      <c r="C348" s="374" t="e">
        <f>#REF!</f>
        <v>#REF!</v>
      </c>
      <c r="D348" s="356"/>
    </row>
    <row r="349" spans="1:20" hidden="1" x14ac:dyDescent="0.25">
      <c r="A349" s="383" t="s">
        <v>140</v>
      </c>
      <c r="B349" s="374"/>
      <c r="C349" s="374" t="e">
        <f>#REF!</f>
        <v>#REF!</v>
      </c>
      <c r="D349" s="356"/>
    </row>
    <row r="350" spans="1:20" hidden="1" x14ac:dyDescent="0.25">
      <c r="A350" s="384" t="s">
        <v>150</v>
      </c>
      <c r="B350" s="374" t="e">
        <f>SUM(B348:B349)</f>
        <v>#REF!</v>
      </c>
      <c r="C350" s="374" t="e">
        <f>SUM(C348:C349)</f>
        <v>#REF!</v>
      </c>
      <c r="D350" s="356"/>
    </row>
    <row r="351" spans="1:20" hidden="1" x14ac:dyDescent="0.25">
      <c r="A351" s="356"/>
      <c r="B351" s="356"/>
      <c r="C351" s="356"/>
      <c r="D351" s="356"/>
    </row>
    <row r="352" spans="1:20" hidden="1" x14ac:dyDescent="0.25"/>
    <row r="353" spans="1:8" hidden="1" x14ac:dyDescent="0.25">
      <c r="A353" s="605" t="s">
        <v>178</v>
      </c>
      <c r="B353" s="606"/>
      <c r="C353" s="606"/>
      <c r="D353" s="606"/>
      <c r="E353" s="606"/>
    </row>
    <row r="354" spans="1:8" ht="44.45" hidden="1" customHeight="1" x14ac:dyDescent="0.25">
      <c r="A354" s="344" t="s">
        <v>115</v>
      </c>
      <c r="B354" s="344" t="str">
        <f>A321</f>
        <v xml:space="preserve">Residential </v>
      </c>
      <c r="C354" s="344" t="str">
        <f>B321</f>
        <v>General Service &lt; 50 kW</v>
      </c>
      <c r="D354" s="344" t="str">
        <f>C321</f>
        <v>General Service 50 to 4,999 kW</v>
      </c>
      <c r="E354" s="344" t="s">
        <v>12</v>
      </c>
    </row>
    <row r="355" spans="1:8" hidden="1" x14ac:dyDescent="0.25">
      <c r="A355" s="383">
        <f>A239</f>
        <v>2017</v>
      </c>
      <c r="B355" s="374" t="e">
        <f>B334*0.5</f>
        <v>#REF!</v>
      </c>
      <c r="C355" s="374" t="e">
        <f>B341*0.5</f>
        <v>#REF!</v>
      </c>
      <c r="D355" s="374" t="e">
        <f>B348*0.5</f>
        <v>#REF!</v>
      </c>
      <c r="E355" s="374" t="e">
        <f>SUM(B355:D355)</f>
        <v>#REF!</v>
      </c>
    </row>
    <row r="356" spans="1:8" hidden="1" x14ac:dyDescent="0.25">
      <c r="A356" s="383">
        <f>A240</f>
        <v>2018</v>
      </c>
      <c r="B356" s="374" t="e">
        <f>C334+C335*0.5</f>
        <v>#REF!</v>
      </c>
      <c r="C356" s="374" t="e">
        <f>C341+C342*0.5</f>
        <v>#REF!</v>
      </c>
      <c r="D356" s="374" t="e">
        <f>C348+C349*0.5</f>
        <v>#REF!</v>
      </c>
      <c r="E356" s="374" t="e">
        <f>SUM(B356:D356)</f>
        <v>#REF!</v>
      </c>
    </row>
    <row r="357" spans="1:8" hidden="1" x14ac:dyDescent="0.25"/>
    <row r="358" spans="1:8" ht="33" hidden="1" customHeight="1" x14ac:dyDescent="0.25">
      <c r="A358" s="594" t="s">
        <v>179</v>
      </c>
      <c r="B358" s="595"/>
      <c r="C358" s="595"/>
      <c r="D358" s="595"/>
      <c r="E358" s="595"/>
    </row>
    <row r="359" spans="1:8" ht="47.25" hidden="1" x14ac:dyDescent="0.25">
      <c r="A359" s="344" t="s">
        <v>115</v>
      </c>
      <c r="B359" s="344" t="str">
        <f>B354</f>
        <v xml:space="preserve">Residential </v>
      </c>
      <c r="C359" s="344" t="str">
        <f>C354</f>
        <v>General Service &lt; 50 kW</v>
      </c>
      <c r="D359" s="344" t="str">
        <f>D354</f>
        <v>General Service 50 to 4,999 kW</v>
      </c>
      <c r="E359" s="344" t="s">
        <v>12</v>
      </c>
    </row>
    <row r="360" spans="1:8" hidden="1" x14ac:dyDescent="0.25">
      <c r="A360" s="383" t="s">
        <v>151</v>
      </c>
      <c r="B360" s="374" t="e">
        <f>C336</f>
        <v>#REF!</v>
      </c>
      <c r="C360" s="374" t="e">
        <f>C343</f>
        <v>#REF!</v>
      </c>
      <c r="D360" s="374" t="e">
        <f>C350</f>
        <v>#REF!</v>
      </c>
      <c r="E360" s="374" t="e">
        <f>SUM(B360:D360)</f>
        <v>#REF!</v>
      </c>
    </row>
    <row r="361" spans="1:8" hidden="1" x14ac:dyDescent="0.25">
      <c r="A361" s="626" t="s">
        <v>152</v>
      </c>
      <c r="B361" s="627"/>
      <c r="C361" s="628"/>
      <c r="D361" s="374" t="e">
        <f>D360*B422</f>
        <v>#REF!</v>
      </c>
      <c r="E361" s="374" t="e">
        <f>SUM(B361:D361)</f>
        <v>#REF!</v>
      </c>
    </row>
    <row r="362" spans="1:8" hidden="1" x14ac:dyDescent="0.25">
      <c r="A362" s="626" t="s">
        <v>153</v>
      </c>
      <c r="B362" s="627"/>
      <c r="C362" s="628"/>
      <c r="D362" s="374" t="e">
        <f>D361/12</f>
        <v>#REF!</v>
      </c>
      <c r="E362" s="374" t="e">
        <f>SUM(B362:D362)</f>
        <v>#REF!</v>
      </c>
    </row>
    <row r="363" spans="1:8" hidden="1" x14ac:dyDescent="0.25">
      <c r="B363" s="382"/>
      <c r="C363" s="382"/>
      <c r="D363" s="382"/>
      <c r="E363" s="382"/>
    </row>
    <row r="364" spans="1:8" hidden="1" x14ac:dyDescent="0.25"/>
    <row r="365" spans="1:8" hidden="1" x14ac:dyDescent="0.25">
      <c r="A365" s="601" t="s">
        <v>180</v>
      </c>
      <c r="B365" s="601"/>
      <c r="C365" s="601"/>
      <c r="D365" s="601"/>
      <c r="E365" s="601"/>
      <c r="F365" s="601"/>
      <c r="G365" s="601"/>
      <c r="H365" s="601"/>
    </row>
    <row r="366" spans="1:8" ht="47.25" hidden="1" x14ac:dyDescent="0.25">
      <c r="A366" s="343" t="str">
        <f t="shared" ref="A366:G366" si="38">A315</f>
        <v>Year</v>
      </c>
      <c r="B366" s="344" t="str">
        <f t="shared" si="38"/>
        <v xml:space="preserve">Residential </v>
      </c>
      <c r="C366" s="344" t="str">
        <f t="shared" si="38"/>
        <v>General Service &lt; 50 kW</v>
      </c>
      <c r="D366" s="344" t="str">
        <f t="shared" si="38"/>
        <v>General Service 50 to 4,999 kW</v>
      </c>
      <c r="E366" s="344" t="str">
        <f t="shared" si="38"/>
        <v>Sentinel Lighting</v>
      </c>
      <c r="F366" s="344" t="str">
        <f t="shared" si="38"/>
        <v>Street Lights</v>
      </c>
      <c r="G366" s="344" t="str">
        <f t="shared" si="38"/>
        <v xml:space="preserve">Unmetered Scattered Load </v>
      </c>
      <c r="H366" s="344" t="s">
        <v>12</v>
      </c>
    </row>
    <row r="367" spans="1:8" hidden="1" x14ac:dyDescent="0.25">
      <c r="A367" s="625" t="s">
        <v>131</v>
      </c>
      <c r="B367" s="579"/>
      <c r="C367" s="579"/>
      <c r="D367" s="579"/>
      <c r="E367" s="579"/>
      <c r="F367" s="579"/>
      <c r="G367" s="579"/>
      <c r="H367" s="580"/>
    </row>
    <row r="368" spans="1:8" hidden="1" x14ac:dyDescent="0.25">
      <c r="A368" s="346">
        <v>2022</v>
      </c>
      <c r="B368" s="385">
        <f t="shared" ref="B368:G369" si="39">B317</f>
        <v>287.67906830354855</v>
      </c>
      <c r="C368" s="385">
        <f t="shared" si="39"/>
        <v>88.287867941617947</v>
      </c>
      <c r="D368" s="385">
        <f t="shared" si="39"/>
        <v>235.25929237921477</v>
      </c>
      <c r="E368" s="385">
        <f t="shared" si="39"/>
        <v>0.19866579886182356</v>
      </c>
      <c r="F368" s="385">
        <f t="shared" si="39"/>
        <v>2.4599944799999998</v>
      </c>
      <c r="G368" s="385">
        <f t="shared" si="39"/>
        <v>0.87822307128615162</v>
      </c>
      <c r="H368" s="386">
        <f>SUM(B368:G368)</f>
        <v>614.76311197452924</v>
      </c>
    </row>
    <row r="369" spans="1:9" hidden="1" x14ac:dyDescent="0.25">
      <c r="A369" s="346">
        <v>2023</v>
      </c>
      <c r="B369" s="385">
        <f t="shared" si="39"/>
        <v>282.9451546386573</v>
      </c>
      <c r="C369" s="385">
        <f t="shared" si="39"/>
        <v>87.157831267581926</v>
      </c>
      <c r="D369" s="385">
        <f t="shared" si="39"/>
        <v>233.46184942703545</v>
      </c>
      <c r="E369" s="385">
        <f t="shared" si="39"/>
        <v>0.19384090419474595</v>
      </c>
      <c r="F369" s="385">
        <f t="shared" si="39"/>
        <v>2.4599944799999998</v>
      </c>
      <c r="G369" s="385">
        <f t="shared" si="39"/>
        <v>0.87852825858971295</v>
      </c>
      <c r="H369" s="386">
        <f>SUM(B369:G369)</f>
        <v>607.09719897605919</v>
      </c>
    </row>
    <row r="370" spans="1:9" hidden="1" x14ac:dyDescent="0.25">
      <c r="A370" s="625" t="s">
        <v>154</v>
      </c>
      <c r="B370" s="579"/>
      <c r="C370" s="579"/>
      <c r="D370" s="579"/>
      <c r="E370" s="579"/>
      <c r="F370" s="579"/>
      <c r="G370" s="579"/>
      <c r="H370" s="580"/>
    </row>
    <row r="371" spans="1:9" hidden="1" x14ac:dyDescent="0.25">
      <c r="A371" s="353">
        <f>A368</f>
        <v>2022</v>
      </c>
      <c r="B371" s="386">
        <f>'Rate Class Energy Model'!H71/1000000</f>
        <v>-5.877773229858354</v>
      </c>
      <c r="C371" s="386">
        <f>'Rate Class Energy Model'!I71/1000000</f>
        <v>-1.8038714800096232</v>
      </c>
      <c r="D371" s="386">
        <f>'Rate Class Energy Model'!J71/1000000</f>
        <v>-4.4254247149195445</v>
      </c>
      <c r="E371" s="386">
        <f>'Rate Class Energy Model'!K71/1000000</f>
        <v>0</v>
      </c>
      <c r="F371" s="386">
        <f>'Rate Class Energy Model'!L71/1000000</f>
        <v>0</v>
      </c>
      <c r="G371" s="386">
        <f>'Rate Class Energy Model'!M71/1000000</f>
        <v>0</v>
      </c>
      <c r="H371" s="386">
        <f>SUM(B371:G371)</f>
        <v>-12.107069424787522</v>
      </c>
    </row>
    <row r="372" spans="1:9" hidden="1" x14ac:dyDescent="0.25">
      <c r="A372" s="353">
        <f>A369</f>
        <v>2023</v>
      </c>
      <c r="B372" s="386">
        <f>'Rate Class Energy Model'!H72/1000000</f>
        <v>-6.5626883701772289</v>
      </c>
      <c r="C372" s="386">
        <f>'Rate Class Energy Model'!I72/1000000</f>
        <v>-2.0215567443100557</v>
      </c>
      <c r="D372" s="386">
        <f>'Rate Class Energy Model'!J72/1000000</f>
        <v>-4.9853889892207439</v>
      </c>
      <c r="E372" s="386">
        <f>'Rate Class Energy Model'!K72/1000000</f>
        <v>0</v>
      </c>
      <c r="F372" s="386">
        <f>'Rate Class Energy Model'!L72/1000000</f>
        <v>0</v>
      </c>
      <c r="G372" s="386">
        <f>'Rate Class Energy Model'!M72/1000000</f>
        <v>0</v>
      </c>
      <c r="H372" s="386">
        <f>SUM(B372:G372)</f>
        <v>-13.569634103708029</v>
      </c>
    </row>
    <row r="373" spans="1:9" hidden="1" x14ac:dyDescent="0.25">
      <c r="A373" s="625" t="s">
        <v>155</v>
      </c>
      <c r="B373" s="579"/>
      <c r="C373" s="579"/>
      <c r="D373" s="579"/>
      <c r="E373" s="579"/>
      <c r="F373" s="579"/>
      <c r="G373" s="579"/>
      <c r="H373" s="580"/>
    </row>
    <row r="374" spans="1:9" ht="15" hidden="1" customHeight="1" x14ac:dyDescent="0.25">
      <c r="A374" s="353">
        <f>A371</f>
        <v>2022</v>
      </c>
      <c r="B374" s="386">
        <v>0</v>
      </c>
      <c r="C374" s="386">
        <v>0</v>
      </c>
      <c r="D374" s="386">
        <v>0</v>
      </c>
      <c r="E374" s="386"/>
      <c r="F374" s="386"/>
      <c r="G374" s="386"/>
      <c r="H374" s="386">
        <f>SUM(B374:G374)</f>
        <v>0</v>
      </c>
    </row>
    <row r="375" spans="1:9" hidden="1" x14ac:dyDescent="0.25">
      <c r="A375" s="353">
        <f>A372</f>
        <v>2023</v>
      </c>
      <c r="B375" s="386">
        <v>0</v>
      </c>
      <c r="C375" s="386">
        <v>0</v>
      </c>
      <c r="D375" s="386">
        <v>0</v>
      </c>
      <c r="E375" s="386"/>
      <c r="F375" s="386"/>
      <c r="G375" s="386"/>
      <c r="H375" s="386">
        <f>SUM(B375:G375)</f>
        <v>0</v>
      </c>
    </row>
    <row r="376" spans="1:9" hidden="1" x14ac:dyDescent="0.25">
      <c r="A376" s="625" t="s">
        <v>132</v>
      </c>
      <c r="B376" s="579"/>
      <c r="C376" s="579"/>
      <c r="D376" s="579"/>
      <c r="E376" s="579"/>
      <c r="F376" s="579"/>
      <c r="G376" s="579"/>
      <c r="H376" s="580"/>
    </row>
    <row r="377" spans="1:9" hidden="1" x14ac:dyDescent="0.25">
      <c r="A377" s="346">
        <f>A374</f>
        <v>2022</v>
      </c>
      <c r="B377" s="387">
        <f t="shared" ref="B377:G378" si="40">B368+B371+B374</f>
        <v>281.8012950736902</v>
      </c>
      <c r="C377" s="387">
        <f t="shared" si="40"/>
        <v>86.483996461608328</v>
      </c>
      <c r="D377" s="387">
        <f t="shared" si="40"/>
        <v>230.83386766429521</v>
      </c>
      <c r="E377" s="387">
        <f t="shared" si="40"/>
        <v>0.19866579886182356</v>
      </c>
      <c r="F377" s="387">
        <f t="shared" si="40"/>
        <v>2.4599944799999998</v>
      </c>
      <c r="G377" s="387">
        <f t="shared" si="40"/>
        <v>0.87822307128615162</v>
      </c>
      <c r="H377" s="386">
        <f>SUM(B377:G377)</f>
        <v>602.65604254974164</v>
      </c>
    </row>
    <row r="378" spans="1:9" hidden="1" x14ac:dyDescent="0.25">
      <c r="A378" s="346">
        <f>A375</f>
        <v>2023</v>
      </c>
      <c r="B378" s="387">
        <f t="shared" si="40"/>
        <v>276.38246626848007</v>
      </c>
      <c r="C378" s="387">
        <f t="shared" si="40"/>
        <v>85.136274523271865</v>
      </c>
      <c r="D378" s="387">
        <f t="shared" si="40"/>
        <v>228.47646043781469</v>
      </c>
      <c r="E378" s="387">
        <f t="shared" si="40"/>
        <v>0.19384090419474595</v>
      </c>
      <c r="F378" s="387">
        <f t="shared" si="40"/>
        <v>2.4599944799999998</v>
      </c>
      <c r="G378" s="387">
        <f t="shared" si="40"/>
        <v>0.87852825858971295</v>
      </c>
      <c r="H378" s="386">
        <f>SUM(B378:G378)</f>
        <v>593.52756487235115</v>
      </c>
    </row>
    <row r="380" spans="1:9" ht="16.5" thickBot="1" x14ac:dyDescent="0.3">
      <c r="A380" s="604" t="s">
        <v>392</v>
      </c>
      <c r="B380" s="604"/>
      <c r="C380" s="604"/>
      <c r="D380" s="604"/>
      <c r="E380" s="604"/>
      <c r="F380" s="604"/>
      <c r="G380" s="604"/>
    </row>
    <row r="381" spans="1:9" ht="47.25" x14ac:dyDescent="0.25">
      <c r="A381" s="478" t="s">
        <v>115</v>
      </c>
      <c r="B381" s="424" t="str">
        <f>D366</f>
        <v>General Service 50 to 4,999 kW</v>
      </c>
      <c r="C381" s="424" t="str">
        <f>E366</f>
        <v>Sentinel Lighting</v>
      </c>
      <c r="D381" s="424" t="str">
        <f>F366</f>
        <v>Street Lights</v>
      </c>
      <c r="E381" s="424" t="str">
        <f>H366</f>
        <v>Total</v>
      </c>
      <c r="F381" s="424" t="str">
        <f>B381</f>
        <v>General Service 50 to 4,999 kW</v>
      </c>
      <c r="G381" s="424" t="str">
        <f>C381</f>
        <v>Sentinel Lighting</v>
      </c>
      <c r="H381" s="424" t="str">
        <f>D381</f>
        <v>Street Lights</v>
      </c>
      <c r="I381" s="457" t="str">
        <f>E381</f>
        <v>Total</v>
      </c>
    </row>
    <row r="382" spans="1:9" x14ac:dyDescent="0.25">
      <c r="A382" s="600" t="s">
        <v>133</v>
      </c>
      <c r="B382" s="601"/>
      <c r="C382" s="601"/>
      <c r="D382" s="601"/>
      <c r="E382" s="601"/>
      <c r="F382" s="601"/>
      <c r="G382" s="601"/>
      <c r="H382" s="601"/>
      <c r="I382" s="602"/>
    </row>
    <row r="383" spans="1:9" x14ac:dyDescent="0.25">
      <c r="A383" s="416"/>
      <c r="B383" s="615" t="s">
        <v>156</v>
      </c>
      <c r="C383" s="616"/>
      <c r="D383" s="616"/>
      <c r="E383" s="617"/>
      <c r="F383" s="618" t="s">
        <v>62</v>
      </c>
      <c r="G383" s="618"/>
      <c r="H383" s="618"/>
      <c r="I383" s="619"/>
    </row>
    <row r="384" spans="1:9" hidden="1" x14ac:dyDescent="0.25">
      <c r="A384" s="327">
        <v>2003</v>
      </c>
      <c r="B384" s="379">
        <v>659827</v>
      </c>
      <c r="C384" s="379">
        <v>768</v>
      </c>
      <c r="D384" s="379">
        <v>21295</v>
      </c>
      <c r="E384" s="379">
        <v>681890</v>
      </c>
      <c r="F384" s="379">
        <v>646590.57580724184</v>
      </c>
      <c r="G384" s="379">
        <v>752.59357713455461</v>
      </c>
      <c r="H384" s="379">
        <v>20867.812793073357</v>
      </c>
      <c r="I384" s="501">
        <v>668210.98217744974</v>
      </c>
    </row>
    <row r="385" spans="1:9" hidden="1" x14ac:dyDescent="0.25">
      <c r="A385" s="327">
        <v>2004</v>
      </c>
      <c r="B385" s="379">
        <v>673069</v>
      </c>
      <c r="C385" s="379">
        <v>873</v>
      </c>
      <c r="D385" s="379">
        <v>21340</v>
      </c>
      <c r="E385" s="379">
        <v>695282</v>
      </c>
      <c r="F385" s="379">
        <v>664236.58507333533</v>
      </c>
      <c r="G385" s="379">
        <v>861.54397063157228</v>
      </c>
      <c r="H385" s="379">
        <v>21059.963726549544</v>
      </c>
      <c r="I385" s="501">
        <v>686158.09277051641</v>
      </c>
    </row>
    <row r="386" spans="1:9" hidden="1" x14ac:dyDescent="0.25">
      <c r="A386" s="327">
        <v>2005</v>
      </c>
      <c r="B386" s="379">
        <v>682195</v>
      </c>
      <c r="C386" s="379">
        <v>784</v>
      </c>
      <c r="D386" s="379">
        <v>21295</v>
      </c>
      <c r="E386" s="379">
        <v>704274</v>
      </c>
      <c r="F386" s="379">
        <v>676287.55850367167</v>
      </c>
      <c r="G386" s="379">
        <v>777.21098200203551</v>
      </c>
      <c r="H386" s="379">
        <v>21110.596762414982</v>
      </c>
      <c r="I386" s="501">
        <v>698175.36624808877</v>
      </c>
    </row>
    <row r="387" spans="1:9" hidden="1" x14ac:dyDescent="0.25">
      <c r="A387" s="327">
        <v>2006</v>
      </c>
      <c r="B387" s="379">
        <v>657827</v>
      </c>
      <c r="C387" s="379">
        <v>766</v>
      </c>
      <c r="D387" s="379">
        <v>23029</v>
      </c>
      <c r="E387" s="379">
        <v>681622</v>
      </c>
      <c r="F387" s="379">
        <v>668679.09033397341</v>
      </c>
      <c r="G387" s="379">
        <v>778.63660688269658</v>
      </c>
      <c r="H387" s="379">
        <v>23408.906553396373</v>
      </c>
      <c r="I387" s="501">
        <v>692866.63349425246</v>
      </c>
    </row>
    <row r="388" spans="1:9" hidden="1" x14ac:dyDescent="0.25">
      <c r="A388" s="327">
        <v>2007</v>
      </c>
      <c r="B388" s="379">
        <v>657184</v>
      </c>
      <c r="C388" s="379">
        <v>747</v>
      </c>
      <c r="D388" s="379">
        <v>21406</v>
      </c>
      <c r="E388" s="379">
        <v>679337</v>
      </c>
      <c r="F388" s="379">
        <v>653961.61773323466</v>
      </c>
      <c r="G388" s="379">
        <v>743.33722130594526</v>
      </c>
      <c r="H388" s="379">
        <v>21301.039570649351</v>
      </c>
      <c r="I388" s="501">
        <v>676005.99452518998</v>
      </c>
    </row>
    <row r="389" spans="1:9" hidden="1" x14ac:dyDescent="0.25">
      <c r="A389" s="327">
        <v>2008</v>
      </c>
      <c r="B389" s="379">
        <v>650699</v>
      </c>
      <c r="C389" s="379">
        <v>744</v>
      </c>
      <c r="D389" s="379">
        <v>21317</v>
      </c>
      <c r="E389" s="379">
        <v>672760</v>
      </c>
      <c r="F389" s="379">
        <v>641862.56337450352</v>
      </c>
      <c r="G389" s="379">
        <v>733.89654379464332</v>
      </c>
      <c r="H389" s="379">
        <v>21027.516967836575</v>
      </c>
      <c r="I389" s="501">
        <v>663623.97688613471</v>
      </c>
    </row>
    <row r="390" spans="1:9" x14ac:dyDescent="0.25">
      <c r="A390" s="481">
        <v>2009</v>
      </c>
      <c r="B390" s="379">
        <v>637622</v>
      </c>
      <c r="C390" s="379">
        <v>730</v>
      </c>
      <c r="D390" s="379">
        <v>21346</v>
      </c>
      <c r="E390" s="379">
        <v>659698</v>
      </c>
      <c r="F390" s="379">
        <v>629411.39572708344</v>
      </c>
      <c r="G390" s="379">
        <v>720.59985207657667</v>
      </c>
      <c r="H390" s="379">
        <v>21071.12937318713</v>
      </c>
      <c r="I390" s="501">
        <v>651203.12495234713</v>
      </c>
    </row>
    <row r="391" spans="1:9" x14ac:dyDescent="0.25">
      <c r="A391" s="481">
        <v>2010</v>
      </c>
      <c r="B391" s="379">
        <v>635104</v>
      </c>
      <c r="C391" s="379">
        <v>714</v>
      </c>
      <c r="D391" s="379">
        <v>23264</v>
      </c>
      <c r="E391" s="379">
        <v>659082</v>
      </c>
      <c r="F391" s="379">
        <v>642188.43334814801</v>
      </c>
      <c r="G391" s="379">
        <v>721.96449937424063</v>
      </c>
      <c r="H391" s="379">
        <v>23523.504360563493</v>
      </c>
      <c r="I391" s="501">
        <v>666433.90220808575</v>
      </c>
    </row>
    <row r="392" spans="1:9" x14ac:dyDescent="0.25">
      <c r="A392" s="481">
        <v>2011</v>
      </c>
      <c r="B392" s="379">
        <f>'Rate Class Load Model'!B2</f>
        <v>629024</v>
      </c>
      <c r="C392" s="379">
        <f>'Rate Class Load Model'!C2</f>
        <v>703</v>
      </c>
      <c r="D392" s="379">
        <f>'Rate Class Load Model'!D2</f>
        <v>21619</v>
      </c>
      <c r="E392" s="379">
        <f t="shared" ref="E392:E402" si="41">SUM(B392:D392)</f>
        <v>651346</v>
      </c>
      <c r="F392" s="379">
        <f t="shared" ref="F392:F402" si="42">B392*F233</f>
        <v>631708.93336186628</v>
      </c>
      <c r="G392" s="379">
        <f t="shared" ref="G392:G402" si="43">C392*F233</f>
        <v>706.00069338116191</v>
      </c>
      <c r="H392" s="379">
        <f t="shared" ref="H392:H402" si="44">D392*F233</f>
        <v>21711.278791191093</v>
      </c>
      <c r="I392" s="501">
        <f t="shared" ref="I392:I402" si="45">SUM(F392:H392)</f>
        <v>654126.21284643852</v>
      </c>
    </row>
    <row r="393" spans="1:9" x14ac:dyDescent="0.25">
      <c r="A393" s="481">
        <v>2012</v>
      </c>
      <c r="B393" s="379">
        <f>'Rate Class Load Model'!B3</f>
        <v>627836</v>
      </c>
      <c r="C393" s="379">
        <f>'Rate Class Load Model'!C3</f>
        <v>687</v>
      </c>
      <c r="D393" s="379">
        <f>'Rate Class Load Model'!D3</f>
        <v>21596</v>
      </c>
      <c r="E393" s="379">
        <f t="shared" si="41"/>
        <v>650119</v>
      </c>
      <c r="F393" s="379">
        <f t="shared" si="42"/>
        <v>646432.97840428841</v>
      </c>
      <c r="G393" s="379">
        <f t="shared" si="43"/>
        <v>707.34946094799614</v>
      </c>
      <c r="H393" s="379">
        <f t="shared" si="44"/>
        <v>22235.689896117794</v>
      </c>
      <c r="I393" s="501">
        <f t="shared" si="45"/>
        <v>669376.01776135422</v>
      </c>
    </row>
    <row r="394" spans="1:9" x14ac:dyDescent="0.25">
      <c r="A394" s="481">
        <v>2013</v>
      </c>
      <c r="B394" s="379">
        <f>'Rate Class Load Model'!B4</f>
        <v>656137</v>
      </c>
      <c r="C394" s="379">
        <f>'Rate Class Load Model'!C4</f>
        <v>660</v>
      </c>
      <c r="D394" s="379">
        <f>'Rate Class Load Model'!D4</f>
        <v>21588</v>
      </c>
      <c r="E394" s="379">
        <f t="shared" si="41"/>
        <v>678385</v>
      </c>
      <c r="F394" s="379">
        <f t="shared" si="42"/>
        <v>645100.1668516933</v>
      </c>
      <c r="G394" s="379">
        <f t="shared" si="43"/>
        <v>648.89818760734056</v>
      </c>
      <c r="H394" s="379">
        <f t="shared" si="44"/>
        <v>21224.869809192831</v>
      </c>
      <c r="I394" s="501">
        <f t="shared" si="45"/>
        <v>666973.93484849343</v>
      </c>
    </row>
    <row r="395" spans="1:9" x14ac:dyDescent="0.25">
      <c r="A395" s="481">
        <v>2014</v>
      </c>
      <c r="B395" s="379">
        <f>'Rate Class Load Model'!B5</f>
        <v>634289</v>
      </c>
      <c r="C395" s="379">
        <f>'Rate Class Load Model'!C5</f>
        <v>676</v>
      </c>
      <c r="D395" s="379">
        <f>'Rate Class Load Model'!D5</f>
        <v>21876</v>
      </c>
      <c r="E395" s="379">
        <f t="shared" si="41"/>
        <v>656841</v>
      </c>
      <c r="F395" s="379">
        <f t="shared" si="42"/>
        <v>617200.8146826335</v>
      </c>
      <c r="G395" s="379">
        <f t="shared" si="43"/>
        <v>657.78809143065735</v>
      </c>
      <c r="H395" s="379">
        <f t="shared" si="44"/>
        <v>21286.645396652457</v>
      </c>
      <c r="I395" s="501">
        <f t="shared" si="45"/>
        <v>639145.24817071669</v>
      </c>
    </row>
    <row r="396" spans="1:9" x14ac:dyDescent="0.25">
      <c r="A396" s="481">
        <v>2015</v>
      </c>
      <c r="B396" s="379">
        <f>'Rate Class Load Model'!B6</f>
        <v>711311</v>
      </c>
      <c r="C396" s="379">
        <f>'Rate Class Load Model'!C6</f>
        <v>752</v>
      </c>
      <c r="D396" s="379">
        <f>'Rate Class Load Model'!D6</f>
        <v>21794</v>
      </c>
      <c r="E396" s="379">
        <f t="shared" si="41"/>
        <v>733857</v>
      </c>
      <c r="F396" s="379">
        <f t="shared" si="42"/>
        <v>703361.9830585724</v>
      </c>
      <c r="G396" s="379">
        <f t="shared" si="43"/>
        <v>743.59627681850338</v>
      </c>
      <c r="H396" s="379">
        <f t="shared" si="44"/>
        <v>21550.448480029871</v>
      </c>
      <c r="I396" s="501">
        <f t="shared" si="45"/>
        <v>725656.02781542076</v>
      </c>
    </row>
    <row r="397" spans="1:9" x14ac:dyDescent="0.25">
      <c r="A397" s="481">
        <v>2016</v>
      </c>
      <c r="B397" s="379">
        <f>'Rate Class Load Model'!B7</f>
        <v>622066.30000000005</v>
      </c>
      <c r="C397" s="379">
        <f>'Rate Class Load Model'!C7</f>
        <v>630</v>
      </c>
      <c r="D397" s="379">
        <f>'Rate Class Load Model'!D7</f>
        <v>14262.4</v>
      </c>
      <c r="E397" s="379">
        <f t="shared" si="41"/>
        <v>636958.70000000007</v>
      </c>
      <c r="F397" s="379">
        <f t="shared" si="42"/>
        <v>630690.92640856362</v>
      </c>
      <c r="G397" s="379">
        <f t="shared" si="43"/>
        <v>638.73462304161967</v>
      </c>
      <c r="H397" s="379">
        <f t="shared" si="44"/>
        <v>14460.140774077454</v>
      </c>
      <c r="I397" s="501">
        <f t="shared" si="45"/>
        <v>645789.80180568271</v>
      </c>
    </row>
    <row r="398" spans="1:9" x14ac:dyDescent="0.25">
      <c r="A398" s="481">
        <v>2017</v>
      </c>
      <c r="B398" s="379">
        <f>'Rate Class Load Model'!B8</f>
        <v>610764.1</v>
      </c>
      <c r="C398" s="379">
        <f>'Rate Class Load Model'!C8</f>
        <v>619.20000000000005</v>
      </c>
      <c r="D398" s="379">
        <f>'Rate Class Load Model'!D8</f>
        <v>7030.1</v>
      </c>
      <c r="E398" s="379">
        <f t="shared" si="41"/>
        <v>618413.39999999991</v>
      </c>
      <c r="F398" s="379">
        <f t="shared" si="42"/>
        <v>619507.86601503449</v>
      </c>
      <c r="G398" s="379">
        <f t="shared" si="43"/>
        <v>628.06453528704355</v>
      </c>
      <c r="H398" s="379">
        <f t="shared" si="44"/>
        <v>7130.743684627656</v>
      </c>
      <c r="I398" s="501">
        <f t="shared" si="45"/>
        <v>627266.67423494929</v>
      </c>
    </row>
    <row r="399" spans="1:9" x14ac:dyDescent="0.25">
      <c r="A399" s="481">
        <v>2018</v>
      </c>
      <c r="B399" s="379">
        <f>'Rate Class Load Model'!B9</f>
        <v>604548.71</v>
      </c>
      <c r="C399" s="379">
        <f>'Rate Class Load Model'!C9</f>
        <v>611.82000000000005</v>
      </c>
      <c r="D399" s="379">
        <f>'Rate Class Load Model'!D9</f>
        <v>7030.14</v>
      </c>
      <c r="E399" s="379">
        <f t="shared" si="41"/>
        <v>612190.66999999993</v>
      </c>
      <c r="F399" s="379">
        <f t="shared" si="42"/>
        <v>589879.40783504781</v>
      </c>
      <c r="G399" s="379">
        <f t="shared" si="43"/>
        <v>596.97426085259372</v>
      </c>
      <c r="H399" s="379">
        <f t="shared" si="44"/>
        <v>6859.5544934625432</v>
      </c>
      <c r="I399" s="501">
        <f t="shared" si="45"/>
        <v>597335.93658936291</v>
      </c>
    </row>
    <row r="400" spans="1:9" x14ac:dyDescent="0.25">
      <c r="A400" s="481">
        <v>2019</v>
      </c>
      <c r="B400" s="379">
        <f>'Rate Class Load Model'!B10</f>
        <v>594559.68999999994</v>
      </c>
      <c r="C400" s="379">
        <f>'Rate Class Load Model'!C10</f>
        <v>605.16</v>
      </c>
      <c r="D400" s="379">
        <f>'Rate Class Load Model'!D10</f>
        <v>7055.84</v>
      </c>
      <c r="E400" s="379">
        <f t="shared" si="41"/>
        <v>602220.68999999994</v>
      </c>
      <c r="F400" s="379">
        <f t="shared" si="42"/>
        <v>582883.94689729239</v>
      </c>
      <c r="G400" s="379">
        <f t="shared" si="43"/>
        <v>593.27609193345324</v>
      </c>
      <c r="H400" s="379">
        <f t="shared" si="44"/>
        <v>6917.2800259563373</v>
      </c>
      <c r="I400" s="501">
        <f t="shared" si="45"/>
        <v>590394.50301518221</v>
      </c>
    </row>
    <row r="401" spans="1:20" x14ac:dyDescent="0.25">
      <c r="A401" s="481">
        <v>2020</v>
      </c>
      <c r="B401" s="379">
        <f>'Rate Class Load Model'!B11</f>
        <v>546907.62</v>
      </c>
      <c r="C401" s="379">
        <f>'Rate Class Load Model'!C11</f>
        <v>597.52</v>
      </c>
      <c r="D401" s="379">
        <f>'Rate Class Load Model'!D11</f>
        <v>7201.8</v>
      </c>
      <c r="E401" s="379">
        <f t="shared" si="41"/>
        <v>554706.94000000006</v>
      </c>
      <c r="F401" s="379">
        <f t="shared" si="42"/>
        <v>547801.16982768441</v>
      </c>
      <c r="G401" s="379">
        <f t="shared" si="43"/>
        <v>598.49624145927601</v>
      </c>
      <c r="H401" s="379">
        <f t="shared" si="44"/>
        <v>7213.5664609409132</v>
      </c>
      <c r="I401" s="501">
        <f t="shared" si="45"/>
        <v>555613.23253008456</v>
      </c>
    </row>
    <row r="402" spans="1:20" ht="16.5" thickBot="1" x14ac:dyDescent="0.3">
      <c r="A402" s="482">
        <v>2021</v>
      </c>
      <c r="B402" s="502">
        <f>'Rate Class Load Model'!B12</f>
        <v>536707</v>
      </c>
      <c r="C402" s="502">
        <f>'Rate Class Load Model'!C12</f>
        <v>596.41</v>
      </c>
      <c r="D402" s="502">
        <f>'Rate Class Load Model'!D12</f>
        <v>7201.8</v>
      </c>
      <c r="E402" s="502">
        <f t="shared" si="41"/>
        <v>544505.21000000008</v>
      </c>
      <c r="F402" s="502">
        <f t="shared" si="42"/>
        <v>561331.95728857431</v>
      </c>
      <c r="G402" s="502">
        <f t="shared" si="43"/>
        <v>623.77422438402812</v>
      </c>
      <c r="H402" s="502">
        <f t="shared" si="44"/>
        <v>7532.2298572607669</v>
      </c>
      <c r="I402" s="503">
        <f t="shared" si="45"/>
        <v>569487.96137021901</v>
      </c>
    </row>
    <row r="403" spans="1:20" x14ac:dyDescent="0.25">
      <c r="A403" s="360"/>
      <c r="B403" s="375"/>
      <c r="C403" s="375"/>
      <c r="D403" s="375"/>
      <c r="E403" s="375"/>
      <c r="F403" s="375"/>
      <c r="G403" s="375"/>
      <c r="H403" s="375"/>
      <c r="I403" s="375"/>
      <c r="M403" s="390"/>
      <c r="N403" s="390"/>
      <c r="O403" s="390"/>
      <c r="P403" s="390"/>
      <c r="Q403" s="390"/>
      <c r="R403" s="390"/>
      <c r="S403" s="390"/>
      <c r="T403" s="390"/>
    </row>
    <row r="404" spans="1:20" s="390" customFormat="1" ht="15" customHeight="1" thickBot="1" x14ac:dyDescent="0.3">
      <c r="A404" s="404" t="s">
        <v>393</v>
      </c>
      <c r="B404" s="389"/>
      <c r="C404" s="389"/>
      <c r="D404" s="389"/>
      <c r="E404" s="389"/>
      <c r="F404" s="323"/>
      <c r="G404" s="323"/>
      <c r="H404" s="323"/>
    </row>
    <row r="405" spans="1:20" s="390" customFormat="1" ht="47.25" x14ac:dyDescent="0.25">
      <c r="A405" s="484" t="str">
        <f>A381</f>
        <v>Year</v>
      </c>
      <c r="B405" s="424" t="str">
        <f>B381</f>
        <v>General Service 50 to 4,999 kW</v>
      </c>
      <c r="C405" s="424" t="str">
        <f>C381</f>
        <v>Sentinel Lighting</v>
      </c>
      <c r="D405" s="457" t="str">
        <f>D381</f>
        <v>Street Lights</v>
      </c>
      <c r="E405" s="323"/>
      <c r="F405" s="323"/>
      <c r="G405" s="323"/>
      <c r="H405" s="323"/>
      <c r="I405" s="391"/>
      <c r="J405" s="391"/>
    </row>
    <row r="406" spans="1:20" s="390" customFormat="1" ht="15" x14ac:dyDescent="0.25">
      <c r="A406" s="517" t="s">
        <v>181</v>
      </c>
      <c r="B406" s="392"/>
      <c r="C406" s="392"/>
      <c r="D406" s="518"/>
      <c r="E406" s="323"/>
      <c r="F406" s="323"/>
      <c r="G406" s="323"/>
      <c r="H406" s="323"/>
    </row>
    <row r="407" spans="1:20" s="390" customFormat="1" hidden="1" x14ac:dyDescent="0.25">
      <c r="A407" s="519">
        <f t="shared" ref="A407:A420" si="46">A384</f>
        <v>2003</v>
      </c>
      <c r="B407" s="393">
        <v>2.5015886788689306E-3</v>
      </c>
      <c r="C407" s="393">
        <v>2.7769541730244935E-3</v>
      </c>
      <c r="D407" s="520">
        <v>2.9607060981647515E-3</v>
      </c>
      <c r="E407" s="323"/>
      <c r="F407" s="323"/>
      <c r="G407" s="323"/>
      <c r="H407" s="323"/>
    </row>
    <row r="408" spans="1:20" s="390" customFormat="1" hidden="1" x14ac:dyDescent="0.25">
      <c r="A408" s="519">
        <f t="shared" si="46"/>
        <v>2004</v>
      </c>
      <c r="B408" s="393">
        <v>2.5247651822724346E-3</v>
      </c>
      <c r="C408" s="393">
        <v>2.9976513247352591E-3</v>
      </c>
      <c r="D408" s="520">
        <v>2.8935094948195467E-3</v>
      </c>
      <c r="E408" s="323"/>
      <c r="F408" s="323"/>
      <c r="G408" s="323"/>
      <c r="H408" s="323"/>
    </row>
    <row r="409" spans="1:20" s="390" customFormat="1" hidden="1" x14ac:dyDescent="0.25">
      <c r="A409" s="519">
        <f t="shared" si="46"/>
        <v>2005</v>
      </c>
      <c r="B409" s="393">
        <v>2.563951226480057E-3</v>
      </c>
      <c r="C409" s="393">
        <v>2.7860102485377002E-3</v>
      </c>
      <c r="D409" s="520">
        <v>2.7587316544992716E-3</v>
      </c>
      <c r="E409" s="323"/>
      <c r="F409" s="323"/>
      <c r="G409" s="323"/>
      <c r="H409" s="323"/>
    </row>
    <row r="410" spans="1:20" s="390" customFormat="1" hidden="1" x14ac:dyDescent="0.25">
      <c r="A410" s="519">
        <f t="shared" si="46"/>
        <v>2006</v>
      </c>
      <c r="B410" s="393">
        <v>2.4708193209704715E-3</v>
      </c>
      <c r="C410" s="393">
        <v>2.7955286140236269E-3</v>
      </c>
      <c r="D410" s="520">
        <v>3.0278113193258219E-3</v>
      </c>
      <c r="E410" s="323"/>
      <c r="F410" s="323"/>
      <c r="G410" s="323"/>
      <c r="H410" s="323"/>
    </row>
    <row r="411" spans="1:20" s="390" customFormat="1" hidden="1" x14ac:dyDescent="0.25">
      <c r="A411" s="519">
        <f t="shared" si="46"/>
        <v>2007</v>
      </c>
      <c r="B411" s="393">
        <v>2.5283075485402146E-3</v>
      </c>
      <c r="C411" s="393">
        <v>2.7763943297627984E-3</v>
      </c>
      <c r="D411" s="520">
        <v>2.8027393156529181E-3</v>
      </c>
      <c r="E411" s="323"/>
      <c r="F411" s="323"/>
      <c r="G411" s="323"/>
      <c r="H411" s="323"/>
    </row>
    <row r="412" spans="1:20" s="390" customFormat="1" x14ac:dyDescent="0.25">
      <c r="A412" s="521">
        <f t="shared" si="46"/>
        <v>2008</v>
      </c>
      <c r="B412" s="393">
        <v>2.4919162430699338E-3</v>
      </c>
      <c r="C412" s="393">
        <v>2.7682381875481373E-3</v>
      </c>
      <c r="D412" s="520">
        <v>2.797431302701174E-3</v>
      </c>
      <c r="E412" s="323"/>
      <c r="F412" s="323"/>
      <c r="G412" s="323"/>
      <c r="H412" s="323"/>
    </row>
    <row r="413" spans="1:20" s="390" customFormat="1" x14ac:dyDescent="0.25">
      <c r="A413" s="521">
        <f t="shared" si="46"/>
        <v>2009</v>
      </c>
      <c r="B413" s="393">
        <v>2.4618786742565848E-3</v>
      </c>
      <c r="C413" s="393">
        <v>2.78071933018947E-3</v>
      </c>
      <c r="D413" s="520">
        <v>2.8075726334139549E-3</v>
      </c>
      <c r="E413" s="323"/>
      <c r="F413" s="323"/>
      <c r="G413" s="323"/>
      <c r="H413" s="323"/>
      <c r="I413" s="391"/>
    </row>
    <row r="414" spans="1:20" s="390" customFormat="1" x14ac:dyDescent="0.25">
      <c r="A414" s="521">
        <f t="shared" si="46"/>
        <v>2010</v>
      </c>
      <c r="B414" s="393">
        <v>2.4708677924042168E-3</v>
      </c>
      <c r="C414" s="393">
        <v>2.7658659600925052E-3</v>
      </c>
      <c r="D414" s="520">
        <v>3.0000304335962144E-3</v>
      </c>
      <c r="E414" s="323"/>
      <c r="F414" s="323"/>
      <c r="G414" s="323"/>
      <c r="H414" s="323"/>
    </row>
    <row r="415" spans="1:20" s="390" customFormat="1" x14ac:dyDescent="0.25">
      <c r="A415" s="521">
        <f t="shared" si="46"/>
        <v>2011</v>
      </c>
      <c r="B415" s="393">
        <f>'Rate Class Load Model'!B17</f>
        <v>2.4574286460270749E-3</v>
      </c>
      <c r="C415" s="393">
        <f>'Rate Class Load Model'!C17</f>
        <v>2.7000868022215223E-3</v>
      </c>
      <c r="D415" s="520">
        <f>'Rate Class Load Model'!D17</f>
        <v>2.7664048228267361E-3</v>
      </c>
      <c r="E415" s="323"/>
      <c r="F415" s="323"/>
      <c r="G415" s="323"/>
      <c r="H415" s="323"/>
    </row>
    <row r="416" spans="1:20" s="390" customFormat="1" x14ac:dyDescent="0.25">
      <c r="A416" s="521">
        <f t="shared" si="46"/>
        <v>2012</v>
      </c>
      <c r="B416" s="393">
        <f>'Rate Class Load Model'!B18</f>
        <v>2.4687425199532891E-3</v>
      </c>
      <c r="C416" s="393">
        <f>'Rate Class Load Model'!C18</f>
        <v>2.7868825858376064E-3</v>
      </c>
      <c r="D416" s="520">
        <f>'Rate Class Load Model'!D18</f>
        <v>2.7914579525335818E-3</v>
      </c>
      <c r="E416" s="323"/>
      <c r="F416" s="323"/>
      <c r="G416" s="323"/>
      <c r="H416" s="323"/>
    </row>
    <row r="417" spans="1:10" s="390" customFormat="1" x14ac:dyDescent="0.25">
      <c r="A417" s="521">
        <f t="shared" si="46"/>
        <v>2013</v>
      </c>
      <c r="B417" s="393">
        <f>'Rate Class Load Model'!B19</f>
        <v>2.5328707434411476E-3</v>
      </c>
      <c r="C417" s="393">
        <f>'Rate Class Load Model'!C19</f>
        <v>2.7811137096264457E-3</v>
      </c>
      <c r="D417" s="520">
        <f>'Rate Class Load Model'!D19</f>
        <v>2.6692741176854618E-3</v>
      </c>
      <c r="E417" s="323"/>
      <c r="F417" s="323"/>
      <c r="G417" s="323"/>
      <c r="H417" s="323"/>
    </row>
    <row r="418" spans="1:10" s="390" customFormat="1" x14ac:dyDescent="0.25">
      <c r="A418" s="521">
        <f t="shared" si="46"/>
        <v>2014</v>
      </c>
      <c r="B418" s="393">
        <f>'Rate Class Load Model'!B20</f>
        <v>2.4508107038338058E-3</v>
      </c>
      <c r="C418" s="393">
        <f>'Rate Class Load Model'!C20</f>
        <v>2.7779033404698602E-3</v>
      </c>
      <c r="D418" s="520">
        <f>'Rate Class Load Model'!D20</f>
        <v>2.8002659971083374E-3</v>
      </c>
      <c r="E418" s="323"/>
      <c r="F418" s="323"/>
      <c r="G418" s="323"/>
      <c r="H418" s="323"/>
    </row>
    <row r="419" spans="1:10" s="390" customFormat="1" x14ac:dyDescent="0.25">
      <c r="A419" s="521">
        <f t="shared" si="46"/>
        <v>2015</v>
      </c>
      <c r="B419" s="393">
        <f>'Rate Class Load Model'!B21</f>
        <v>2.79181354647602E-3</v>
      </c>
      <c r="C419" s="393">
        <f>'Rate Class Load Model'!C21</f>
        <v>3.1967624278390395E-3</v>
      </c>
      <c r="D419" s="520">
        <f>'Rate Class Load Model'!D21</f>
        <v>2.9872750908354227E-3</v>
      </c>
      <c r="E419" s="323"/>
      <c r="F419" s="323"/>
      <c r="G419" s="323"/>
      <c r="H419" s="323"/>
    </row>
    <row r="420" spans="1:10" s="390" customFormat="1" x14ac:dyDescent="0.25">
      <c r="A420" s="521">
        <f t="shared" si="46"/>
        <v>2016</v>
      </c>
      <c r="B420" s="393">
        <f>'Rate Class Load Model'!B22</f>
        <v>2.4887113960887822E-3</v>
      </c>
      <c r="C420" s="393">
        <f>'Rate Class Load Model'!C22</f>
        <v>2.7746483463536279E-3</v>
      </c>
      <c r="D420" s="520">
        <f>'Rate Class Load Model'!D22</f>
        <v>2.9290590178160125E-3</v>
      </c>
      <c r="E420" s="323"/>
      <c r="F420" s="323"/>
      <c r="G420" s="323"/>
      <c r="H420" s="323"/>
    </row>
    <row r="421" spans="1:10" s="390" customFormat="1" x14ac:dyDescent="0.25">
      <c r="A421" s="521">
        <v>2017</v>
      </c>
      <c r="B421" s="393">
        <f>'Rate Class Load Model'!B23</f>
        <v>2.4912229420001892E-3</v>
      </c>
      <c r="C421" s="393">
        <f>'Rate Class Load Model'!C23</f>
        <v>2.8980460654531568E-3</v>
      </c>
      <c r="D421" s="520">
        <f>'Rate Class Load Model'!D23</f>
        <v>2.9313808529679896E-3</v>
      </c>
      <c r="E421" s="323"/>
      <c r="F421" s="323"/>
      <c r="G421" s="323"/>
      <c r="H421" s="323"/>
    </row>
    <row r="422" spans="1:10" s="390" customFormat="1" x14ac:dyDescent="0.25">
      <c r="A422" s="521">
        <v>2018</v>
      </c>
      <c r="B422" s="393">
        <f>'Rate Class Load Model'!B24</f>
        <v>2.5000181488968034E-3</v>
      </c>
      <c r="C422" s="393">
        <f>'Rate Class Load Model'!C24</f>
        <v>2.9258199763273615E-3</v>
      </c>
      <c r="D422" s="520">
        <f>'Rate Class Load Model'!D24</f>
        <v>2.9313979475852803E-3</v>
      </c>
      <c r="E422" s="323"/>
      <c r="F422" s="323"/>
      <c r="G422" s="323"/>
      <c r="H422" s="323"/>
    </row>
    <row r="423" spans="1:10" s="390" customFormat="1" x14ac:dyDescent="0.25">
      <c r="A423" s="521">
        <v>2019</v>
      </c>
      <c r="B423" s="393">
        <f>'Rate Class Load Model'!B25</f>
        <v>2.4700421656732559E-3</v>
      </c>
      <c r="C423" s="393">
        <f>'Rate Class Load Model'!C25</f>
        <v>2.9259373203653332E-3</v>
      </c>
      <c r="D423" s="520">
        <f>'Rate Class Load Model'!D25</f>
        <v>2.9270713792207228E-3</v>
      </c>
      <c r="E423" s="323"/>
      <c r="F423" s="323"/>
      <c r="G423" s="323"/>
      <c r="H423" s="323"/>
    </row>
    <row r="424" spans="1:10" s="390" customFormat="1" x14ac:dyDescent="0.25">
      <c r="A424" s="521">
        <v>2020</v>
      </c>
      <c r="B424" s="393">
        <f>'Rate Class Load Model'!B26</f>
        <v>2.2894417628822662E-3</v>
      </c>
      <c r="C424" s="393">
        <f>'Rate Class Load Model'!C26</f>
        <v>2.9270166102020379E-3</v>
      </c>
      <c r="D424" s="520">
        <f>'Rate Class Load Model'!D26</f>
        <v>2.9168933866313674E-3</v>
      </c>
      <c r="E424" s="323"/>
      <c r="F424" s="323"/>
      <c r="G424" s="323"/>
      <c r="H424" s="323"/>
    </row>
    <row r="425" spans="1:10" s="390" customFormat="1" x14ac:dyDescent="0.25">
      <c r="A425" s="521">
        <v>2021</v>
      </c>
      <c r="B425" s="393">
        <f>'Rate Class Load Model'!B27</f>
        <v>2.263912348733757E-3</v>
      </c>
      <c r="C425" s="393">
        <f>'Rate Class Load Model'!C27</f>
        <v>2.9291669660532231E-3</v>
      </c>
      <c r="D425" s="520">
        <f>'Rate Class Load Model'!D27</f>
        <v>2.9275675447857103E-3</v>
      </c>
      <c r="E425" s="323"/>
      <c r="F425" s="323"/>
      <c r="G425" s="323"/>
      <c r="H425" s="323"/>
    </row>
    <row r="426" spans="1:10" s="390" customFormat="1" x14ac:dyDescent="0.25">
      <c r="A426" s="521" t="s">
        <v>320</v>
      </c>
      <c r="B426" s="393">
        <f>'Rate Class Load Model'!B29</f>
        <v>2.4731831749096721E-3</v>
      </c>
      <c r="C426" s="393">
        <f>'Rate Class Load Model'!C29</f>
        <v>2.8748531046135649E-3</v>
      </c>
      <c r="D426" s="520">
        <f>'Rate Class Load Model'!D29</f>
        <v>2.8707316463633292E-3</v>
      </c>
      <c r="E426" s="323"/>
      <c r="F426" s="323"/>
      <c r="G426" s="323"/>
      <c r="H426" s="323"/>
    </row>
    <row r="427" spans="1:10" s="390" customFormat="1" ht="16.5" thickBot="1" x14ac:dyDescent="0.3">
      <c r="A427" s="522" t="s">
        <v>182</v>
      </c>
      <c r="B427" s="523">
        <f>'Rate Class Load Model'!B29</f>
        <v>2.4731831749096721E-3</v>
      </c>
      <c r="C427" s="523">
        <f>'Rate Class Load Model'!C29</f>
        <v>2.8748531046135649E-3</v>
      </c>
      <c r="D427" s="524">
        <f>'Rate Class Load Model'!D29</f>
        <v>2.8707316463633292E-3</v>
      </c>
      <c r="E427" s="323"/>
      <c r="F427" s="323"/>
      <c r="G427" s="323"/>
      <c r="H427" s="323"/>
    </row>
    <row r="428" spans="1:10" s="390" customFormat="1" x14ac:dyDescent="0.25">
      <c r="A428" s="394"/>
      <c r="B428" s="395"/>
      <c r="C428" s="395"/>
      <c r="D428" s="395"/>
      <c r="E428" s="323"/>
      <c r="F428" s="323"/>
      <c r="G428" s="323"/>
      <c r="H428" s="323"/>
    </row>
    <row r="429" spans="1:10" s="390" customFormat="1" ht="15" x14ac:dyDescent="0.25"/>
    <row r="430" spans="1:10" s="390" customFormat="1" ht="16.5" thickBot="1" x14ac:dyDescent="0.3">
      <c r="A430" s="620" t="s">
        <v>394</v>
      </c>
      <c r="B430" s="621"/>
      <c r="C430" s="621"/>
      <c r="D430" s="621"/>
      <c r="E430" s="621"/>
      <c r="F430" s="323"/>
      <c r="G430" s="323"/>
      <c r="H430" s="323"/>
      <c r="I430" s="323"/>
      <c r="J430" s="323"/>
    </row>
    <row r="431" spans="1:10" s="390" customFormat="1" ht="47.25" x14ac:dyDescent="0.25">
      <c r="A431" s="478" t="str">
        <f>A405</f>
        <v>Year</v>
      </c>
      <c r="B431" s="424" t="str">
        <f>B405</f>
        <v>General Service 50 to 4,999 kW</v>
      </c>
      <c r="C431" s="424" t="str">
        <f>C405</f>
        <v>Sentinel Lighting</v>
      </c>
      <c r="D431" s="424" t="str">
        <f>D405</f>
        <v>Street Lights</v>
      </c>
      <c r="E431" s="457" t="str">
        <f>E381</f>
        <v>Total</v>
      </c>
      <c r="F431" s="323"/>
      <c r="G431" s="323"/>
      <c r="H431" s="323"/>
      <c r="I431" s="323"/>
    </row>
    <row r="432" spans="1:10" s="390" customFormat="1" x14ac:dyDescent="0.25">
      <c r="A432" s="578" t="s">
        <v>183</v>
      </c>
      <c r="B432" s="579"/>
      <c r="C432" s="579"/>
      <c r="D432" s="579"/>
      <c r="E432" s="593"/>
      <c r="F432" s="323"/>
      <c r="G432" s="323"/>
      <c r="H432" s="323"/>
      <c r="I432" s="323"/>
    </row>
    <row r="433" spans="1:20" s="390" customFormat="1" x14ac:dyDescent="0.25">
      <c r="A433" s="481">
        <f>A377</f>
        <v>2022</v>
      </c>
      <c r="B433" s="379">
        <f>Summary!N24</f>
        <v>570894.43770666083</v>
      </c>
      <c r="C433" s="379">
        <f>Summary!N29</f>
        <v>580.3420126565635</v>
      </c>
      <c r="D433" s="379">
        <f>Summary!N34</f>
        <v>7200.0649104265394</v>
      </c>
      <c r="E433" s="501">
        <f>SUM(B433:D433)</f>
        <v>578674.84462974395</v>
      </c>
      <c r="F433" s="323"/>
      <c r="G433" s="323"/>
      <c r="H433" s="323"/>
      <c r="I433" s="323"/>
      <c r="J433" s="391"/>
    </row>
    <row r="434" spans="1:20" s="390" customFormat="1" ht="16.5" thickBot="1" x14ac:dyDescent="0.3">
      <c r="A434" s="482">
        <f>A378</f>
        <v>2023</v>
      </c>
      <c r="B434" s="502">
        <f>Summary!O24</f>
        <v>542042.50976088888</v>
      </c>
      <c r="C434" s="502">
        <f>Summary!O29</f>
        <v>566.24754295926414</v>
      </c>
      <c r="D434" s="502">
        <f>Summary!O34</f>
        <v>7200.0649104265394</v>
      </c>
      <c r="E434" s="503">
        <f>SUM(B434:D434)</f>
        <v>549808.82221427467</v>
      </c>
      <c r="F434" s="323"/>
      <c r="G434" s="323"/>
      <c r="H434" s="323"/>
      <c r="I434" s="323"/>
      <c r="J434" s="391"/>
      <c r="M434" s="324"/>
      <c r="N434" s="324"/>
      <c r="O434" s="324"/>
      <c r="P434" s="324"/>
      <c r="Q434" s="324"/>
      <c r="R434" s="324"/>
      <c r="S434" s="324"/>
      <c r="T434" s="324"/>
    </row>
    <row r="435" spans="1:20" x14ac:dyDescent="0.25">
      <c r="A435" s="360"/>
      <c r="B435" s="375"/>
      <c r="C435" s="375"/>
      <c r="D435" s="375"/>
      <c r="E435" s="375"/>
      <c r="F435" s="375"/>
      <c r="G435" s="375"/>
      <c r="H435" s="375"/>
      <c r="I435" s="375"/>
    </row>
    <row r="436" spans="1:20" x14ac:dyDescent="0.25">
      <c r="A436" s="360"/>
      <c r="B436" s="375"/>
      <c r="C436" s="375"/>
      <c r="D436" s="375"/>
      <c r="E436" s="375"/>
      <c r="F436" s="375"/>
      <c r="G436" s="375"/>
      <c r="H436" s="375"/>
      <c r="I436" s="375"/>
    </row>
    <row r="437" spans="1:20" ht="16.5" thickBot="1" x14ac:dyDescent="0.3">
      <c r="A437" s="403" t="s">
        <v>395</v>
      </c>
      <c r="B437" s="389"/>
      <c r="C437" s="389"/>
      <c r="D437" s="389"/>
      <c r="E437" s="375"/>
      <c r="F437" s="375"/>
      <c r="G437" s="375"/>
      <c r="H437" s="375"/>
      <c r="I437" s="375"/>
    </row>
    <row r="438" spans="1:20" ht="31.5" x14ac:dyDescent="0.25">
      <c r="A438" s="537" t="s">
        <v>202</v>
      </c>
      <c r="B438" s="424" t="s">
        <v>309</v>
      </c>
      <c r="C438" s="424" t="s">
        <v>249</v>
      </c>
      <c r="D438" s="424" t="s">
        <v>203</v>
      </c>
      <c r="E438" s="426" t="s">
        <v>204</v>
      </c>
      <c r="F438" s="375"/>
      <c r="G438" s="375"/>
      <c r="H438" s="375"/>
      <c r="I438" s="375"/>
    </row>
    <row r="439" spans="1:20" x14ac:dyDescent="0.25">
      <c r="A439" s="538" t="s">
        <v>1</v>
      </c>
      <c r="B439" s="326">
        <f t="shared" ref="B439:B444" si="47">+B4</f>
        <v>11226807</v>
      </c>
      <c r="C439" s="326">
        <f>+C4+55277.9-109758.82</f>
        <v>9190889.1199999992</v>
      </c>
      <c r="D439" s="326">
        <f t="shared" ref="D439:D444" si="48">+C439-B439</f>
        <v>-2035917.8800000008</v>
      </c>
      <c r="E439" s="542">
        <f t="shared" ref="E439:E445" si="49">+D439/B439</f>
        <v>-0.18134433770884284</v>
      </c>
      <c r="F439" s="375"/>
      <c r="G439" s="375"/>
      <c r="H439" s="375"/>
      <c r="I439" s="375"/>
    </row>
    <row r="440" spans="1:20" x14ac:dyDescent="0.25">
      <c r="A440" s="519" t="s">
        <v>194</v>
      </c>
      <c r="B440" s="397">
        <f t="shared" si="47"/>
        <v>3149458</v>
      </c>
      <c r="C440" s="326">
        <f>+C5+460160.23-26213.85</f>
        <v>3119001.2600000002</v>
      </c>
      <c r="D440" s="326">
        <f t="shared" si="48"/>
        <v>-30456.739999999758</v>
      </c>
      <c r="E440" s="542">
        <f t="shared" si="49"/>
        <v>-9.6704702840932494E-3</v>
      </c>
      <c r="F440" s="375"/>
      <c r="G440" s="375"/>
      <c r="H440" s="375"/>
      <c r="I440" s="375"/>
    </row>
    <row r="441" spans="1:20" x14ac:dyDescent="0.25">
      <c r="A441" s="539" t="s">
        <v>208</v>
      </c>
      <c r="B441" s="397">
        <f t="shared" si="47"/>
        <v>4544464</v>
      </c>
      <c r="C441" s="326">
        <f>+C6+142204.19-43007.94</f>
        <v>4149200.29</v>
      </c>
      <c r="D441" s="326">
        <f t="shared" si="48"/>
        <v>-395263.70999999996</v>
      </c>
      <c r="E441" s="542">
        <f t="shared" si="49"/>
        <v>-8.6976970221350633E-2</v>
      </c>
      <c r="F441" s="375"/>
      <c r="G441" s="375"/>
      <c r="H441" s="375"/>
      <c r="I441" s="375"/>
    </row>
    <row r="442" spans="1:20" x14ac:dyDescent="0.25">
      <c r="A442" s="519" t="s">
        <v>120</v>
      </c>
      <c r="B442" s="397">
        <f t="shared" si="47"/>
        <v>34741.525559766393</v>
      </c>
      <c r="C442" s="326">
        <f>+C7+46341.14-179.26</f>
        <v>76497.56</v>
      </c>
      <c r="D442" s="326">
        <f t="shared" si="48"/>
        <v>41756.034440233605</v>
      </c>
      <c r="E442" s="542">
        <f t="shared" si="49"/>
        <v>1.2019056091362494</v>
      </c>
      <c r="F442" s="375"/>
      <c r="G442" s="375"/>
      <c r="H442" s="375"/>
      <c r="I442" s="375"/>
    </row>
    <row r="443" spans="1:20" x14ac:dyDescent="0.25">
      <c r="A443" s="519" t="s">
        <v>195</v>
      </c>
      <c r="B443" s="397">
        <f t="shared" si="47"/>
        <v>195345</v>
      </c>
      <c r="C443" s="326">
        <f>+C8-2526.22-327.68</f>
        <v>395492.27</v>
      </c>
      <c r="D443" s="326">
        <f t="shared" si="48"/>
        <v>200147.27000000002</v>
      </c>
      <c r="E443" s="542">
        <f t="shared" si="49"/>
        <v>1.0245835317003251</v>
      </c>
      <c r="F443" s="375"/>
      <c r="G443" s="375"/>
      <c r="H443" s="375"/>
      <c r="I443" s="375"/>
    </row>
    <row r="444" spans="1:20" x14ac:dyDescent="0.25">
      <c r="A444" s="519" t="s">
        <v>196</v>
      </c>
      <c r="B444" s="397">
        <f t="shared" si="47"/>
        <v>39551</v>
      </c>
      <c r="C444" s="326">
        <f>+C9-1901.73-321.45</f>
        <v>29910.2</v>
      </c>
      <c r="D444" s="326">
        <f t="shared" si="48"/>
        <v>-9640.7999999999993</v>
      </c>
      <c r="E444" s="542">
        <f t="shared" si="49"/>
        <v>-0.24375616292887661</v>
      </c>
      <c r="F444" s="375"/>
      <c r="G444" s="375"/>
      <c r="H444" s="375"/>
      <c r="I444" s="375"/>
    </row>
    <row r="445" spans="1:20" ht="16.5" thickBot="1" x14ac:dyDescent="0.3">
      <c r="A445" s="540" t="s">
        <v>12</v>
      </c>
      <c r="B445" s="541">
        <f>SUM(B439:B444)</f>
        <v>19190366.525559768</v>
      </c>
      <c r="C445" s="541">
        <f>SUM(C439:C444)</f>
        <v>16960990.699999999</v>
      </c>
      <c r="D445" s="541">
        <f>SUM(D439:D444)</f>
        <v>-2229375.8255597665</v>
      </c>
      <c r="E445" s="543">
        <f t="shared" si="49"/>
        <v>-0.11617161259481142</v>
      </c>
      <c r="F445" s="375"/>
      <c r="G445" s="375"/>
      <c r="H445" s="375"/>
      <c r="I445" s="375"/>
    </row>
    <row r="446" spans="1:20" x14ac:dyDescent="0.25">
      <c r="A446" s="360"/>
      <c r="B446" s="398"/>
      <c r="C446" s="398"/>
      <c r="D446" s="398"/>
      <c r="E446" s="375"/>
      <c r="F446" s="375"/>
      <c r="G446" s="375"/>
      <c r="H446" s="375"/>
      <c r="I446" s="375"/>
    </row>
    <row r="447" spans="1:20" ht="16.5" thickBot="1" x14ac:dyDescent="0.3">
      <c r="A447" s="396" t="s">
        <v>397</v>
      </c>
      <c r="B447" s="399"/>
      <c r="C447" s="399"/>
      <c r="D447" s="399"/>
      <c r="E447" s="375"/>
      <c r="F447" s="375"/>
      <c r="G447" s="375"/>
      <c r="H447" s="375"/>
      <c r="I447" s="375"/>
    </row>
    <row r="448" spans="1:20" ht="31.5" x14ac:dyDescent="0.25">
      <c r="A448" s="537" t="s">
        <v>202</v>
      </c>
      <c r="B448" s="424" t="s">
        <v>249</v>
      </c>
      <c r="C448" s="424" t="s">
        <v>250</v>
      </c>
      <c r="D448" s="424" t="s">
        <v>203</v>
      </c>
      <c r="E448" s="426" t="s">
        <v>204</v>
      </c>
      <c r="F448" s="375"/>
      <c r="G448" s="375"/>
      <c r="H448" s="375"/>
      <c r="I448" s="375"/>
    </row>
    <row r="449" spans="1:9" x14ac:dyDescent="0.25">
      <c r="A449" s="538" t="s">
        <v>1</v>
      </c>
      <c r="B449" s="326">
        <f t="shared" ref="B449:B454" si="50">+C439</f>
        <v>9190889.1199999992</v>
      </c>
      <c r="C449" s="326">
        <f>+D4+133119-470145.73</f>
        <v>11169039.549999999</v>
      </c>
      <c r="D449" s="326">
        <f t="shared" ref="D449:D454" si="51">+C449-B449</f>
        <v>1978150.4299999997</v>
      </c>
      <c r="E449" s="542">
        <f t="shared" ref="E449:E455" si="52">+D449/B449</f>
        <v>0.21522949566385366</v>
      </c>
      <c r="F449" s="375"/>
      <c r="G449" s="375"/>
      <c r="H449" s="375"/>
      <c r="I449" s="375"/>
    </row>
    <row r="450" spans="1:9" x14ac:dyDescent="0.25">
      <c r="A450" s="519" t="s">
        <v>194</v>
      </c>
      <c r="B450" s="397">
        <f t="shared" si="50"/>
        <v>3119001.2600000002</v>
      </c>
      <c r="C450" s="326">
        <f>+D5+68429-127911.57</f>
        <v>3118156.44</v>
      </c>
      <c r="D450" s="326">
        <f t="shared" si="51"/>
        <v>-844.82000000029802</v>
      </c>
      <c r="E450" s="542">
        <f t="shared" si="52"/>
        <v>-2.7086234649366505E-4</v>
      </c>
      <c r="F450" s="375"/>
      <c r="G450" s="375"/>
      <c r="H450" s="375"/>
      <c r="I450" s="375"/>
    </row>
    <row r="451" spans="1:9" x14ac:dyDescent="0.25">
      <c r="A451" s="539" t="s">
        <v>208</v>
      </c>
      <c r="B451" s="397">
        <f t="shared" si="50"/>
        <v>4149200.29</v>
      </c>
      <c r="C451" s="326">
        <f>+D6+69673-183206.56</f>
        <v>4411624.1000000006</v>
      </c>
      <c r="D451" s="326">
        <f t="shared" si="51"/>
        <v>262423.81000000052</v>
      </c>
      <c r="E451" s="542">
        <f t="shared" si="52"/>
        <v>6.3246840754462713E-2</v>
      </c>
      <c r="F451" s="375"/>
      <c r="G451" s="375"/>
      <c r="H451" s="375"/>
      <c r="I451" s="375"/>
    </row>
    <row r="452" spans="1:9" x14ac:dyDescent="0.25">
      <c r="A452" s="519" t="s">
        <v>120</v>
      </c>
      <c r="B452" s="397">
        <f t="shared" si="50"/>
        <v>76497.56</v>
      </c>
      <c r="C452" s="326">
        <f>+D7-281-837.86</f>
        <v>33693.629999999997</v>
      </c>
      <c r="D452" s="326">
        <f t="shared" si="51"/>
        <v>-42803.93</v>
      </c>
      <c r="E452" s="542">
        <f t="shared" si="52"/>
        <v>-0.55954634370037426</v>
      </c>
      <c r="F452" s="375"/>
      <c r="G452" s="375"/>
      <c r="H452" s="375"/>
      <c r="I452" s="375"/>
    </row>
    <row r="453" spans="1:9" x14ac:dyDescent="0.25">
      <c r="A453" s="519" t="s">
        <v>195</v>
      </c>
      <c r="B453" s="397">
        <f t="shared" si="50"/>
        <v>395492.27</v>
      </c>
      <c r="C453" s="326">
        <f>+D8+113745-2621.38</f>
        <v>303432.58</v>
      </c>
      <c r="D453" s="326">
        <f t="shared" si="51"/>
        <v>-92059.69</v>
      </c>
      <c r="E453" s="542">
        <f t="shared" si="52"/>
        <v>-0.23277241297282497</v>
      </c>
      <c r="F453" s="375"/>
      <c r="G453" s="375"/>
      <c r="H453" s="375"/>
      <c r="I453" s="375"/>
    </row>
    <row r="454" spans="1:9" x14ac:dyDescent="0.25">
      <c r="A454" s="519" t="s">
        <v>196</v>
      </c>
      <c r="B454" s="397">
        <f t="shared" si="50"/>
        <v>29910.2</v>
      </c>
      <c r="C454" s="326">
        <f>+D9-373-1541.7</f>
        <v>35221.310000000005</v>
      </c>
      <c r="D454" s="326">
        <f t="shared" si="51"/>
        <v>5311.1100000000042</v>
      </c>
      <c r="E454" s="542">
        <f t="shared" si="52"/>
        <v>0.17756852177518051</v>
      </c>
      <c r="F454" s="375"/>
      <c r="G454" s="375"/>
      <c r="H454" s="375"/>
      <c r="I454" s="375"/>
    </row>
    <row r="455" spans="1:9" ht="16.5" thickBot="1" x14ac:dyDescent="0.3">
      <c r="A455" s="540" t="s">
        <v>12</v>
      </c>
      <c r="B455" s="541">
        <f>SUM(B449:B454)</f>
        <v>16960990.699999999</v>
      </c>
      <c r="C455" s="541">
        <f>SUM(C449:C454)</f>
        <v>19071167.609999996</v>
      </c>
      <c r="D455" s="541">
        <f>SUM(D449:D454)</f>
        <v>2110176.9099999997</v>
      </c>
      <c r="E455" s="543">
        <f t="shared" si="52"/>
        <v>0.12441354089062732</v>
      </c>
      <c r="F455" s="375"/>
      <c r="G455" s="375"/>
      <c r="H455" s="375"/>
      <c r="I455" s="375"/>
    </row>
    <row r="456" spans="1:9" x14ac:dyDescent="0.25">
      <c r="A456" s="360"/>
      <c r="B456" s="398"/>
      <c r="C456" s="398"/>
      <c r="D456" s="398"/>
      <c r="E456" s="375"/>
      <c r="F456" s="375"/>
      <c r="G456" s="375"/>
      <c r="H456" s="375"/>
      <c r="I456" s="375"/>
    </row>
    <row r="457" spans="1:9" ht="16.5" thickBot="1" x14ac:dyDescent="0.3">
      <c r="A457" s="396" t="s">
        <v>398</v>
      </c>
      <c r="B457" s="399"/>
      <c r="C457" s="399"/>
      <c r="D457" s="399"/>
      <c r="E457" s="375"/>
      <c r="F457" s="375"/>
      <c r="G457" s="401"/>
      <c r="H457" s="375"/>
      <c r="I457" s="375"/>
    </row>
    <row r="458" spans="1:9" ht="31.5" x14ac:dyDescent="0.25">
      <c r="A458" s="537" t="s">
        <v>202</v>
      </c>
      <c r="B458" s="424" t="s">
        <v>250</v>
      </c>
      <c r="C458" s="424" t="s">
        <v>251</v>
      </c>
      <c r="D458" s="424" t="s">
        <v>203</v>
      </c>
      <c r="E458" s="426" t="s">
        <v>204</v>
      </c>
      <c r="F458" s="375"/>
      <c r="G458" s="375"/>
      <c r="H458" s="375"/>
      <c r="I458" s="375"/>
    </row>
    <row r="459" spans="1:9" x14ac:dyDescent="0.25">
      <c r="A459" s="538" t="s">
        <v>1</v>
      </c>
      <c r="B459" s="326">
        <f t="shared" ref="B459:B464" si="53">+C449</f>
        <v>11169039.549999999</v>
      </c>
      <c r="C459" s="326">
        <f>+E4+(($E$16+$E$17)*E4/$E$10)-151091.02</f>
        <v>11478211.353726348</v>
      </c>
      <c r="D459" s="326">
        <f t="shared" ref="D459:D464" si="54">+C459-B459</f>
        <v>309171.80372634903</v>
      </c>
      <c r="E459" s="542">
        <f t="shared" ref="E459:E465" si="55">+D459/B459</f>
        <v>2.7681145038684105E-2</v>
      </c>
      <c r="F459" s="375"/>
      <c r="G459" s="375"/>
      <c r="H459" s="375"/>
      <c r="I459" s="375"/>
    </row>
    <row r="460" spans="1:9" x14ac:dyDescent="0.25">
      <c r="A460" s="519" t="s">
        <v>194</v>
      </c>
      <c r="B460" s="397">
        <f t="shared" si="53"/>
        <v>3118156.44</v>
      </c>
      <c r="C460" s="326">
        <f>+E5+(($E$16+$E$17)*E5/$E$10)-43070.68</f>
        <v>3006431.4992901585</v>
      </c>
      <c r="D460" s="326">
        <f t="shared" si="54"/>
        <v>-111724.94070984144</v>
      </c>
      <c r="E460" s="542">
        <f t="shared" si="55"/>
        <v>-3.5830447528746007E-2</v>
      </c>
      <c r="F460" s="375"/>
      <c r="G460" s="375"/>
      <c r="H460" s="375"/>
      <c r="I460" s="375"/>
    </row>
    <row r="461" spans="1:9" x14ac:dyDescent="0.25">
      <c r="A461" s="539" t="s">
        <v>208</v>
      </c>
      <c r="B461" s="397">
        <f t="shared" si="53"/>
        <v>4411624.1000000006</v>
      </c>
      <c r="C461" s="326">
        <f>+E6+(($E$16+$E$17)*E6/$E$10)-56270.86</f>
        <v>4273136.4496543761</v>
      </c>
      <c r="D461" s="326">
        <f t="shared" si="54"/>
        <v>-138487.65034562442</v>
      </c>
      <c r="E461" s="542">
        <f t="shared" si="55"/>
        <v>-3.1391534547475251E-2</v>
      </c>
      <c r="F461" s="375"/>
      <c r="G461" s="375"/>
      <c r="H461" s="375"/>
      <c r="I461" s="375"/>
    </row>
    <row r="462" spans="1:9" x14ac:dyDescent="0.25">
      <c r="A462" s="519" t="s">
        <v>120</v>
      </c>
      <c r="B462" s="397">
        <f t="shared" si="53"/>
        <v>33693.629999999997</v>
      </c>
      <c r="C462" s="326">
        <f>+E7+(($E$16+$E$17)*E7/$E$10)-262.46</f>
        <v>35565.340296800263</v>
      </c>
      <c r="D462" s="326">
        <f t="shared" si="54"/>
        <v>1871.7102968002655</v>
      </c>
      <c r="E462" s="542">
        <f t="shared" si="55"/>
        <v>5.5550865157605919E-2</v>
      </c>
      <c r="F462" s="375"/>
      <c r="G462" s="375"/>
      <c r="H462" s="375"/>
      <c r="I462" s="375"/>
    </row>
    <row r="463" spans="1:9" x14ac:dyDescent="0.25">
      <c r="A463" s="519" t="s">
        <v>195</v>
      </c>
      <c r="B463" s="397">
        <f t="shared" si="53"/>
        <v>303432.58</v>
      </c>
      <c r="C463" s="326">
        <f>+E8+(($E$16+$E$17)*E8/$E$10)-882.03</f>
        <v>201052.29344110982</v>
      </c>
      <c r="D463" s="326">
        <f t="shared" si="54"/>
        <v>-102380.28655889019</v>
      </c>
      <c r="E463" s="542">
        <f t="shared" si="55"/>
        <v>-0.33740703308421982</v>
      </c>
      <c r="F463" s="375"/>
      <c r="G463" s="375"/>
      <c r="H463" s="375"/>
      <c r="I463" s="375"/>
    </row>
    <row r="464" spans="1:9" x14ac:dyDescent="0.25">
      <c r="A464" s="519" t="s">
        <v>196</v>
      </c>
      <c r="B464" s="397">
        <f t="shared" si="53"/>
        <v>35221.310000000005</v>
      </c>
      <c r="C464" s="326">
        <f>+E9+(($E$16+$E$17)*E9/$E$10)-490.49</f>
        <v>37840.093591207391</v>
      </c>
      <c r="D464" s="326">
        <f t="shared" si="54"/>
        <v>2618.7835912073861</v>
      </c>
      <c r="E464" s="542">
        <f t="shared" si="55"/>
        <v>7.4352248431628062E-2</v>
      </c>
      <c r="F464" s="375"/>
      <c r="G464" s="375"/>
      <c r="H464" s="375"/>
      <c r="I464" s="375"/>
    </row>
    <row r="465" spans="1:9" ht="16.5" thickBot="1" x14ac:dyDescent="0.3">
      <c r="A465" s="540" t="s">
        <v>12</v>
      </c>
      <c r="B465" s="541">
        <f>SUM(B459:B464)</f>
        <v>19071167.609999996</v>
      </c>
      <c r="C465" s="541">
        <f>SUM(C459:C464)</f>
        <v>19032237.029999997</v>
      </c>
      <c r="D465" s="541">
        <f>SUM(D459:D464)</f>
        <v>-38930.579999999376</v>
      </c>
      <c r="E465" s="543">
        <f t="shared" si="55"/>
        <v>-2.041331752523955E-3</v>
      </c>
      <c r="F465" s="375"/>
      <c r="G465" s="375"/>
      <c r="H465" s="375"/>
      <c r="I465" s="375"/>
    </row>
    <row r="466" spans="1:9" x14ac:dyDescent="0.25">
      <c r="A466" s="360"/>
      <c r="B466" s="398"/>
      <c r="C466" s="398"/>
      <c r="D466" s="398"/>
      <c r="E466" s="375"/>
      <c r="F466" s="375"/>
      <c r="G466" s="375"/>
      <c r="H466" s="375"/>
      <c r="I466" s="375"/>
    </row>
    <row r="467" spans="1:9" ht="16.5" thickBot="1" x14ac:dyDescent="0.3">
      <c r="A467" s="396" t="s">
        <v>399</v>
      </c>
      <c r="B467" s="399"/>
      <c r="C467" s="399"/>
      <c r="D467" s="399"/>
      <c r="E467" s="375"/>
      <c r="F467" s="375"/>
      <c r="G467" s="375"/>
      <c r="H467" s="375"/>
      <c r="I467" s="375"/>
    </row>
    <row r="468" spans="1:9" ht="31.5" x14ac:dyDescent="0.25">
      <c r="A468" s="537" t="s">
        <v>202</v>
      </c>
      <c r="B468" s="424" t="s">
        <v>251</v>
      </c>
      <c r="C468" s="424" t="s">
        <v>252</v>
      </c>
      <c r="D468" s="424" t="s">
        <v>203</v>
      </c>
      <c r="E468" s="426" t="s">
        <v>204</v>
      </c>
      <c r="F468" s="375"/>
      <c r="G468" s="375"/>
      <c r="H468" s="375"/>
      <c r="I468" s="375"/>
    </row>
    <row r="469" spans="1:9" x14ac:dyDescent="0.25">
      <c r="A469" s="538" t="s">
        <v>1</v>
      </c>
      <c r="B469" s="326">
        <f t="shared" ref="B469:B474" si="56">+C459</f>
        <v>11478211.353726348</v>
      </c>
      <c r="C469" s="326">
        <f t="shared" ref="C469:C474" si="57">+F4+(($F$14+$F$13+$F$17)*(F4/$F$10))</f>
        <v>11764831.49111288</v>
      </c>
      <c r="D469" s="326">
        <f t="shared" ref="D469:D474" si="58">+C469-B469</f>
        <v>286620.1373865325</v>
      </c>
      <c r="E469" s="542">
        <f t="shared" ref="E469:E475" si="59">+D469/B469</f>
        <v>2.4970801508501811E-2</v>
      </c>
      <c r="F469" s="375"/>
      <c r="G469" s="375"/>
      <c r="H469" s="375"/>
      <c r="I469" s="375"/>
    </row>
    <row r="470" spans="1:9" x14ac:dyDescent="0.25">
      <c r="A470" s="519" t="s">
        <v>194</v>
      </c>
      <c r="B470" s="397">
        <f t="shared" si="56"/>
        <v>3006431.4992901585</v>
      </c>
      <c r="C470" s="326">
        <f t="shared" si="57"/>
        <v>3152285.7471669121</v>
      </c>
      <c r="D470" s="326">
        <f t="shared" si="58"/>
        <v>145854.24787675356</v>
      </c>
      <c r="E470" s="542">
        <f t="shared" si="59"/>
        <v>4.8514076542635634E-2</v>
      </c>
      <c r="F470" s="375"/>
      <c r="G470" s="375"/>
      <c r="H470" s="375"/>
      <c r="I470" s="375"/>
    </row>
    <row r="471" spans="1:9" x14ac:dyDescent="0.25">
      <c r="A471" s="539" t="s">
        <v>208</v>
      </c>
      <c r="B471" s="397">
        <f t="shared" si="56"/>
        <v>4273136.4496543761</v>
      </c>
      <c r="C471" s="326">
        <f t="shared" si="57"/>
        <v>4277867.7974223131</v>
      </c>
      <c r="D471" s="326">
        <f t="shared" si="58"/>
        <v>4731.3477679369971</v>
      </c>
      <c r="E471" s="542">
        <f t="shared" si="59"/>
        <v>1.1072306779063145E-3</v>
      </c>
      <c r="F471" s="375"/>
      <c r="G471" s="375"/>
      <c r="H471" s="375"/>
      <c r="I471" s="375"/>
    </row>
    <row r="472" spans="1:9" x14ac:dyDescent="0.25">
      <c r="A472" s="519" t="s">
        <v>120</v>
      </c>
      <c r="B472" s="397">
        <f t="shared" si="56"/>
        <v>35565.340296800263</v>
      </c>
      <c r="C472" s="326">
        <f t="shared" si="57"/>
        <v>36363.154792266767</v>
      </c>
      <c r="D472" s="326">
        <f t="shared" si="58"/>
        <v>797.81449546650401</v>
      </c>
      <c r="E472" s="542">
        <f t="shared" si="59"/>
        <v>2.2432359392840721E-2</v>
      </c>
      <c r="F472" s="375"/>
      <c r="G472" s="375"/>
      <c r="H472" s="375"/>
      <c r="I472" s="375"/>
    </row>
    <row r="473" spans="1:9" x14ac:dyDescent="0.25">
      <c r="A473" s="519" t="s">
        <v>195</v>
      </c>
      <c r="B473" s="397">
        <f t="shared" si="56"/>
        <v>201052.29344110982</v>
      </c>
      <c r="C473" s="326">
        <f t="shared" si="57"/>
        <v>207431.10741105836</v>
      </c>
      <c r="D473" s="326">
        <f t="shared" si="58"/>
        <v>6378.8139699485328</v>
      </c>
      <c r="E473" s="542">
        <f t="shared" si="59"/>
        <v>3.1727138550732073E-2</v>
      </c>
      <c r="F473" s="375"/>
      <c r="G473" s="375"/>
      <c r="H473" s="375"/>
      <c r="I473" s="375"/>
    </row>
    <row r="474" spans="1:9" x14ac:dyDescent="0.25">
      <c r="A474" s="519" t="s">
        <v>196</v>
      </c>
      <c r="B474" s="397">
        <f t="shared" si="56"/>
        <v>37840.093591207391</v>
      </c>
      <c r="C474" s="326">
        <f t="shared" si="57"/>
        <v>38845.972094568184</v>
      </c>
      <c r="D474" s="326">
        <f t="shared" si="58"/>
        <v>1005.8785033607928</v>
      </c>
      <c r="E474" s="542">
        <f t="shared" si="59"/>
        <v>2.6582347132315789E-2</v>
      </c>
      <c r="F474" s="375"/>
      <c r="G474" s="375"/>
      <c r="H474" s="375"/>
      <c r="I474" s="375"/>
    </row>
    <row r="475" spans="1:9" ht="16.5" thickBot="1" x14ac:dyDescent="0.3">
      <c r="A475" s="540" t="s">
        <v>12</v>
      </c>
      <c r="B475" s="541">
        <f>SUM(B469:B474)</f>
        <v>19032237.029999997</v>
      </c>
      <c r="C475" s="541">
        <f>SUM(C469:C474)</f>
        <v>19477625.27</v>
      </c>
      <c r="D475" s="541">
        <f>SUM(D469:D474)</f>
        <v>445388.23999999894</v>
      </c>
      <c r="E475" s="543">
        <f t="shared" si="59"/>
        <v>2.3401780846778315E-2</v>
      </c>
      <c r="F475" s="375"/>
      <c r="G475" s="375"/>
      <c r="H475" s="375"/>
      <c r="I475" s="375"/>
    </row>
    <row r="476" spans="1:9" x14ac:dyDescent="0.25">
      <c r="A476" s="360"/>
      <c r="B476" s="398"/>
      <c r="C476" s="398"/>
      <c r="D476" s="398"/>
      <c r="E476" s="375"/>
      <c r="F476" s="375"/>
      <c r="G476" s="375"/>
      <c r="H476" s="375"/>
      <c r="I476" s="375"/>
    </row>
    <row r="477" spans="1:9" ht="16.5" thickBot="1" x14ac:dyDescent="0.3">
      <c r="A477" s="396" t="s">
        <v>400</v>
      </c>
      <c r="B477" s="399"/>
      <c r="C477" s="399"/>
      <c r="D477" s="399"/>
      <c r="E477" s="375"/>
      <c r="F477" s="375"/>
      <c r="G477" s="375"/>
      <c r="H477" s="375"/>
      <c r="I477" s="375"/>
    </row>
    <row r="478" spans="1:9" ht="31.5" x14ac:dyDescent="0.25">
      <c r="A478" s="537" t="s">
        <v>202</v>
      </c>
      <c r="B478" s="424" t="s">
        <v>252</v>
      </c>
      <c r="C478" s="424" t="s">
        <v>310</v>
      </c>
      <c r="D478" s="424" t="s">
        <v>203</v>
      </c>
      <c r="E478" s="426" t="s">
        <v>204</v>
      </c>
      <c r="F478" s="375"/>
      <c r="G478" s="375"/>
      <c r="H478" s="375"/>
      <c r="I478" s="375"/>
    </row>
    <row r="479" spans="1:9" x14ac:dyDescent="0.25">
      <c r="A479" s="538" t="s">
        <v>1</v>
      </c>
      <c r="B479" s="326">
        <f t="shared" ref="B479:B484" si="60">+C469</f>
        <v>11764831.49111288</v>
      </c>
      <c r="C479" s="326">
        <f t="shared" ref="C479:C484" si="61">+G4+(($G$14+$G$15)*(G4/$G$10))</f>
        <v>12893278.868786795</v>
      </c>
      <c r="D479" s="326">
        <f t="shared" ref="D479:D484" si="62">+C479-B479</f>
        <v>1128447.3776739147</v>
      </c>
      <c r="E479" s="542">
        <f t="shared" ref="E479:E485" si="63">+D479/B479</f>
        <v>9.5917003020939196E-2</v>
      </c>
      <c r="F479" s="375"/>
      <c r="G479" s="375"/>
      <c r="H479" s="375"/>
      <c r="I479" s="375"/>
    </row>
    <row r="480" spans="1:9" x14ac:dyDescent="0.25">
      <c r="A480" s="519" t="s">
        <v>194</v>
      </c>
      <c r="B480" s="397">
        <f t="shared" si="60"/>
        <v>3152285.7471669121</v>
      </c>
      <c r="C480" s="326">
        <f t="shared" si="61"/>
        <v>3401209.1359910946</v>
      </c>
      <c r="D480" s="326">
        <f t="shared" si="62"/>
        <v>248923.38882418256</v>
      </c>
      <c r="E480" s="542">
        <f t="shared" si="63"/>
        <v>7.8965997625025014E-2</v>
      </c>
      <c r="F480" s="375"/>
      <c r="G480" s="375"/>
      <c r="H480" s="375"/>
      <c r="I480" s="375"/>
    </row>
    <row r="481" spans="1:9" x14ac:dyDescent="0.25">
      <c r="A481" s="539" t="s">
        <v>208</v>
      </c>
      <c r="B481" s="397">
        <f t="shared" si="60"/>
        <v>4277867.7974223131</v>
      </c>
      <c r="C481" s="326">
        <f t="shared" si="61"/>
        <v>4903410.8445571046</v>
      </c>
      <c r="D481" s="326">
        <f t="shared" si="62"/>
        <v>625543.0471347915</v>
      </c>
      <c r="E481" s="542">
        <f t="shared" si="63"/>
        <v>0.14622776503559107</v>
      </c>
      <c r="F481" s="375"/>
      <c r="G481" s="375"/>
      <c r="H481" s="375"/>
      <c r="I481" s="375"/>
    </row>
    <row r="482" spans="1:9" x14ac:dyDescent="0.25">
      <c r="A482" s="519" t="s">
        <v>120</v>
      </c>
      <c r="B482" s="397">
        <f t="shared" si="60"/>
        <v>36363.154792266767</v>
      </c>
      <c r="C482" s="326">
        <f t="shared" si="61"/>
        <v>37505.457864514734</v>
      </c>
      <c r="D482" s="326">
        <f t="shared" si="62"/>
        <v>1142.3030722479671</v>
      </c>
      <c r="E482" s="542">
        <f t="shared" si="63"/>
        <v>3.1413750505797616E-2</v>
      </c>
      <c r="F482" s="375"/>
      <c r="G482" s="375"/>
      <c r="H482" s="375"/>
      <c r="I482" s="375"/>
    </row>
    <row r="483" spans="1:9" x14ac:dyDescent="0.25">
      <c r="A483" s="519" t="s">
        <v>195</v>
      </c>
      <c r="B483" s="397">
        <f t="shared" si="60"/>
        <v>207431.10741105836</v>
      </c>
      <c r="C483" s="326">
        <f t="shared" si="61"/>
        <v>222361.01345613092</v>
      </c>
      <c r="D483" s="326">
        <f t="shared" si="62"/>
        <v>14929.906045072566</v>
      </c>
      <c r="E483" s="542">
        <f t="shared" si="63"/>
        <v>7.197525111547777E-2</v>
      </c>
      <c r="F483" s="375"/>
      <c r="G483" s="375"/>
      <c r="H483" s="375"/>
      <c r="I483" s="375"/>
    </row>
    <row r="484" spans="1:9" x14ac:dyDescent="0.25">
      <c r="A484" s="519" t="s">
        <v>196</v>
      </c>
      <c r="B484" s="397">
        <f t="shared" si="60"/>
        <v>38845.972094568184</v>
      </c>
      <c r="C484" s="326">
        <f t="shared" si="61"/>
        <v>42376.158870762105</v>
      </c>
      <c r="D484" s="326">
        <f t="shared" si="62"/>
        <v>3530.1867761939211</v>
      </c>
      <c r="E484" s="542">
        <f t="shared" si="63"/>
        <v>9.0876520417609671E-2</v>
      </c>
      <c r="F484" s="375"/>
      <c r="G484" s="375"/>
      <c r="H484" s="375"/>
      <c r="I484" s="375"/>
    </row>
    <row r="485" spans="1:9" ht="16.5" thickBot="1" x14ac:dyDescent="0.3">
      <c r="A485" s="540" t="s">
        <v>12</v>
      </c>
      <c r="B485" s="541">
        <f>SUM(B479:B484)</f>
        <v>19477625.27</v>
      </c>
      <c r="C485" s="541">
        <f>SUM(C479:C484)</f>
        <v>21500141.479526401</v>
      </c>
      <c r="D485" s="541">
        <f>SUM(D479:D484)</f>
        <v>2022516.2095264031</v>
      </c>
      <c r="E485" s="543">
        <f t="shared" si="63"/>
        <v>0.10383792590165193</v>
      </c>
      <c r="F485" s="375"/>
      <c r="G485" s="375"/>
      <c r="H485" s="375"/>
      <c r="I485" s="375"/>
    </row>
    <row r="486" spans="1:9" x14ac:dyDescent="0.25">
      <c r="A486" s="360"/>
      <c r="B486" s="398"/>
      <c r="C486" s="398"/>
      <c r="D486" s="398"/>
      <c r="E486" s="375"/>
      <c r="F486" s="375"/>
      <c r="G486" s="375"/>
      <c r="H486" s="375"/>
      <c r="I486" s="375"/>
    </row>
    <row r="487" spans="1:9" ht="16.5" thickBot="1" x14ac:dyDescent="0.3">
      <c r="A487" s="396" t="s">
        <v>401</v>
      </c>
      <c r="B487" s="399"/>
      <c r="C487" s="399"/>
      <c r="D487" s="399"/>
      <c r="E487" s="375"/>
      <c r="F487" s="375"/>
      <c r="G487" s="375"/>
      <c r="H487" s="375"/>
      <c r="I487" s="375"/>
    </row>
    <row r="488" spans="1:9" ht="31.5" x14ac:dyDescent="0.25">
      <c r="A488" s="537" t="s">
        <v>202</v>
      </c>
      <c r="B488" s="424" t="s">
        <v>310</v>
      </c>
      <c r="C488" s="424" t="s">
        <v>318</v>
      </c>
      <c r="D488" s="424" t="s">
        <v>203</v>
      </c>
      <c r="E488" s="426" t="s">
        <v>204</v>
      </c>
      <c r="F488" s="375"/>
      <c r="G488" s="375"/>
      <c r="H488" s="375"/>
      <c r="I488" s="375"/>
    </row>
    <row r="489" spans="1:9" x14ac:dyDescent="0.25">
      <c r="A489" s="538" t="s">
        <v>1</v>
      </c>
      <c r="B489" s="326">
        <f t="shared" ref="B489:B494" si="64">+C479</f>
        <v>12893278.868786795</v>
      </c>
      <c r="C489" s="326">
        <f t="shared" ref="C489:C494" si="65">+I4</f>
        <v>15344319</v>
      </c>
      <c r="D489" s="326">
        <f t="shared" ref="D489:D494" si="66">+C489-B489</f>
        <v>2451040.1312132049</v>
      </c>
      <c r="E489" s="542">
        <f t="shared" ref="E489:E495" si="67">+D489/B489</f>
        <v>0.19010215757815513</v>
      </c>
      <c r="F489" s="375"/>
      <c r="G489" s="375"/>
      <c r="H489" s="375"/>
      <c r="I489" s="375"/>
    </row>
    <row r="490" spans="1:9" x14ac:dyDescent="0.25">
      <c r="A490" s="519" t="s">
        <v>194</v>
      </c>
      <c r="B490" s="397">
        <f t="shared" si="64"/>
        <v>3401209.1359910946</v>
      </c>
      <c r="C490" s="326">
        <f t="shared" si="65"/>
        <v>3782036</v>
      </c>
      <c r="D490" s="326">
        <f t="shared" si="66"/>
        <v>380826.86400890537</v>
      </c>
      <c r="E490" s="542">
        <f t="shared" si="67"/>
        <v>0.11196808216791244</v>
      </c>
      <c r="F490" s="375"/>
      <c r="G490" s="375"/>
      <c r="H490" s="375"/>
      <c r="I490" s="375"/>
    </row>
    <row r="491" spans="1:9" x14ac:dyDescent="0.25">
      <c r="A491" s="539" t="s">
        <v>208</v>
      </c>
      <c r="B491" s="397">
        <f t="shared" si="64"/>
        <v>4903410.8445571046</v>
      </c>
      <c r="C491" s="326">
        <f t="shared" si="65"/>
        <v>5517875</v>
      </c>
      <c r="D491" s="326">
        <f t="shared" si="66"/>
        <v>614464.15544289537</v>
      </c>
      <c r="E491" s="542">
        <f t="shared" si="67"/>
        <v>0.12531361840196692</v>
      </c>
      <c r="F491" s="375"/>
      <c r="G491" s="375"/>
      <c r="H491" s="375"/>
      <c r="I491" s="375"/>
    </row>
    <row r="492" spans="1:9" x14ac:dyDescent="0.25">
      <c r="A492" s="519" t="s">
        <v>120</v>
      </c>
      <c r="B492" s="397">
        <f t="shared" si="64"/>
        <v>37505.457864514734</v>
      </c>
      <c r="C492" s="326">
        <f t="shared" si="65"/>
        <v>43448</v>
      </c>
      <c r="D492" s="326">
        <f t="shared" si="66"/>
        <v>5942.542135485266</v>
      </c>
      <c r="E492" s="542">
        <f t="shared" si="67"/>
        <v>0.15844472974979248</v>
      </c>
      <c r="F492" s="375"/>
      <c r="G492" s="375"/>
      <c r="H492" s="375"/>
      <c r="I492" s="375"/>
    </row>
    <row r="493" spans="1:9" x14ac:dyDescent="0.25">
      <c r="A493" s="519" t="s">
        <v>195</v>
      </c>
      <c r="B493" s="397">
        <f t="shared" si="64"/>
        <v>222361.01345613092</v>
      </c>
      <c r="C493" s="326">
        <f t="shared" si="65"/>
        <v>263810</v>
      </c>
      <c r="D493" s="326">
        <f t="shared" si="66"/>
        <v>41448.986543869076</v>
      </c>
      <c r="E493" s="542">
        <f t="shared" si="67"/>
        <v>0.18640401885039279</v>
      </c>
      <c r="F493" s="375"/>
      <c r="G493" s="375"/>
      <c r="H493" s="375"/>
      <c r="I493" s="375"/>
    </row>
    <row r="494" spans="1:9" x14ac:dyDescent="0.25">
      <c r="A494" s="519" t="s">
        <v>196</v>
      </c>
      <c r="B494" s="397">
        <f t="shared" si="64"/>
        <v>42376.158870762105</v>
      </c>
      <c r="C494" s="326">
        <f t="shared" si="65"/>
        <v>50446</v>
      </c>
      <c r="D494" s="326">
        <f t="shared" si="66"/>
        <v>8069.8411292378951</v>
      </c>
      <c r="E494" s="542">
        <f t="shared" si="67"/>
        <v>0.19043352074096953</v>
      </c>
      <c r="F494" s="375"/>
      <c r="G494" s="375"/>
      <c r="H494" s="375"/>
      <c r="I494" s="375"/>
    </row>
    <row r="495" spans="1:9" ht="16.5" thickBot="1" x14ac:dyDescent="0.3">
      <c r="A495" s="540" t="s">
        <v>12</v>
      </c>
      <c r="B495" s="541">
        <f>SUM(B489:B494)</f>
        <v>21500141.479526401</v>
      </c>
      <c r="C495" s="541">
        <f>SUM(C489:C494)</f>
        <v>25001934</v>
      </c>
      <c r="D495" s="541">
        <f>SUM(D489:D494)</f>
        <v>3501792.520473598</v>
      </c>
      <c r="E495" s="543">
        <f t="shared" si="67"/>
        <v>0.16287299894320206</v>
      </c>
      <c r="F495" s="375"/>
      <c r="G495" s="375"/>
      <c r="H495" s="375"/>
      <c r="I495" s="375"/>
    </row>
    <row r="496" spans="1:9" x14ac:dyDescent="0.25">
      <c r="A496" s="360"/>
      <c r="B496" s="398"/>
      <c r="C496" s="398"/>
      <c r="D496" s="398"/>
      <c r="E496" s="375"/>
      <c r="F496" s="375"/>
      <c r="G496" s="375"/>
      <c r="H496" s="375"/>
      <c r="I496" s="375"/>
    </row>
    <row r="497" spans="1:9" ht="16.5" thickBot="1" x14ac:dyDescent="0.3">
      <c r="A497" s="403" t="s">
        <v>402</v>
      </c>
      <c r="B497" s="544"/>
      <c r="C497" s="544"/>
      <c r="D497" s="544"/>
      <c r="E497" s="375"/>
      <c r="F497" s="375"/>
      <c r="G497" s="375"/>
      <c r="H497" s="375"/>
      <c r="I497" s="375"/>
    </row>
    <row r="498" spans="1:9" ht="31.5" x14ac:dyDescent="0.25">
      <c r="A498" s="537" t="s">
        <v>205</v>
      </c>
      <c r="B498" s="545" t="s">
        <v>309</v>
      </c>
      <c r="C498" s="545" t="s">
        <v>249</v>
      </c>
      <c r="D498" s="546" t="s">
        <v>203</v>
      </c>
      <c r="E498" s="426" t="s">
        <v>204</v>
      </c>
      <c r="F498" s="375"/>
      <c r="G498" s="375"/>
      <c r="H498" s="375"/>
      <c r="I498" s="375"/>
    </row>
    <row r="499" spans="1:9" x14ac:dyDescent="0.25">
      <c r="A499" s="538" t="s">
        <v>206</v>
      </c>
      <c r="B499" s="402">
        <f>+B23</f>
        <v>170100</v>
      </c>
      <c r="C499" s="402">
        <f>+C23</f>
        <v>193432.19</v>
      </c>
      <c r="D499" s="400">
        <f>+C499-B499</f>
        <v>23332.190000000002</v>
      </c>
      <c r="E499" s="542">
        <f>+D499/B499</f>
        <v>0.13716748971193418</v>
      </c>
      <c r="F499" s="375"/>
      <c r="G499" s="375"/>
      <c r="H499" s="375"/>
      <c r="I499" s="375"/>
    </row>
    <row r="500" spans="1:9" x14ac:dyDescent="0.25">
      <c r="A500" s="519" t="s">
        <v>197</v>
      </c>
      <c r="B500" s="402">
        <f>+B22</f>
        <v>259000</v>
      </c>
      <c r="C500" s="402">
        <f>+C22</f>
        <v>221083.59</v>
      </c>
      <c r="D500" s="400">
        <f>+C500-B500</f>
        <v>-37916.410000000003</v>
      </c>
      <c r="E500" s="542">
        <f>+D500/B500</f>
        <v>-0.14639540540540541</v>
      </c>
      <c r="F500" s="375"/>
      <c r="G500" s="375"/>
      <c r="H500" s="375"/>
      <c r="I500" s="375"/>
    </row>
    <row r="501" spans="1:9" x14ac:dyDescent="0.25">
      <c r="A501" s="539" t="s">
        <v>199</v>
      </c>
      <c r="B501" s="402">
        <f>+B24</f>
        <v>2216297</v>
      </c>
      <c r="C501" s="402">
        <f>+C24</f>
        <v>2040128.02</v>
      </c>
      <c r="D501" s="400">
        <f>+C501-B501</f>
        <v>-176168.97999999998</v>
      </c>
      <c r="E501" s="542">
        <f>+D501/B501</f>
        <v>-7.9487983785566638E-2</v>
      </c>
      <c r="F501" s="375"/>
      <c r="G501" s="375"/>
      <c r="H501" s="375"/>
      <c r="I501" s="375"/>
    </row>
    <row r="502" spans="1:9" x14ac:dyDescent="0.25">
      <c r="A502" s="519" t="s">
        <v>200</v>
      </c>
      <c r="B502" s="402">
        <f>+B25</f>
        <v>132500</v>
      </c>
      <c r="C502" s="402">
        <f>+C25</f>
        <v>713169.4700000002</v>
      </c>
      <c r="D502" s="400">
        <f>+C502-B502</f>
        <v>580669.4700000002</v>
      </c>
      <c r="E502" s="542">
        <f>+D502/B502</f>
        <v>4.3824110943396244</v>
      </c>
      <c r="F502" s="375"/>
      <c r="G502" s="375"/>
      <c r="H502" s="375"/>
      <c r="I502" s="375"/>
    </row>
    <row r="503" spans="1:9" ht="16.5" thickBot="1" x14ac:dyDescent="0.3">
      <c r="A503" s="540" t="s">
        <v>12</v>
      </c>
      <c r="B503" s="541">
        <f>SUM(B499:B502)</f>
        <v>2777897</v>
      </c>
      <c r="C503" s="541">
        <f>SUM(C499:C502)</f>
        <v>3167813.27</v>
      </c>
      <c r="D503" s="541">
        <f>SUM(D499:D502)</f>
        <v>389916.27000000025</v>
      </c>
      <c r="E503" s="543">
        <f>+D503/B503</f>
        <v>0.14036383278429698</v>
      </c>
      <c r="F503" s="375"/>
      <c r="G503" s="375"/>
      <c r="H503" s="375"/>
      <c r="I503" s="375"/>
    </row>
    <row r="504" spans="1:9" x14ac:dyDescent="0.25">
      <c r="A504" s="360"/>
      <c r="B504" s="398"/>
      <c r="C504" s="398"/>
      <c r="D504" s="398"/>
      <c r="E504" s="375"/>
      <c r="F504" s="375"/>
      <c r="G504" s="375"/>
      <c r="H504" s="375"/>
      <c r="I504" s="375"/>
    </row>
    <row r="505" spans="1:9" ht="16.5" thickBot="1" x14ac:dyDescent="0.3">
      <c r="A505" s="396" t="s">
        <v>403</v>
      </c>
      <c r="B505" s="399"/>
      <c r="C505" s="399"/>
      <c r="D505" s="399"/>
      <c r="E505" s="375"/>
      <c r="F505" s="375"/>
      <c r="G505" s="375"/>
      <c r="H505" s="375"/>
      <c r="I505" s="375"/>
    </row>
    <row r="506" spans="1:9" x14ac:dyDescent="0.25">
      <c r="A506" s="537" t="s">
        <v>205</v>
      </c>
      <c r="B506" s="545" t="s">
        <v>249</v>
      </c>
      <c r="C506" s="545" t="s">
        <v>250</v>
      </c>
      <c r="D506" s="546" t="s">
        <v>203</v>
      </c>
      <c r="E506" s="426" t="s">
        <v>204</v>
      </c>
      <c r="F506" s="375"/>
      <c r="G506" s="375"/>
      <c r="H506" s="375"/>
      <c r="I506" s="375"/>
    </row>
    <row r="507" spans="1:9" x14ac:dyDescent="0.25">
      <c r="A507" s="538" t="s">
        <v>206</v>
      </c>
      <c r="B507" s="402">
        <f>+C499</f>
        <v>193432.19</v>
      </c>
      <c r="C507" s="402">
        <f>+D23</f>
        <v>161185.42000000001</v>
      </c>
      <c r="D507" s="400">
        <f>+C507-B507</f>
        <v>-32246.76999999999</v>
      </c>
      <c r="E507" s="542">
        <f>+D507/B507</f>
        <v>-0.16670839532965009</v>
      </c>
      <c r="F507" s="375"/>
      <c r="G507" s="375"/>
      <c r="H507" s="375"/>
      <c r="I507" s="375"/>
    </row>
    <row r="508" spans="1:9" x14ac:dyDescent="0.25">
      <c r="A508" s="519" t="s">
        <v>197</v>
      </c>
      <c r="B508" s="402">
        <f>+C500</f>
        <v>221083.59</v>
      </c>
      <c r="C508" s="402">
        <f>+D22</f>
        <v>173678.62000000002</v>
      </c>
      <c r="D508" s="400">
        <f>+C508-B508</f>
        <v>-47404.969999999972</v>
      </c>
      <c r="E508" s="542">
        <f>+D508/B508</f>
        <v>-0.21442102509733976</v>
      </c>
      <c r="F508" s="375"/>
      <c r="G508" s="375"/>
      <c r="H508" s="375"/>
      <c r="I508" s="375"/>
    </row>
    <row r="509" spans="1:9" x14ac:dyDescent="0.25">
      <c r="A509" s="539" t="s">
        <v>199</v>
      </c>
      <c r="B509" s="402">
        <f>+C501</f>
        <v>2040128.02</v>
      </c>
      <c r="C509" s="402">
        <f>+D24</f>
        <v>2271708.5299999998</v>
      </c>
      <c r="D509" s="400">
        <f>+C509-B509</f>
        <v>231580.50999999978</v>
      </c>
      <c r="E509" s="542">
        <f>+D509/B509</f>
        <v>0.11351273436262092</v>
      </c>
      <c r="F509" s="375"/>
      <c r="G509" s="375"/>
      <c r="H509" s="375"/>
      <c r="I509" s="375"/>
    </row>
    <row r="510" spans="1:9" x14ac:dyDescent="0.25">
      <c r="A510" s="519" t="s">
        <v>200</v>
      </c>
      <c r="B510" s="402">
        <f>+C502</f>
        <v>713169.4700000002</v>
      </c>
      <c r="C510" s="402">
        <f>+D25</f>
        <v>97888.149999999965</v>
      </c>
      <c r="D510" s="400">
        <f>+C510-B510</f>
        <v>-615281.3200000003</v>
      </c>
      <c r="E510" s="542">
        <f>+D510/B510</f>
        <v>-0.86274209130124446</v>
      </c>
      <c r="F510" s="375"/>
      <c r="G510" s="375"/>
      <c r="H510" s="375"/>
      <c r="I510" s="375"/>
    </row>
    <row r="511" spans="1:9" ht="16.5" thickBot="1" x14ac:dyDescent="0.3">
      <c r="A511" s="540" t="s">
        <v>12</v>
      </c>
      <c r="B511" s="541">
        <f>SUM(B507:B510)</f>
        <v>3167813.27</v>
      </c>
      <c r="C511" s="541">
        <f>SUM(C507:C510)</f>
        <v>2704460.7199999997</v>
      </c>
      <c r="D511" s="541">
        <f>SUM(D507:D510)</f>
        <v>-463352.55000000051</v>
      </c>
      <c r="E511" s="543">
        <f>+D511/B511</f>
        <v>-0.14626889608300697</v>
      </c>
      <c r="F511" s="375"/>
      <c r="G511" s="375"/>
      <c r="H511" s="375"/>
      <c r="I511" s="375"/>
    </row>
    <row r="512" spans="1:9" x14ac:dyDescent="0.25">
      <c r="A512" s="360"/>
      <c r="B512" s="398"/>
      <c r="C512" s="398"/>
      <c r="D512" s="398"/>
      <c r="E512" s="375"/>
      <c r="F512" s="375"/>
      <c r="G512" s="375"/>
      <c r="H512" s="375"/>
      <c r="I512" s="375"/>
    </row>
    <row r="513" spans="1:9" ht="16.5" thickBot="1" x14ac:dyDescent="0.3">
      <c r="A513" s="396" t="s">
        <v>404</v>
      </c>
      <c r="B513" s="399"/>
      <c r="C513" s="399"/>
      <c r="D513" s="399"/>
      <c r="E513" s="375"/>
      <c r="F513" s="375"/>
      <c r="G513" s="375"/>
      <c r="H513" s="375"/>
      <c r="I513" s="375"/>
    </row>
    <row r="514" spans="1:9" x14ac:dyDescent="0.25">
      <c r="A514" s="537" t="s">
        <v>205</v>
      </c>
      <c r="B514" s="545" t="s">
        <v>250</v>
      </c>
      <c r="C514" s="545" t="s">
        <v>251</v>
      </c>
      <c r="D514" s="546" t="s">
        <v>203</v>
      </c>
      <c r="E514" s="426" t="s">
        <v>204</v>
      </c>
      <c r="F514" s="375"/>
      <c r="G514" s="375"/>
      <c r="H514" s="375"/>
      <c r="I514" s="375"/>
    </row>
    <row r="515" spans="1:9" x14ac:dyDescent="0.25">
      <c r="A515" s="538" t="s">
        <v>206</v>
      </c>
      <c r="B515" s="402">
        <f>+C507</f>
        <v>161185.42000000001</v>
      </c>
      <c r="C515" s="402">
        <f>+E23</f>
        <v>128941.99000000002</v>
      </c>
      <c r="D515" s="400">
        <f>+C515-B515</f>
        <v>-32243.429999999993</v>
      </c>
      <c r="E515" s="542">
        <f>+D515/B515</f>
        <v>-0.20003937080661507</v>
      </c>
      <c r="F515" s="375"/>
      <c r="G515" s="375"/>
      <c r="H515" s="375"/>
      <c r="I515" s="375"/>
    </row>
    <row r="516" spans="1:9" x14ac:dyDescent="0.25">
      <c r="A516" s="519" t="s">
        <v>197</v>
      </c>
      <c r="B516" s="402">
        <f>+C508</f>
        <v>173678.62000000002</v>
      </c>
      <c r="C516" s="402">
        <f>+E22</f>
        <v>296113.99</v>
      </c>
      <c r="D516" s="400">
        <f>+C516-B516</f>
        <v>122435.36999999997</v>
      </c>
      <c r="E516" s="542">
        <f>+D516/B516</f>
        <v>0.70495360914314009</v>
      </c>
      <c r="F516" s="375"/>
      <c r="G516" s="375"/>
      <c r="H516" s="375"/>
      <c r="I516" s="375"/>
    </row>
    <row r="517" spans="1:9" x14ac:dyDescent="0.25">
      <c r="A517" s="539" t="s">
        <v>199</v>
      </c>
      <c r="B517" s="402">
        <f>+C509</f>
        <v>2271708.5299999998</v>
      </c>
      <c r="C517" s="402">
        <f>+E24</f>
        <v>2305283.4900000002</v>
      </c>
      <c r="D517" s="400">
        <f>+C517-B517</f>
        <v>33574.960000000428</v>
      </c>
      <c r="E517" s="542">
        <f>+D517/B517</f>
        <v>1.4779607311682909E-2</v>
      </c>
      <c r="F517" s="375"/>
      <c r="G517" s="375"/>
      <c r="H517" s="375"/>
      <c r="I517" s="375"/>
    </row>
    <row r="518" spans="1:9" x14ac:dyDescent="0.25">
      <c r="A518" s="519" t="s">
        <v>200</v>
      </c>
      <c r="B518" s="402">
        <f>+C510</f>
        <v>97888.149999999965</v>
      </c>
      <c r="C518" s="402">
        <f>+E25</f>
        <v>166796.5700000003</v>
      </c>
      <c r="D518" s="400">
        <f>+C518-B518</f>
        <v>68908.420000000333</v>
      </c>
      <c r="E518" s="542">
        <f>+D518/B518</f>
        <v>0.70395058033071789</v>
      </c>
      <c r="F518" s="375"/>
      <c r="G518" s="375"/>
      <c r="H518" s="375"/>
      <c r="I518" s="375"/>
    </row>
    <row r="519" spans="1:9" ht="16.5" thickBot="1" x14ac:dyDescent="0.3">
      <c r="A519" s="540" t="s">
        <v>12</v>
      </c>
      <c r="B519" s="541">
        <f>SUM(B515:B518)</f>
        <v>2704460.7199999997</v>
      </c>
      <c r="C519" s="541">
        <f>SUM(C515:C518)</f>
        <v>2897136.0400000005</v>
      </c>
      <c r="D519" s="541">
        <f>SUM(D515:D518)</f>
        <v>192675.32000000073</v>
      </c>
      <c r="E519" s="543">
        <f>+D519/B519</f>
        <v>7.1243526879547631E-2</v>
      </c>
      <c r="F519" s="375"/>
      <c r="G519" s="375"/>
      <c r="H519" s="375"/>
      <c r="I519" s="375"/>
    </row>
    <row r="520" spans="1:9" x14ac:dyDescent="0.25">
      <c r="A520" s="360"/>
      <c r="B520" s="398"/>
      <c r="C520" s="398"/>
      <c r="D520" s="398"/>
      <c r="E520" s="375"/>
      <c r="F520" s="375"/>
      <c r="G520" s="375"/>
      <c r="H520" s="375"/>
      <c r="I520" s="375"/>
    </row>
    <row r="521" spans="1:9" ht="16.5" thickBot="1" x14ac:dyDescent="0.3">
      <c r="A521" s="396" t="s">
        <v>405</v>
      </c>
      <c r="B521" s="399"/>
      <c r="C521" s="399"/>
      <c r="D521" s="399"/>
      <c r="E521" s="375"/>
      <c r="F521" s="375"/>
      <c r="G521" s="375"/>
      <c r="H521" s="375"/>
      <c r="I521" s="375"/>
    </row>
    <row r="522" spans="1:9" x14ac:dyDescent="0.25">
      <c r="A522" s="537" t="s">
        <v>205</v>
      </c>
      <c r="B522" s="545" t="s">
        <v>251</v>
      </c>
      <c r="C522" s="545" t="s">
        <v>252</v>
      </c>
      <c r="D522" s="546" t="s">
        <v>203</v>
      </c>
      <c r="E522" s="426" t="s">
        <v>204</v>
      </c>
      <c r="F522" s="375"/>
      <c r="G522" s="375"/>
      <c r="H522" s="375"/>
      <c r="I522" s="375"/>
    </row>
    <row r="523" spans="1:9" x14ac:dyDescent="0.25">
      <c r="A523" s="538" t="s">
        <v>206</v>
      </c>
      <c r="B523" s="402">
        <f>+C515</f>
        <v>128941.99000000002</v>
      </c>
      <c r="C523" s="402">
        <f>+F23</f>
        <v>203119.23999999996</v>
      </c>
      <c r="D523" s="400">
        <f>+C523-B523</f>
        <v>74177.249999999942</v>
      </c>
      <c r="E523" s="542">
        <f>+D523/B523</f>
        <v>0.57527613774225084</v>
      </c>
      <c r="F523" s="375"/>
      <c r="G523" s="375"/>
      <c r="H523" s="375"/>
      <c r="I523" s="375"/>
    </row>
    <row r="524" spans="1:9" x14ac:dyDescent="0.25">
      <c r="A524" s="519" t="s">
        <v>197</v>
      </c>
      <c r="B524" s="402">
        <f>+C516</f>
        <v>296113.99</v>
      </c>
      <c r="C524" s="402">
        <f>+F22</f>
        <v>292123.75</v>
      </c>
      <c r="D524" s="400">
        <f>+C524-B524</f>
        <v>-3990.2399999999907</v>
      </c>
      <c r="E524" s="542">
        <f>+D524/B524</f>
        <v>-1.3475351164597089E-2</v>
      </c>
      <c r="F524" s="375"/>
      <c r="G524" s="375"/>
      <c r="H524" s="375"/>
      <c r="I524" s="375"/>
    </row>
    <row r="525" spans="1:9" x14ac:dyDescent="0.25">
      <c r="A525" s="539" t="s">
        <v>199</v>
      </c>
      <c r="B525" s="402">
        <f>+C517</f>
        <v>2305283.4900000002</v>
      </c>
      <c r="C525" s="402">
        <f>+F24</f>
        <v>2335540.63</v>
      </c>
      <c r="D525" s="400">
        <f>+C525-B525</f>
        <v>30257.139999999665</v>
      </c>
      <c r="E525" s="542">
        <f>+D525/B525</f>
        <v>1.3125127617167666E-2</v>
      </c>
      <c r="F525" s="375"/>
      <c r="G525" s="375"/>
      <c r="H525" s="375"/>
      <c r="I525" s="375"/>
    </row>
    <row r="526" spans="1:9" x14ac:dyDescent="0.25">
      <c r="A526" s="519" t="s">
        <v>200</v>
      </c>
      <c r="B526" s="402">
        <f>+C518</f>
        <v>166796.5700000003</v>
      </c>
      <c r="C526" s="402">
        <f>+F25</f>
        <v>-125603.86</v>
      </c>
      <c r="D526" s="400">
        <f>+C526-B526</f>
        <v>-292400.43000000028</v>
      </c>
      <c r="E526" s="542">
        <f>+D526/B526</f>
        <v>-1.753036228502779</v>
      </c>
      <c r="F526" s="375"/>
      <c r="G526" s="375"/>
      <c r="H526" s="375"/>
      <c r="I526" s="375"/>
    </row>
    <row r="527" spans="1:9" ht="16.5" thickBot="1" x14ac:dyDescent="0.3">
      <c r="A527" s="540" t="s">
        <v>12</v>
      </c>
      <c r="B527" s="541">
        <f>SUM(B523:B526)</f>
        <v>2897136.0400000005</v>
      </c>
      <c r="C527" s="541">
        <f>SUM(C523:C526)</f>
        <v>2705179.7600000002</v>
      </c>
      <c r="D527" s="541">
        <f>SUM(D523:D526)</f>
        <v>-191956.28000000067</v>
      </c>
      <c r="E527" s="543">
        <f>+D527/B527</f>
        <v>-6.6257254526439366E-2</v>
      </c>
      <c r="F527" s="375"/>
      <c r="G527" s="375"/>
      <c r="H527" s="375"/>
      <c r="I527" s="375"/>
    </row>
    <row r="528" spans="1:9" x14ac:dyDescent="0.25">
      <c r="A528" s="360"/>
      <c r="B528" s="375"/>
      <c r="C528" s="375"/>
      <c r="D528" s="375"/>
      <c r="E528" s="375"/>
      <c r="F528" s="375"/>
      <c r="G528" s="375"/>
      <c r="H528" s="375"/>
      <c r="I528" s="375"/>
    </row>
    <row r="529" spans="1:9" ht="16.5" thickBot="1" x14ac:dyDescent="0.3">
      <c r="A529" s="396" t="s">
        <v>406</v>
      </c>
      <c r="B529" s="388"/>
      <c r="C529" s="388"/>
      <c r="D529" s="388"/>
      <c r="E529" s="375"/>
      <c r="F529" s="375"/>
      <c r="G529" s="375"/>
      <c r="H529" s="375"/>
      <c r="I529" s="375"/>
    </row>
    <row r="530" spans="1:9" x14ac:dyDescent="0.25">
      <c r="A530" s="537" t="s">
        <v>205</v>
      </c>
      <c r="B530" s="545" t="s">
        <v>252</v>
      </c>
      <c r="C530" s="545" t="s">
        <v>310</v>
      </c>
      <c r="D530" s="546" t="s">
        <v>203</v>
      </c>
      <c r="E530" s="426" t="s">
        <v>204</v>
      </c>
      <c r="F530" s="375"/>
      <c r="G530" s="375"/>
      <c r="H530" s="375"/>
      <c r="I530" s="375"/>
    </row>
    <row r="531" spans="1:9" x14ac:dyDescent="0.25">
      <c r="A531" s="538" t="s">
        <v>206</v>
      </c>
      <c r="B531" s="402">
        <f>+C523</f>
        <v>203119.23999999996</v>
      </c>
      <c r="C531" s="402">
        <f>+G23</f>
        <v>152700</v>
      </c>
      <c r="D531" s="400">
        <f>+C531-B531</f>
        <v>-50419.239999999962</v>
      </c>
      <c r="E531" s="542">
        <f>+D531/B531</f>
        <v>-0.2482248358156518</v>
      </c>
      <c r="F531" s="375"/>
      <c r="G531" s="375"/>
      <c r="H531" s="375"/>
      <c r="I531" s="375"/>
    </row>
    <row r="532" spans="1:9" x14ac:dyDescent="0.25">
      <c r="A532" s="519" t="s">
        <v>197</v>
      </c>
      <c r="B532" s="402">
        <f>+C524</f>
        <v>292123.75</v>
      </c>
      <c r="C532" s="402">
        <f>+G22</f>
        <v>220000</v>
      </c>
      <c r="D532" s="400">
        <f>+C532-B532</f>
        <v>-72123.75</v>
      </c>
      <c r="E532" s="542">
        <f>+D532/B532</f>
        <v>-0.24689450960423451</v>
      </c>
      <c r="F532" s="375"/>
      <c r="G532" s="375"/>
      <c r="H532" s="375"/>
      <c r="I532" s="375"/>
    </row>
    <row r="533" spans="1:9" x14ac:dyDescent="0.25">
      <c r="A533" s="539" t="s">
        <v>199</v>
      </c>
      <c r="B533" s="402">
        <f>+C525</f>
        <v>2335540.63</v>
      </c>
      <c r="C533" s="402">
        <f>+G24</f>
        <v>2159421.54</v>
      </c>
      <c r="D533" s="400">
        <f>+C533-B533</f>
        <v>-176119.08999999985</v>
      </c>
      <c r="E533" s="542">
        <f>+D533/B533</f>
        <v>-7.5408274956877908E-2</v>
      </c>
      <c r="F533" s="375"/>
      <c r="G533" s="375"/>
      <c r="H533" s="375"/>
      <c r="I533" s="375"/>
    </row>
    <row r="534" spans="1:9" x14ac:dyDescent="0.25">
      <c r="A534" s="519" t="s">
        <v>200</v>
      </c>
      <c r="B534" s="402">
        <f>+C526</f>
        <v>-125603.86</v>
      </c>
      <c r="C534" s="402">
        <f>+G25</f>
        <v>120000</v>
      </c>
      <c r="D534" s="400">
        <f>+C534-B534</f>
        <v>245603.86</v>
      </c>
      <c r="E534" s="542">
        <f>+D534/B534</f>
        <v>-1.9553846513952675</v>
      </c>
      <c r="F534" s="375"/>
      <c r="G534" s="375"/>
      <c r="H534" s="375"/>
      <c r="I534" s="375"/>
    </row>
    <row r="535" spans="1:9" ht="16.5" thickBot="1" x14ac:dyDescent="0.3">
      <c r="A535" s="540" t="s">
        <v>12</v>
      </c>
      <c r="B535" s="541">
        <f>SUM(B531:B534)</f>
        <v>2705179.7600000002</v>
      </c>
      <c r="C535" s="541">
        <f>SUM(C531:C534)</f>
        <v>2652121.54</v>
      </c>
      <c r="D535" s="541">
        <f>SUM(D531:D534)</f>
        <v>-53058.219999999856</v>
      </c>
      <c r="E535" s="543">
        <f>+D535/B535</f>
        <v>-1.9613565347686858E-2</v>
      </c>
      <c r="F535" s="375"/>
      <c r="G535" s="375"/>
      <c r="H535" s="375"/>
      <c r="I535" s="375"/>
    </row>
    <row r="536" spans="1:9" x14ac:dyDescent="0.25">
      <c r="A536" s="360"/>
      <c r="B536" s="375"/>
      <c r="C536" s="375"/>
      <c r="D536" s="375"/>
      <c r="E536" s="375"/>
      <c r="F536" s="375"/>
      <c r="G536" s="375"/>
      <c r="H536" s="375"/>
      <c r="I536" s="375"/>
    </row>
    <row r="537" spans="1:9" ht="16.5" thickBot="1" x14ac:dyDescent="0.3">
      <c r="A537" s="396" t="s">
        <v>407</v>
      </c>
      <c r="B537" s="388"/>
      <c r="C537" s="388"/>
      <c r="D537" s="388"/>
      <c r="E537" s="375"/>
      <c r="F537" s="375"/>
      <c r="G537" s="375"/>
      <c r="H537" s="375"/>
      <c r="I537" s="375"/>
    </row>
    <row r="538" spans="1:9" x14ac:dyDescent="0.25">
      <c r="A538" s="537" t="s">
        <v>205</v>
      </c>
      <c r="B538" s="545" t="s">
        <v>310</v>
      </c>
      <c r="C538" s="545" t="s">
        <v>318</v>
      </c>
      <c r="D538" s="546" t="s">
        <v>203</v>
      </c>
      <c r="E538" s="426" t="s">
        <v>204</v>
      </c>
      <c r="F538" s="375"/>
      <c r="G538" s="375"/>
      <c r="H538" s="375"/>
      <c r="I538" s="375"/>
    </row>
    <row r="539" spans="1:9" x14ac:dyDescent="0.25">
      <c r="A539" s="538" t="s">
        <v>206</v>
      </c>
      <c r="B539" s="402">
        <f>+C531</f>
        <v>152700</v>
      </c>
      <c r="C539" s="402">
        <f>+I23</f>
        <v>155754</v>
      </c>
      <c r="D539" s="400">
        <f>+C539-B539</f>
        <v>3054</v>
      </c>
      <c r="E539" s="542">
        <f>+D539/B539</f>
        <v>0.02</v>
      </c>
      <c r="F539" s="375"/>
      <c r="G539" s="375"/>
      <c r="H539" s="375"/>
      <c r="I539" s="375"/>
    </row>
    <row r="540" spans="1:9" x14ac:dyDescent="0.25">
      <c r="A540" s="519" t="s">
        <v>197</v>
      </c>
      <c r="B540" s="402">
        <f>+C532</f>
        <v>220000</v>
      </c>
      <c r="C540" s="402">
        <f>+I22</f>
        <v>230292.06666666671</v>
      </c>
      <c r="D540" s="400">
        <f>+C540-B540</f>
        <v>10292.066666666709</v>
      </c>
      <c r="E540" s="542">
        <f>+D540/B540</f>
        <v>4.6782121212121407E-2</v>
      </c>
      <c r="F540" s="375"/>
      <c r="G540" s="375"/>
      <c r="H540" s="375"/>
      <c r="I540" s="375"/>
    </row>
    <row r="541" spans="1:9" x14ac:dyDescent="0.25">
      <c r="A541" s="539" t="s">
        <v>199</v>
      </c>
      <c r="B541" s="402">
        <f>+C533</f>
        <v>2159421.54</v>
      </c>
      <c r="C541" s="402">
        <f>+I24</f>
        <v>2235819</v>
      </c>
      <c r="D541" s="400">
        <f>+C541-B541</f>
        <v>76397.459999999963</v>
      </c>
      <c r="E541" s="542">
        <f>+D541/B541</f>
        <v>3.5378669048563793E-2</v>
      </c>
      <c r="F541" s="375"/>
      <c r="G541" s="375"/>
      <c r="H541" s="375"/>
      <c r="I541" s="375"/>
    </row>
    <row r="542" spans="1:9" x14ac:dyDescent="0.25">
      <c r="A542" s="519" t="s">
        <v>200</v>
      </c>
      <c r="B542" s="402">
        <f>+C534</f>
        <v>120000</v>
      </c>
      <c r="C542" s="402">
        <f>+I25</f>
        <v>128399.86666666667</v>
      </c>
      <c r="D542" s="400">
        <f>+C542-B542</f>
        <v>8399.8666666666686</v>
      </c>
      <c r="E542" s="542">
        <f>+D542/B542</f>
        <v>6.9998888888888902E-2</v>
      </c>
      <c r="F542" s="375"/>
      <c r="G542" s="375"/>
      <c r="H542" s="375"/>
      <c r="I542" s="375"/>
    </row>
    <row r="543" spans="1:9" ht="16.5" thickBot="1" x14ac:dyDescent="0.3">
      <c r="A543" s="540" t="s">
        <v>12</v>
      </c>
      <c r="B543" s="541">
        <f>SUM(B539:B542)</f>
        <v>2652121.54</v>
      </c>
      <c r="C543" s="541">
        <f>SUM(C539:C542)</f>
        <v>2750264.9333333336</v>
      </c>
      <c r="D543" s="541">
        <f>SUM(D539:D542)</f>
        <v>98143.393333333341</v>
      </c>
      <c r="E543" s="543">
        <f>+D543/B543</f>
        <v>3.7005616768729738E-2</v>
      </c>
      <c r="F543" s="375"/>
      <c r="G543" s="375"/>
      <c r="H543" s="375"/>
      <c r="I543" s="375"/>
    </row>
    <row r="544" spans="1:9" x14ac:dyDescent="0.25">
      <c r="A544" s="360"/>
      <c r="B544" s="375"/>
      <c r="C544" s="375"/>
      <c r="D544" s="375"/>
      <c r="E544" s="375"/>
      <c r="F544" s="375"/>
      <c r="G544" s="375"/>
      <c r="H544" s="375"/>
      <c r="I544" s="375"/>
    </row>
    <row r="545" spans="1:9" ht="16.5" thickBot="1" x14ac:dyDescent="0.3">
      <c r="A545" s="403" t="s">
        <v>396</v>
      </c>
      <c r="B545" s="404"/>
      <c r="C545" s="404"/>
      <c r="D545" s="404"/>
      <c r="E545" s="404"/>
      <c r="F545" s="404"/>
      <c r="G545" s="404"/>
      <c r="H545" s="404"/>
    </row>
    <row r="546" spans="1:9" ht="37.5" x14ac:dyDescent="0.25">
      <c r="A546" s="534"/>
      <c r="B546" s="535" t="s">
        <v>309</v>
      </c>
      <c r="C546" s="535" t="str">
        <f>Summary!J3</f>
        <v>2018 Actual</v>
      </c>
      <c r="D546" s="535" t="str">
        <f>Summary!K3</f>
        <v>2019 Actual</v>
      </c>
      <c r="E546" s="535" t="str">
        <f>Summary!L3</f>
        <v>2020 Actual</v>
      </c>
      <c r="F546" s="535" t="str">
        <f>Summary!M3</f>
        <v>2021 Actual</v>
      </c>
      <c r="G546" s="535" t="str">
        <f>Summary!N3</f>
        <v>2022 Bridge Year</v>
      </c>
      <c r="H546" s="536" t="str">
        <f>Summary!O3</f>
        <v>2023 Test Year</v>
      </c>
      <c r="I546" s="356"/>
    </row>
    <row r="547" spans="1:9" ht="18.75" x14ac:dyDescent="0.25">
      <c r="A547" s="622" t="s">
        <v>9</v>
      </c>
      <c r="B547" s="623"/>
      <c r="C547" s="623"/>
      <c r="D547" s="623"/>
      <c r="E547" s="623"/>
      <c r="F547" s="623"/>
      <c r="G547" s="623"/>
      <c r="H547" s="624"/>
    </row>
    <row r="548" spans="1:9" x14ac:dyDescent="0.25">
      <c r="A548" s="469" t="s">
        <v>55</v>
      </c>
      <c r="B548" s="374"/>
      <c r="C548" s="374">
        <f>Summary!J4</f>
        <v>666736298.38999999</v>
      </c>
      <c r="D548" s="374">
        <f>Summary!K4</f>
        <v>660639513.94000006</v>
      </c>
      <c r="E548" s="374">
        <f>Summary!L4</f>
        <v>659068595.53012538</v>
      </c>
      <c r="F548" s="374">
        <f>Summary!M4</f>
        <v>647740936.70370293</v>
      </c>
      <c r="G548" s="374"/>
      <c r="H548" s="493"/>
    </row>
    <row r="549" spans="1:9" ht="12.75" customHeight="1" x14ac:dyDescent="0.25">
      <c r="A549" s="462" t="s">
        <v>184</v>
      </c>
      <c r="B549" s="374">
        <f>Summary!I5</f>
        <v>659159219.99909997</v>
      </c>
      <c r="C549" s="374">
        <f>Summary!J5</f>
        <v>684015773.32876098</v>
      </c>
      <c r="D549" s="374">
        <f>Summary!K5</f>
        <v>671082095.06483686</v>
      </c>
      <c r="E549" s="374">
        <f>Summary!L5</f>
        <v>647283484.79280627</v>
      </c>
      <c r="F549" s="374">
        <f>Summary!M5</f>
        <v>610764455.86947477</v>
      </c>
      <c r="G549" s="374">
        <f>Summary!N5</f>
        <v>630498751.71553993</v>
      </c>
      <c r="H549" s="493">
        <f>Summary!O5</f>
        <v>620948538.36945367</v>
      </c>
    </row>
    <row r="550" spans="1:9" ht="31.5" x14ac:dyDescent="0.25">
      <c r="A550" s="462" t="s">
        <v>185</v>
      </c>
      <c r="B550" s="377"/>
      <c r="C550" s="377">
        <f>(C549-C548)/C548</f>
        <v>2.5916505491731245E-2</v>
      </c>
      <c r="D550" s="377">
        <f>(D549-D548)/D548</f>
        <v>1.5806776471116755E-2</v>
      </c>
      <c r="E550" s="377">
        <f>(E549-E548)/E548</f>
        <v>-1.7881463048379197E-2</v>
      </c>
      <c r="F550" s="377">
        <f>(F549-F548)/F548</f>
        <v>-5.708529249733426E-2</v>
      </c>
      <c r="G550" s="377"/>
      <c r="H550" s="497"/>
    </row>
    <row r="551" spans="1:9" ht="8.1" customHeight="1" x14ac:dyDescent="0.25">
      <c r="A551" s="578"/>
      <c r="B551" s="579"/>
      <c r="C551" s="579"/>
      <c r="D551" s="579"/>
      <c r="E551" s="579"/>
      <c r="F551" s="579"/>
      <c r="G551" s="579"/>
      <c r="H551" s="593"/>
    </row>
    <row r="552" spans="1:9" x14ac:dyDescent="0.25">
      <c r="A552" s="525" t="s">
        <v>0</v>
      </c>
      <c r="B552" s="405"/>
      <c r="C552" s="372"/>
      <c r="D552" s="369"/>
      <c r="E552" s="369"/>
      <c r="F552" s="406"/>
      <c r="G552" s="407">
        <f>'Rate Class Energy Model'!F20</f>
        <v>1.0462</v>
      </c>
      <c r="H552" s="526">
        <f>G552</f>
        <v>1.0462</v>
      </c>
    </row>
    <row r="553" spans="1:9" ht="31.5" x14ac:dyDescent="0.25">
      <c r="A553" s="525" t="s">
        <v>186</v>
      </c>
      <c r="B553" s="374"/>
      <c r="C553" s="347"/>
      <c r="D553" s="374"/>
      <c r="E553" s="374"/>
      <c r="F553" s="374"/>
      <c r="G553" s="374">
        <f>G549/G552</f>
        <v>602656042.54974186</v>
      </c>
      <c r="H553" s="493">
        <f>H549/H552</f>
        <v>593527564.87235105</v>
      </c>
    </row>
    <row r="554" spans="1:9" x14ac:dyDescent="0.25">
      <c r="A554" s="525" t="s">
        <v>187</v>
      </c>
      <c r="B554" s="374"/>
      <c r="C554" s="347"/>
      <c r="D554" s="374"/>
      <c r="E554" s="374"/>
      <c r="F554" s="374"/>
      <c r="G554" s="374">
        <v>0</v>
      </c>
      <c r="H554" s="527">
        <v>0</v>
      </c>
    </row>
    <row r="555" spans="1:9" x14ac:dyDescent="0.25">
      <c r="A555" s="525" t="s">
        <v>188</v>
      </c>
      <c r="B555" s="374"/>
      <c r="C555" s="374">
        <f>Summary!J8</f>
        <v>633697926.79000008</v>
      </c>
      <c r="D555" s="374">
        <f>Summary!K8</f>
        <v>631945814.02999985</v>
      </c>
      <c r="E555" s="374">
        <f>Summary!L8</f>
        <v>631179703.67999995</v>
      </c>
      <c r="F555" s="374">
        <f>Summary!M8</f>
        <v>622536837.63999999</v>
      </c>
      <c r="G555" s="374">
        <f>G553-G554</f>
        <v>602656042.54974186</v>
      </c>
      <c r="H555" s="493">
        <f>H553-H554</f>
        <v>593527564.87235105</v>
      </c>
    </row>
    <row r="556" spans="1:9" ht="8.1" customHeight="1" x14ac:dyDescent="0.25">
      <c r="A556" s="578"/>
      <c r="B556" s="579"/>
      <c r="C556" s="579"/>
      <c r="D556" s="579"/>
      <c r="E556" s="579"/>
      <c r="F556" s="579"/>
      <c r="G556" s="579"/>
      <c r="H556" s="593"/>
    </row>
    <row r="557" spans="1:9" ht="18.75" x14ac:dyDescent="0.25">
      <c r="A557" s="622" t="s">
        <v>189</v>
      </c>
      <c r="B557" s="623"/>
      <c r="C557" s="623"/>
      <c r="D557" s="623"/>
      <c r="E557" s="623"/>
      <c r="F557" s="623"/>
      <c r="G557" s="623"/>
      <c r="H557" s="624"/>
    </row>
    <row r="558" spans="1:9" x14ac:dyDescent="0.25">
      <c r="A558" s="578" t="str">
        <f>$B$366</f>
        <v xml:space="preserve">Residential </v>
      </c>
      <c r="B558" s="579"/>
      <c r="C558" s="579"/>
      <c r="D558" s="579"/>
      <c r="E558" s="579"/>
      <c r="F558" s="579"/>
      <c r="G558" s="579"/>
      <c r="H558" s="593"/>
    </row>
    <row r="559" spans="1:9" x14ac:dyDescent="0.25">
      <c r="A559" s="327" t="s">
        <v>50</v>
      </c>
      <c r="B559" s="354">
        <f>Summary!I12</f>
        <v>29816</v>
      </c>
      <c r="C559" s="354">
        <f>Summary!J12</f>
        <v>29837</v>
      </c>
      <c r="D559" s="354">
        <f>Summary!K12</f>
        <v>29897</v>
      </c>
      <c r="E559" s="354">
        <f>Summary!L12</f>
        <v>30026</v>
      </c>
      <c r="F559" s="354">
        <f>Summary!M12</f>
        <v>30134</v>
      </c>
      <c r="G559" s="354">
        <f>Summary!N12</f>
        <v>30236.906716667905</v>
      </c>
      <c r="H559" s="475">
        <f>Summary!O12</f>
        <v>30340</v>
      </c>
    </row>
    <row r="560" spans="1:9" x14ac:dyDescent="0.25">
      <c r="A560" s="469" t="s">
        <v>51</v>
      </c>
      <c r="B560" s="354">
        <f>Summary!I13</f>
        <v>288323799</v>
      </c>
      <c r="C560" s="354">
        <f>Summary!J13</f>
        <v>295617650.5</v>
      </c>
      <c r="D560" s="354">
        <f>Summary!K13</f>
        <v>296035265.68000001</v>
      </c>
      <c r="E560" s="354">
        <f>Summary!L13</f>
        <v>298184962.97000003</v>
      </c>
      <c r="F560" s="354">
        <f>Summary!M13</f>
        <v>292492184.38</v>
      </c>
      <c r="G560" s="354">
        <f>Summary!N13</f>
        <v>281801295.07369024</v>
      </c>
      <c r="H560" s="475">
        <f>Summary!O13</f>
        <v>273629866.26848006</v>
      </c>
    </row>
    <row r="561" spans="1:10" ht="8.1" customHeight="1" x14ac:dyDescent="0.25">
      <c r="A561" s="578"/>
      <c r="B561" s="579"/>
      <c r="C561" s="579"/>
      <c r="D561" s="579"/>
      <c r="E561" s="579"/>
      <c r="F561" s="579"/>
      <c r="G561" s="579"/>
      <c r="H561" s="593"/>
      <c r="I561" s="356"/>
      <c r="J561" s="356"/>
    </row>
    <row r="562" spans="1:10" x14ac:dyDescent="0.25">
      <c r="A562" s="578" t="str">
        <f>$C$366</f>
        <v>General Service &lt; 50 kW</v>
      </c>
      <c r="B562" s="579"/>
      <c r="C562" s="579"/>
      <c r="D562" s="579"/>
      <c r="E562" s="579"/>
      <c r="F562" s="579"/>
      <c r="G562" s="579"/>
      <c r="H562" s="593"/>
      <c r="I562" s="356"/>
      <c r="J562" s="356"/>
    </row>
    <row r="563" spans="1:10" x14ac:dyDescent="0.25">
      <c r="A563" s="327" t="s">
        <v>50</v>
      </c>
      <c r="B563" s="354">
        <f>Summary!I17</f>
        <v>3431</v>
      </c>
      <c r="C563" s="354">
        <f>Summary!J17</f>
        <v>3414</v>
      </c>
      <c r="D563" s="354">
        <f>Summary!K17</f>
        <v>3388</v>
      </c>
      <c r="E563" s="354">
        <v>3355</v>
      </c>
      <c r="F563" s="354">
        <v>3423</v>
      </c>
      <c r="G563" s="354">
        <f>Summary!N17</f>
        <v>3396.8127786141727</v>
      </c>
      <c r="H563" s="475">
        <f>Summary!O17</f>
        <v>3400</v>
      </c>
    </row>
    <row r="564" spans="1:10" x14ac:dyDescent="0.25">
      <c r="A564" s="469" t="s">
        <v>51</v>
      </c>
      <c r="B564" s="354">
        <f>Summary!I18</f>
        <v>92411463</v>
      </c>
      <c r="C564" s="354">
        <f>Summary!J18</f>
        <v>92759999.25</v>
      </c>
      <c r="D564" s="354">
        <f>Summary!K18</f>
        <v>91718380.409999996</v>
      </c>
      <c r="E564" s="354">
        <v>84774528</v>
      </c>
      <c r="F564" s="354">
        <v>88569433</v>
      </c>
      <c r="G564" s="354">
        <f>Summary!N18</f>
        <v>86483996.46160832</v>
      </c>
      <c r="H564" s="475">
        <f>Summary!O18</f>
        <v>78837023.523271874</v>
      </c>
    </row>
    <row r="565" spans="1:10" ht="8.1" customHeight="1" x14ac:dyDescent="0.25">
      <c r="A565" s="578"/>
      <c r="B565" s="579"/>
      <c r="C565" s="579"/>
      <c r="D565" s="579"/>
      <c r="E565" s="579"/>
      <c r="F565" s="579"/>
      <c r="G565" s="579"/>
      <c r="H565" s="593"/>
    </row>
    <row r="566" spans="1:10" x14ac:dyDescent="0.25">
      <c r="A566" s="578" t="str">
        <f>$D$366</f>
        <v>General Service 50 to 4,999 kW</v>
      </c>
      <c r="B566" s="579"/>
      <c r="C566" s="579"/>
      <c r="D566" s="579"/>
      <c r="E566" s="579"/>
      <c r="F566" s="579"/>
      <c r="G566" s="579"/>
      <c r="H566" s="593"/>
    </row>
    <row r="567" spans="1:10" x14ac:dyDescent="0.25">
      <c r="A567" s="327" t="s">
        <v>50</v>
      </c>
      <c r="B567" s="354">
        <f>Summary!I22</f>
        <v>357</v>
      </c>
      <c r="C567" s="354">
        <f>Summary!J22</f>
        <v>362</v>
      </c>
      <c r="D567" s="354">
        <f>Summary!K22</f>
        <v>362</v>
      </c>
      <c r="E567" s="354">
        <v>370</v>
      </c>
      <c r="F567" s="354">
        <v>308</v>
      </c>
      <c r="G567" s="354">
        <f>Summary!N22</f>
        <v>348.35469751603625</v>
      </c>
      <c r="H567" s="475">
        <f>Summary!O22</f>
        <v>344</v>
      </c>
    </row>
    <row r="568" spans="1:10" x14ac:dyDescent="0.25">
      <c r="A568" s="469" t="s">
        <v>51</v>
      </c>
      <c r="B568" s="354">
        <f>Summary!I23</f>
        <v>244620697</v>
      </c>
      <c r="C568" s="354">
        <f>Summary!J23</f>
        <v>241817728.50999999</v>
      </c>
      <c r="D568" s="354">
        <f>Summary!K23</f>
        <v>240708315.94</v>
      </c>
      <c r="E568" s="354">
        <v>227128751</v>
      </c>
      <c r="F568" s="354">
        <v>219715371</v>
      </c>
      <c r="G568" s="354">
        <f>Summary!N23</f>
        <v>230833867.66429523</v>
      </c>
      <c r="H568" s="475">
        <f>Summary!O23</f>
        <v>219167959.43781471</v>
      </c>
    </row>
    <row r="569" spans="1:10" x14ac:dyDescent="0.25">
      <c r="A569" s="469" t="s">
        <v>52</v>
      </c>
      <c r="B569" s="354">
        <f>Summary!I24</f>
        <v>614743</v>
      </c>
      <c r="C569" s="354">
        <f>Summary!J24</f>
        <v>604548.71</v>
      </c>
      <c r="D569" s="354">
        <f>Summary!K24</f>
        <v>594559.68999999994</v>
      </c>
      <c r="E569" s="354">
        <f>Summary!L24</f>
        <v>546907.62</v>
      </c>
      <c r="F569" s="354">
        <f>Summary!M24</f>
        <v>536707</v>
      </c>
      <c r="G569" s="354">
        <f>Summary!N24</f>
        <v>570894.43770666083</v>
      </c>
      <c r="H569" s="475">
        <f>Summary!O24</f>
        <v>542042.50976088888</v>
      </c>
    </row>
    <row r="570" spans="1:10" ht="8.1" customHeight="1" x14ac:dyDescent="0.25">
      <c r="A570" s="578"/>
      <c r="B570" s="579"/>
      <c r="C570" s="579"/>
      <c r="D570" s="579"/>
      <c r="E570" s="579"/>
      <c r="F570" s="579"/>
      <c r="G570" s="579"/>
      <c r="H570" s="593"/>
    </row>
    <row r="571" spans="1:10" x14ac:dyDescent="0.25">
      <c r="A571" s="578" t="str">
        <f>$E$366</f>
        <v>Sentinel Lighting</v>
      </c>
      <c r="B571" s="579"/>
      <c r="C571" s="579"/>
      <c r="D571" s="579"/>
      <c r="E571" s="579"/>
      <c r="F571" s="579"/>
      <c r="G571" s="579"/>
      <c r="H571" s="593"/>
    </row>
    <row r="572" spans="1:10" x14ac:dyDescent="0.25">
      <c r="A572" s="327" t="s">
        <v>191</v>
      </c>
      <c r="B572" s="354">
        <f>Summary!I27</f>
        <v>354</v>
      </c>
      <c r="C572" s="354">
        <f>Summary!J27</f>
        <v>355</v>
      </c>
      <c r="D572" s="354">
        <f>Summary!K27</f>
        <v>350</v>
      </c>
      <c r="E572" s="354">
        <f>Summary!L27</f>
        <v>348</v>
      </c>
      <c r="F572" s="354">
        <f>Summary!M27</f>
        <v>330</v>
      </c>
      <c r="G572" s="354">
        <f>Summary!N27</f>
        <v>323.55098668062487</v>
      </c>
      <c r="H572" s="475">
        <f>Summary!O27</f>
        <v>317</v>
      </c>
    </row>
    <row r="573" spans="1:10" x14ac:dyDescent="0.25">
      <c r="A573" s="469" t="s">
        <v>51</v>
      </c>
      <c r="B573" s="354">
        <f>Summary!I28</f>
        <v>209800</v>
      </c>
      <c r="C573" s="354">
        <f>Summary!J28</f>
        <v>209110.61</v>
      </c>
      <c r="D573" s="354">
        <f>Summary!K28</f>
        <v>206826.03</v>
      </c>
      <c r="E573" s="354">
        <f>Summary!L28</f>
        <v>204139.6</v>
      </c>
      <c r="F573" s="354">
        <f>Summary!M28</f>
        <v>203610.79</v>
      </c>
      <c r="G573" s="354">
        <f>Summary!N28</f>
        <v>198665.79886182357</v>
      </c>
      <c r="H573" s="475">
        <f>Summary!O28</f>
        <v>193840.90419474596</v>
      </c>
    </row>
    <row r="574" spans="1:10" x14ac:dyDescent="0.25">
      <c r="A574" s="469" t="s">
        <v>52</v>
      </c>
      <c r="B574" s="354">
        <f>Summary!I29</f>
        <v>593</v>
      </c>
      <c r="C574" s="354">
        <f>Summary!J29</f>
        <v>611.82000000000005</v>
      </c>
      <c r="D574" s="354">
        <f>Summary!K29</f>
        <v>605.16</v>
      </c>
      <c r="E574" s="354">
        <f>Summary!L29</f>
        <v>597.52</v>
      </c>
      <c r="F574" s="354">
        <f>Summary!M29</f>
        <v>596.41</v>
      </c>
      <c r="G574" s="354">
        <f>Summary!N29</f>
        <v>580.3420126565635</v>
      </c>
      <c r="H574" s="475">
        <f>Summary!O29</f>
        <v>566.24754295926414</v>
      </c>
    </row>
    <row r="575" spans="1:10" ht="8.1" customHeight="1" x14ac:dyDescent="0.25">
      <c r="A575" s="578"/>
      <c r="B575" s="579"/>
      <c r="C575" s="579"/>
      <c r="D575" s="579"/>
      <c r="E575" s="579"/>
      <c r="F575" s="579"/>
      <c r="G575" s="579"/>
      <c r="H575" s="593"/>
    </row>
    <row r="576" spans="1:10" x14ac:dyDescent="0.25">
      <c r="A576" s="578" t="str">
        <f>$F$366</f>
        <v>Street Lights</v>
      </c>
      <c r="B576" s="579"/>
      <c r="C576" s="579"/>
      <c r="D576" s="579"/>
      <c r="E576" s="579"/>
      <c r="F576" s="579"/>
      <c r="G576" s="579"/>
      <c r="H576" s="593"/>
    </row>
    <row r="577" spans="1:21" x14ac:dyDescent="0.25">
      <c r="A577" s="327" t="s">
        <v>191</v>
      </c>
      <c r="B577" s="354">
        <f>Summary!I32</f>
        <v>8070</v>
      </c>
      <c r="C577" s="354">
        <f>Summary!J32</f>
        <v>8070</v>
      </c>
      <c r="D577" s="354">
        <f>Summary!K32</f>
        <v>8037</v>
      </c>
      <c r="E577" s="354">
        <f>Summary!L32</f>
        <v>8037</v>
      </c>
      <c r="F577" s="354">
        <f>Summary!M32</f>
        <v>8037</v>
      </c>
      <c r="G577" s="354">
        <f>Summary!N32</f>
        <v>8037</v>
      </c>
      <c r="H577" s="475">
        <f>Summary!O32</f>
        <v>8037</v>
      </c>
    </row>
    <row r="578" spans="1:21" x14ac:dyDescent="0.25">
      <c r="A578" s="469" t="s">
        <v>51</v>
      </c>
      <c r="B578" s="354">
        <f>Summary!I33</f>
        <v>2398221</v>
      </c>
      <c r="C578" s="354">
        <f>Summary!J33</f>
        <v>2398220.96</v>
      </c>
      <c r="D578" s="354">
        <f>Summary!K33</f>
        <v>2410545.9300000002</v>
      </c>
      <c r="E578" s="354">
        <f>Summary!L33</f>
        <v>2468996.65</v>
      </c>
      <c r="F578" s="354">
        <f>Summary!M33</f>
        <v>2459994.48</v>
      </c>
      <c r="G578" s="354">
        <f>Summary!N33</f>
        <v>2459994.48</v>
      </c>
      <c r="H578" s="475">
        <f>Summary!O33</f>
        <v>2459994.48</v>
      </c>
    </row>
    <row r="579" spans="1:21" x14ac:dyDescent="0.25">
      <c r="A579" s="469" t="s">
        <v>52</v>
      </c>
      <c r="B579" s="354">
        <f>Summary!I34</f>
        <v>7030</v>
      </c>
      <c r="C579" s="354">
        <f>Summary!J34</f>
        <v>7030.14</v>
      </c>
      <c r="D579" s="354">
        <f>Summary!K34</f>
        <v>7055.84</v>
      </c>
      <c r="E579" s="354">
        <f>Summary!L34</f>
        <v>7201.8</v>
      </c>
      <c r="F579" s="354">
        <f>Summary!M34</f>
        <v>7201.8</v>
      </c>
      <c r="G579" s="354">
        <f>Summary!N34</f>
        <v>7200.0649104265394</v>
      </c>
      <c r="H579" s="475">
        <f>Summary!O34</f>
        <v>7200.0649104265394</v>
      </c>
    </row>
    <row r="580" spans="1:21" ht="8.1" customHeight="1" x14ac:dyDescent="0.25">
      <c r="A580" s="578"/>
      <c r="B580" s="579"/>
      <c r="C580" s="579"/>
      <c r="D580" s="579"/>
      <c r="E580" s="579"/>
      <c r="F580" s="579"/>
      <c r="G580" s="579"/>
      <c r="H580" s="593"/>
    </row>
    <row r="581" spans="1:21" x14ac:dyDescent="0.25">
      <c r="A581" s="578" t="str">
        <f>$G$366</f>
        <v xml:space="preserve">Unmetered Scattered Load </v>
      </c>
      <c r="B581" s="579"/>
      <c r="C581" s="579"/>
      <c r="D581" s="579"/>
      <c r="E581" s="579"/>
      <c r="F581" s="579"/>
      <c r="G581" s="579"/>
      <c r="H581" s="593"/>
    </row>
    <row r="582" spans="1:21" x14ac:dyDescent="0.25">
      <c r="A582" s="327" t="s">
        <v>191</v>
      </c>
      <c r="B582" s="354">
        <f>Summary!I37</f>
        <v>22</v>
      </c>
      <c r="C582" s="354">
        <f>Summary!J37</f>
        <v>23</v>
      </c>
      <c r="D582" s="354">
        <f>Summary!K37</f>
        <v>23</v>
      </c>
      <c r="E582" s="354">
        <f>Summary!L37</f>
        <v>24</v>
      </c>
      <c r="F582" s="354">
        <f>Summary!M37</f>
        <v>24</v>
      </c>
      <c r="G582" s="354">
        <f>Summary!N37</f>
        <v>24.567276048890488</v>
      </c>
      <c r="H582" s="475">
        <f>Summary!O37</f>
        <v>25</v>
      </c>
    </row>
    <row r="583" spans="1:21" x14ac:dyDescent="0.25">
      <c r="A583" s="469" t="s">
        <v>51</v>
      </c>
      <c r="B583" s="354">
        <f>Summary!I38</f>
        <v>944731</v>
      </c>
      <c r="C583" s="354">
        <f>Summary!J38</f>
        <v>895216.96</v>
      </c>
      <c r="D583" s="354">
        <f>Summary!K38</f>
        <v>866480.04</v>
      </c>
      <c r="E583" s="354">
        <f>Summary!L38</f>
        <v>870821.18</v>
      </c>
      <c r="F583" s="354">
        <f>Summary!M38</f>
        <v>877917.99</v>
      </c>
      <c r="G583" s="354">
        <f>Summary!N38</f>
        <v>878223.07128615165</v>
      </c>
      <c r="H583" s="475">
        <f>Summary!O38</f>
        <v>878528.2585897129</v>
      </c>
    </row>
    <row r="584" spans="1:21" ht="8.1" customHeight="1" x14ac:dyDescent="0.25">
      <c r="A584" s="585"/>
      <c r="B584" s="586"/>
      <c r="C584" s="586"/>
      <c r="D584" s="586"/>
      <c r="E584" s="586"/>
      <c r="F584" s="586"/>
      <c r="G584" s="586"/>
      <c r="H584" s="587"/>
    </row>
    <row r="585" spans="1:21" x14ac:dyDescent="0.25">
      <c r="A585" s="578" t="s">
        <v>20</v>
      </c>
      <c r="B585" s="579"/>
      <c r="C585" s="579"/>
      <c r="D585" s="579"/>
      <c r="E585" s="579"/>
      <c r="F585" s="579"/>
      <c r="G585" s="579"/>
      <c r="H585" s="593"/>
    </row>
    <row r="586" spans="1:21" x14ac:dyDescent="0.25">
      <c r="A586" s="528" t="s">
        <v>54</v>
      </c>
      <c r="B586" s="408">
        <f>Summary!I41</f>
        <v>42050</v>
      </c>
      <c r="C586" s="408">
        <f>Summary!J41</f>
        <v>42061</v>
      </c>
      <c r="D586" s="408">
        <f>Summary!K41</f>
        <v>42057</v>
      </c>
      <c r="E586" s="408">
        <f>Summary!L41</f>
        <v>42183</v>
      </c>
      <c r="F586" s="408">
        <f>Summary!M41</f>
        <v>42272</v>
      </c>
      <c r="G586" s="408">
        <f>Summary!N41</f>
        <v>42367.192455527627</v>
      </c>
      <c r="H586" s="529">
        <f>Summary!O41</f>
        <v>42463</v>
      </c>
    </row>
    <row r="587" spans="1:21" x14ac:dyDescent="0.25">
      <c r="A587" s="530" t="s">
        <v>51</v>
      </c>
      <c r="B587" s="408">
        <f>Summary!I42</f>
        <v>628908711</v>
      </c>
      <c r="C587" s="408">
        <f>Summary!J42</f>
        <v>633697926.79000008</v>
      </c>
      <c r="D587" s="408">
        <f>Summary!K42</f>
        <v>631945814.02999985</v>
      </c>
      <c r="E587" s="408">
        <f>Summary!L42</f>
        <v>631179703.67999995</v>
      </c>
      <c r="F587" s="408">
        <f>Summary!M42</f>
        <v>622536837.63999999</v>
      </c>
      <c r="G587" s="408">
        <f>Summary!N42</f>
        <v>602656042.54974186</v>
      </c>
      <c r="H587" s="529">
        <f>Summary!O42</f>
        <v>575167212.87235105</v>
      </c>
    </row>
    <row r="588" spans="1:21" ht="16.5" thickBot="1" x14ac:dyDescent="0.3">
      <c r="A588" s="531" t="s">
        <v>190</v>
      </c>
      <c r="B588" s="532">
        <f>Summary!I43</f>
        <v>622366</v>
      </c>
      <c r="C588" s="532">
        <f>Summary!J43</f>
        <v>612190.66999999993</v>
      </c>
      <c r="D588" s="532">
        <f>Summary!K43</f>
        <v>602220.68999999994</v>
      </c>
      <c r="E588" s="532">
        <f>Summary!L43</f>
        <v>554706.94000000006</v>
      </c>
      <c r="F588" s="532">
        <f>Summary!M43</f>
        <v>544505.21000000008</v>
      </c>
      <c r="G588" s="532">
        <f>Summary!N43</f>
        <v>578674.84462974395</v>
      </c>
      <c r="H588" s="533">
        <f>Summary!O43</f>
        <v>549808.82221427467</v>
      </c>
    </row>
    <row r="589" spans="1:21" x14ac:dyDescent="0.25">
      <c r="A589" s="360"/>
      <c r="B589" s="375"/>
      <c r="C589" s="375"/>
      <c r="D589" s="375"/>
      <c r="E589" s="375"/>
      <c r="F589" s="375"/>
      <c r="G589" s="375"/>
      <c r="H589" s="375"/>
      <c r="I589" s="375"/>
      <c r="S589" s="373" t="s">
        <v>352</v>
      </c>
      <c r="T589" s="373"/>
    </row>
    <row r="590" spans="1:21" ht="16.5" thickBot="1" x14ac:dyDescent="0.3">
      <c r="A590" s="373" t="s">
        <v>408</v>
      </c>
      <c r="U590" s="373"/>
    </row>
    <row r="591" spans="1:21" ht="67.5" customHeight="1" x14ac:dyDescent="0.25">
      <c r="A591" s="478" t="s">
        <v>157</v>
      </c>
      <c r="B591" s="588" t="s">
        <v>158</v>
      </c>
      <c r="C591" s="589"/>
      <c r="D591" s="547" t="s">
        <v>159</v>
      </c>
      <c r="E591" s="588" t="s">
        <v>72</v>
      </c>
      <c r="F591" s="589"/>
      <c r="G591" s="588" t="s">
        <v>192</v>
      </c>
      <c r="H591" s="589"/>
      <c r="I591" s="588" t="s">
        <v>160</v>
      </c>
      <c r="J591" s="589"/>
      <c r="K591" s="588" t="s">
        <v>161</v>
      </c>
      <c r="L591" s="590"/>
    </row>
    <row r="592" spans="1:21" ht="19.5" customHeight="1" x14ac:dyDescent="0.25">
      <c r="A592" s="578" t="str">
        <f>F223</f>
        <v>Weather 
Normal Conversion 
Factor</v>
      </c>
      <c r="B592" s="579"/>
      <c r="C592" s="579"/>
      <c r="D592" s="579"/>
      <c r="E592" s="579"/>
      <c r="F592" s="580"/>
      <c r="H592" s="370">
        <f>$F$235</f>
        <v>0.98317907213233413</v>
      </c>
      <c r="I592" s="581"/>
      <c r="J592" s="581"/>
      <c r="K592" s="581"/>
      <c r="L592" s="582"/>
    </row>
    <row r="593" spans="1:14" ht="31.5" x14ac:dyDescent="0.25">
      <c r="A593" s="548"/>
      <c r="B593" s="409" t="s">
        <v>309</v>
      </c>
      <c r="C593" s="409" t="s">
        <v>249</v>
      </c>
      <c r="E593" s="409" t="str">
        <f>B593</f>
        <v>2018 Board Approved</v>
      </c>
      <c r="F593" s="409" t="str">
        <f>C593</f>
        <v>2018 Actual</v>
      </c>
      <c r="G593" s="409" t="str">
        <f t="shared" ref="G593:L593" si="68">E593</f>
        <v>2018 Board Approved</v>
      </c>
      <c r="H593" s="409" t="str">
        <f t="shared" si="68"/>
        <v>2018 Actual</v>
      </c>
      <c r="I593" s="409" t="str">
        <f t="shared" si="68"/>
        <v>2018 Board Approved</v>
      </c>
      <c r="J593" s="409" t="str">
        <f t="shared" si="68"/>
        <v>2018 Actual</v>
      </c>
      <c r="K593" s="409" t="str">
        <f t="shared" si="68"/>
        <v>2018 Board Approved</v>
      </c>
      <c r="L593" s="549" t="str">
        <f t="shared" si="68"/>
        <v>2018 Actual</v>
      </c>
    </row>
    <row r="594" spans="1:14" x14ac:dyDescent="0.25">
      <c r="A594" s="550" t="s">
        <v>1</v>
      </c>
      <c r="B594" s="408">
        <f>B559</f>
        <v>29816</v>
      </c>
      <c r="C594" s="408">
        <f>$C$559</f>
        <v>29837</v>
      </c>
      <c r="D594" s="410" t="s">
        <v>64</v>
      </c>
      <c r="E594" s="410">
        <f>B560</f>
        <v>288323799</v>
      </c>
      <c r="F594" s="410">
        <f>$C$560</f>
        <v>295617650.5</v>
      </c>
      <c r="G594" s="410">
        <f t="shared" ref="G594:G599" si="69">E594</f>
        <v>288323799</v>
      </c>
      <c r="H594" s="410">
        <f t="shared" ref="H594:H599" si="70">F594*$H$592</f>
        <v>290645087.32453066</v>
      </c>
      <c r="I594" s="410">
        <f t="shared" ref="I594:J599" si="71">E594/B594</f>
        <v>9670.103266702441</v>
      </c>
      <c r="J594" s="410">
        <f t="shared" si="71"/>
        <v>9907.7538123806007</v>
      </c>
      <c r="K594" s="410">
        <f t="shared" ref="K594:L599" si="72">G594/B594</f>
        <v>9670.103266702441</v>
      </c>
      <c r="L594" s="551">
        <f t="shared" si="72"/>
        <v>9741.0962001719563</v>
      </c>
    </row>
    <row r="595" spans="1:14" x14ac:dyDescent="0.25">
      <c r="A595" s="550" t="s">
        <v>105</v>
      </c>
      <c r="B595" s="408">
        <f>B563</f>
        <v>3431</v>
      </c>
      <c r="C595" s="408">
        <f>$C$563</f>
        <v>3414</v>
      </c>
      <c r="D595" s="410" t="s">
        <v>64</v>
      </c>
      <c r="E595" s="410">
        <f>B564</f>
        <v>92411463</v>
      </c>
      <c r="F595" s="410">
        <f>$C$564</f>
        <v>92759999.25</v>
      </c>
      <c r="G595" s="410">
        <f t="shared" si="69"/>
        <v>92411463</v>
      </c>
      <c r="H595" s="410">
        <f t="shared" si="70"/>
        <v>91199689.993611008</v>
      </c>
      <c r="I595" s="410">
        <f t="shared" si="71"/>
        <v>26934.264937336055</v>
      </c>
      <c r="J595" s="410">
        <f t="shared" si="71"/>
        <v>27170.474297012301</v>
      </c>
      <c r="K595" s="410">
        <f t="shared" si="72"/>
        <v>26934.264937336055</v>
      </c>
      <c r="L595" s="551">
        <f t="shared" si="72"/>
        <v>26713.441708731989</v>
      </c>
    </row>
    <row r="596" spans="1:14" x14ac:dyDescent="0.25">
      <c r="A596" s="539" t="s">
        <v>208</v>
      </c>
      <c r="B596" s="408">
        <f>B567</f>
        <v>357</v>
      </c>
      <c r="C596" s="408">
        <f>$C$567</f>
        <v>362</v>
      </c>
      <c r="D596" s="410" t="s">
        <v>65</v>
      </c>
      <c r="E596" s="410">
        <f>B569</f>
        <v>614743</v>
      </c>
      <c r="F596" s="410">
        <f>$C$569</f>
        <v>604548.71</v>
      </c>
      <c r="G596" s="410">
        <f t="shared" si="69"/>
        <v>614743</v>
      </c>
      <c r="H596" s="410">
        <f t="shared" si="70"/>
        <v>594379.63975659956</v>
      </c>
      <c r="I596" s="410">
        <f t="shared" si="71"/>
        <v>1721.9691876750701</v>
      </c>
      <c r="J596" s="410">
        <f t="shared" si="71"/>
        <v>1670.0240607734806</v>
      </c>
      <c r="K596" s="410">
        <f t="shared" si="72"/>
        <v>1721.9691876750701</v>
      </c>
      <c r="L596" s="551">
        <f t="shared" si="72"/>
        <v>1641.9327065099435</v>
      </c>
    </row>
    <row r="597" spans="1:14" x14ac:dyDescent="0.25">
      <c r="A597" s="550" t="s">
        <v>120</v>
      </c>
      <c r="B597" s="408">
        <f>B572</f>
        <v>354</v>
      </c>
      <c r="C597" s="408">
        <f>$C$572</f>
        <v>355</v>
      </c>
      <c r="D597" s="410" t="s">
        <v>65</v>
      </c>
      <c r="E597" s="410">
        <f>B574</f>
        <v>593</v>
      </c>
      <c r="F597" s="410">
        <f>$C$574</f>
        <v>611.82000000000005</v>
      </c>
      <c r="G597" s="410">
        <f t="shared" si="69"/>
        <v>593</v>
      </c>
      <c r="H597" s="410">
        <f t="shared" si="70"/>
        <v>601.52861991200473</v>
      </c>
      <c r="I597" s="410">
        <f t="shared" si="71"/>
        <v>1.6751412429378532</v>
      </c>
      <c r="J597" s="410">
        <f t="shared" si="71"/>
        <v>1.72343661971831</v>
      </c>
      <c r="K597" s="410">
        <f t="shared" si="72"/>
        <v>1.6751412429378532</v>
      </c>
      <c r="L597" s="551">
        <f t="shared" si="72"/>
        <v>1.6944468166535345</v>
      </c>
    </row>
    <row r="598" spans="1:14" x14ac:dyDescent="0.25">
      <c r="A598" s="550" t="s">
        <v>61</v>
      </c>
      <c r="B598" s="408">
        <f>B577</f>
        <v>8070</v>
      </c>
      <c r="C598" s="408">
        <f>$C$577</f>
        <v>8070</v>
      </c>
      <c r="D598" s="410" t="s">
        <v>65</v>
      </c>
      <c r="E598" s="410">
        <f>B579</f>
        <v>7030</v>
      </c>
      <c r="F598" s="410">
        <f>$C$579</f>
        <v>7030.14</v>
      </c>
      <c r="G598" s="410">
        <f t="shared" si="69"/>
        <v>7030</v>
      </c>
      <c r="H598" s="410">
        <f t="shared" si="70"/>
        <v>6911.8865221604074</v>
      </c>
      <c r="I598" s="410">
        <f t="shared" si="71"/>
        <v>0.87112763320941755</v>
      </c>
      <c r="J598" s="410">
        <f t="shared" si="71"/>
        <v>0.87114498141263941</v>
      </c>
      <c r="K598" s="410">
        <f t="shared" si="72"/>
        <v>0.87112763320941755</v>
      </c>
      <c r="L598" s="551">
        <f t="shared" si="72"/>
        <v>0.8564915145180183</v>
      </c>
    </row>
    <row r="599" spans="1:14" x14ac:dyDescent="0.25">
      <c r="A599" s="550" t="s">
        <v>121</v>
      </c>
      <c r="B599" s="408">
        <f>B582</f>
        <v>22</v>
      </c>
      <c r="C599" s="408">
        <f>$C$582</f>
        <v>23</v>
      </c>
      <c r="D599" s="410" t="s">
        <v>64</v>
      </c>
      <c r="E599" s="410">
        <f>B583</f>
        <v>944731</v>
      </c>
      <c r="F599" s="410">
        <f>$C$583</f>
        <v>895216.96</v>
      </c>
      <c r="G599" s="410">
        <f t="shared" si="69"/>
        <v>944731</v>
      </c>
      <c r="H599" s="410">
        <f t="shared" si="70"/>
        <v>880158.58008992882</v>
      </c>
      <c r="I599" s="410">
        <f t="shared" si="71"/>
        <v>42942.318181818184</v>
      </c>
      <c r="J599" s="410">
        <f t="shared" si="71"/>
        <v>38922.476521739132</v>
      </c>
      <c r="K599" s="410">
        <f t="shared" si="72"/>
        <v>42942.318181818184</v>
      </c>
      <c r="L599" s="551">
        <f t="shared" si="72"/>
        <v>38267.764351736034</v>
      </c>
    </row>
    <row r="600" spans="1:14" x14ac:dyDescent="0.25">
      <c r="A600" s="550" t="s">
        <v>12</v>
      </c>
      <c r="B600" s="408">
        <f>SUM(B594:B599)</f>
        <v>42050</v>
      </c>
      <c r="C600" s="408">
        <f>SUM(C594:C599)</f>
        <v>42061</v>
      </c>
      <c r="D600" s="411"/>
      <c r="E600" s="411"/>
      <c r="F600" s="411"/>
      <c r="G600" s="411"/>
      <c r="H600" s="411"/>
      <c r="I600" s="411"/>
      <c r="J600" s="411"/>
      <c r="K600" s="411"/>
      <c r="L600" s="552"/>
      <c r="N600" s="324">
        <f t="shared" ref="N600:N606" si="73">E602/E594</f>
        <v>2.5297431309165012E-2</v>
      </c>
    </row>
    <row r="601" spans="1:14" x14ac:dyDescent="0.25">
      <c r="A601" s="528"/>
      <c r="B601" s="583" t="s">
        <v>134</v>
      </c>
      <c r="C601" s="583"/>
      <c r="D601" s="412"/>
      <c r="E601" s="583" t="s">
        <v>134</v>
      </c>
      <c r="F601" s="583"/>
      <c r="G601" s="583" t="s">
        <v>134</v>
      </c>
      <c r="H601" s="583"/>
      <c r="I601" s="583" t="s">
        <v>134</v>
      </c>
      <c r="J601" s="583"/>
      <c r="K601" s="583" t="s">
        <v>134</v>
      </c>
      <c r="L601" s="584"/>
      <c r="N601" s="324">
        <f t="shared" si="73"/>
        <v>3.7715694426350547E-3</v>
      </c>
    </row>
    <row r="602" spans="1:14" x14ac:dyDescent="0.25">
      <c r="A602" s="553" t="s">
        <v>1</v>
      </c>
      <c r="B602" s="576">
        <f t="shared" ref="B602:B607" si="74">C594-B594</f>
        <v>21</v>
      </c>
      <c r="C602" s="576"/>
      <c r="D602" s="413" t="str">
        <f t="shared" ref="D602:D607" si="75">D594</f>
        <v>kWh</v>
      </c>
      <c r="E602" s="576">
        <f t="shared" ref="E602:E607" si="76">F594-E594</f>
        <v>7293851.5</v>
      </c>
      <c r="F602" s="576"/>
      <c r="G602" s="576">
        <f t="shared" ref="G602:G607" si="77">H594-G594</f>
        <v>2321288.3245306611</v>
      </c>
      <c r="H602" s="576"/>
      <c r="I602" s="576">
        <f t="shared" ref="I602:I607" si="78">J594-I594</f>
        <v>237.65054567815969</v>
      </c>
      <c r="J602" s="576"/>
      <c r="K602" s="576">
        <f t="shared" ref="K602:K607" si="79">L594-K594</f>
        <v>70.992933469515265</v>
      </c>
      <c r="L602" s="577"/>
      <c r="N602" s="324">
        <f t="shared" si="73"/>
        <v>-1.6583011111960668E-2</v>
      </c>
    </row>
    <row r="603" spans="1:14" x14ac:dyDescent="0.25">
      <c r="A603" s="553" t="s">
        <v>105</v>
      </c>
      <c r="B603" s="576">
        <f t="shared" si="74"/>
        <v>-17</v>
      </c>
      <c r="C603" s="576"/>
      <c r="D603" s="413" t="str">
        <f t="shared" si="75"/>
        <v>kWh</v>
      </c>
      <c r="E603" s="576">
        <f t="shared" si="76"/>
        <v>348536.25</v>
      </c>
      <c r="F603" s="576"/>
      <c r="G603" s="576">
        <f t="shared" si="77"/>
        <v>-1211773.0063889921</v>
      </c>
      <c r="H603" s="576"/>
      <c r="I603" s="576">
        <f t="shared" si="78"/>
        <v>236.20935967624609</v>
      </c>
      <c r="J603" s="576"/>
      <c r="K603" s="576">
        <f t="shared" si="79"/>
        <v>-220.82322860406566</v>
      </c>
      <c r="L603" s="577"/>
      <c r="N603" s="324">
        <f t="shared" si="73"/>
        <v>3.1736930860033812E-2</v>
      </c>
    </row>
    <row r="604" spans="1:14" x14ac:dyDescent="0.25">
      <c r="A604" s="539" t="s">
        <v>208</v>
      </c>
      <c r="B604" s="576">
        <f t="shared" si="74"/>
        <v>5</v>
      </c>
      <c r="C604" s="576"/>
      <c r="D604" s="413" t="str">
        <f t="shared" si="75"/>
        <v>kW</v>
      </c>
      <c r="E604" s="576">
        <f t="shared" si="76"/>
        <v>-10194.290000000037</v>
      </c>
      <c r="F604" s="576"/>
      <c r="G604" s="576">
        <f t="shared" si="77"/>
        <v>-20363.360243400442</v>
      </c>
      <c r="H604" s="576"/>
      <c r="I604" s="576">
        <f t="shared" si="78"/>
        <v>-51.945126901589447</v>
      </c>
      <c r="J604" s="576"/>
      <c r="K604" s="576">
        <f t="shared" si="79"/>
        <v>-80.036481165126588</v>
      </c>
      <c r="L604" s="577"/>
      <c r="N604" s="324">
        <f t="shared" si="73"/>
        <v>1.9914651493645435E-5</v>
      </c>
    </row>
    <row r="605" spans="1:14" x14ac:dyDescent="0.25">
      <c r="A605" s="553" t="s">
        <v>120</v>
      </c>
      <c r="B605" s="576">
        <f t="shared" si="74"/>
        <v>1</v>
      </c>
      <c r="C605" s="576"/>
      <c r="D605" s="413" t="str">
        <f t="shared" si="75"/>
        <v>kW</v>
      </c>
      <c r="E605" s="576">
        <f t="shared" si="76"/>
        <v>18.82000000000005</v>
      </c>
      <c r="F605" s="576"/>
      <c r="G605" s="576">
        <f t="shared" si="77"/>
        <v>8.5286199120047286</v>
      </c>
      <c r="H605" s="576"/>
      <c r="I605" s="576">
        <f t="shared" si="78"/>
        <v>4.8295376780456811E-2</v>
      </c>
      <c r="J605" s="576"/>
      <c r="K605" s="576">
        <f t="shared" si="79"/>
        <v>1.9305573715681312E-2</v>
      </c>
      <c r="L605" s="577"/>
      <c r="N605" s="324">
        <f t="shared" si="73"/>
        <v>-5.2410728556594455E-2</v>
      </c>
    </row>
    <row r="606" spans="1:14" x14ac:dyDescent="0.25">
      <c r="A606" s="553" t="s">
        <v>61</v>
      </c>
      <c r="B606" s="576">
        <f t="shared" si="74"/>
        <v>0</v>
      </c>
      <c r="C606" s="576"/>
      <c r="D606" s="413" t="str">
        <f t="shared" si="75"/>
        <v>kW</v>
      </c>
      <c r="E606" s="576">
        <f t="shared" si="76"/>
        <v>0.14000000000032742</v>
      </c>
      <c r="F606" s="576"/>
      <c r="G606" s="576">
        <f t="shared" si="77"/>
        <v>-118.11347783959263</v>
      </c>
      <c r="H606" s="576"/>
      <c r="I606" s="576">
        <f t="shared" si="78"/>
        <v>1.7348203221856373E-5</v>
      </c>
      <c r="J606" s="576"/>
      <c r="K606" s="576">
        <f t="shared" si="79"/>
        <v>-1.4636118691399247E-2</v>
      </c>
      <c r="L606" s="577"/>
      <c r="N606" s="324" t="e">
        <f t="shared" si="73"/>
        <v>#DIV/0!</v>
      </c>
    </row>
    <row r="607" spans="1:14" ht="16.5" thickBot="1" x14ac:dyDescent="0.3">
      <c r="A607" s="554" t="s">
        <v>121</v>
      </c>
      <c r="B607" s="591">
        <f t="shared" si="74"/>
        <v>1</v>
      </c>
      <c r="C607" s="591"/>
      <c r="D607" s="555" t="str">
        <f t="shared" si="75"/>
        <v>kWh</v>
      </c>
      <c r="E607" s="591">
        <f t="shared" si="76"/>
        <v>-49514.040000000037</v>
      </c>
      <c r="F607" s="591"/>
      <c r="G607" s="591">
        <f t="shared" si="77"/>
        <v>-64572.419910071185</v>
      </c>
      <c r="H607" s="591"/>
      <c r="I607" s="591">
        <f t="shared" si="78"/>
        <v>-4019.8416600790515</v>
      </c>
      <c r="J607" s="591"/>
      <c r="K607" s="591">
        <f t="shared" si="79"/>
        <v>-4674.5538300821499</v>
      </c>
      <c r="L607" s="592"/>
    </row>
    <row r="609" spans="1:12" ht="16.5" thickBot="1" x14ac:dyDescent="0.3">
      <c r="A609" s="373" t="s">
        <v>409</v>
      </c>
      <c r="B609" s="373"/>
      <c r="C609" s="373"/>
    </row>
    <row r="610" spans="1:12" ht="71.25" customHeight="1" x14ac:dyDescent="0.25">
      <c r="A610" s="478" t="s">
        <v>157</v>
      </c>
      <c r="B610" s="588" t="s">
        <v>158</v>
      </c>
      <c r="C610" s="589"/>
      <c r="D610" s="547" t="s">
        <v>159</v>
      </c>
      <c r="E610" s="588" t="s">
        <v>72</v>
      </c>
      <c r="F610" s="589"/>
      <c r="G610" s="588" t="s">
        <v>192</v>
      </c>
      <c r="H610" s="589"/>
      <c r="I610" s="588" t="s">
        <v>160</v>
      </c>
      <c r="J610" s="589"/>
      <c r="K610" s="588" t="s">
        <v>161</v>
      </c>
      <c r="L610" s="590"/>
    </row>
    <row r="611" spans="1:12" x14ac:dyDescent="0.25">
      <c r="A611" s="578" t="str">
        <f>A592</f>
        <v>Weather 
Normal Conversion 
Factor</v>
      </c>
      <c r="B611" s="579"/>
      <c r="C611" s="579"/>
      <c r="D611" s="579"/>
      <c r="E611" s="579"/>
      <c r="F611" s="580"/>
      <c r="G611" s="324">
        <f>H592</f>
        <v>0.98317907213233413</v>
      </c>
      <c r="H611" s="370">
        <f>$F$236</f>
        <v>0.9730593068500849</v>
      </c>
      <c r="I611" s="581"/>
      <c r="J611" s="581"/>
      <c r="K611" s="581"/>
      <c r="L611" s="582"/>
    </row>
    <row r="612" spans="1:12" x14ac:dyDescent="0.25">
      <c r="A612" s="548"/>
      <c r="B612" s="409" t="s">
        <v>249</v>
      </c>
      <c r="C612" s="409" t="s">
        <v>250</v>
      </c>
      <c r="E612" s="409" t="str">
        <f>B612</f>
        <v>2018 Actual</v>
      </c>
      <c r="F612" s="409" t="str">
        <f>C612</f>
        <v>2019 Actual</v>
      </c>
      <c r="G612" s="409" t="str">
        <f t="shared" ref="G612:L612" si="80">E612</f>
        <v>2018 Actual</v>
      </c>
      <c r="H612" s="409" t="str">
        <f t="shared" si="80"/>
        <v>2019 Actual</v>
      </c>
      <c r="I612" s="409" t="str">
        <f t="shared" si="80"/>
        <v>2018 Actual</v>
      </c>
      <c r="J612" s="409" t="str">
        <f t="shared" si="80"/>
        <v>2019 Actual</v>
      </c>
      <c r="K612" s="409" t="str">
        <f t="shared" si="80"/>
        <v>2018 Actual</v>
      </c>
      <c r="L612" s="549" t="str">
        <f t="shared" si="80"/>
        <v>2019 Actual</v>
      </c>
    </row>
    <row r="613" spans="1:12" x14ac:dyDescent="0.25">
      <c r="A613" s="550" t="s">
        <v>1</v>
      </c>
      <c r="B613" s="408">
        <f>$C$559</f>
        <v>29837</v>
      </c>
      <c r="C613" s="408">
        <f>$D$559</f>
        <v>29897</v>
      </c>
      <c r="D613" s="410" t="s">
        <v>64</v>
      </c>
      <c r="E613" s="410">
        <f>$C$560</f>
        <v>295617650.5</v>
      </c>
      <c r="F613" s="410">
        <f>$D$560</f>
        <v>296035265.68000001</v>
      </c>
      <c r="G613" s="410">
        <f>E613*G611</f>
        <v>290645087.32453066</v>
      </c>
      <c r="H613" s="410">
        <f>F613*H611</f>
        <v>288059870.42576152</v>
      </c>
      <c r="I613" s="410">
        <f t="shared" ref="I613:J618" si="81">E613/B613</f>
        <v>9907.7538123806007</v>
      </c>
      <c r="J613" s="410">
        <f t="shared" si="81"/>
        <v>9901.8385015218919</v>
      </c>
      <c r="K613" s="410">
        <f t="shared" ref="K613:L618" si="82">G613/B613</f>
        <v>9741.0962001719563</v>
      </c>
      <c r="L613" s="551">
        <f t="shared" si="82"/>
        <v>9635.0761088323743</v>
      </c>
    </row>
    <row r="614" spans="1:12" x14ac:dyDescent="0.25">
      <c r="A614" s="550" t="s">
        <v>105</v>
      </c>
      <c r="B614" s="408">
        <f>$C$563</f>
        <v>3414</v>
      </c>
      <c r="C614" s="408">
        <f>$D$563</f>
        <v>3388</v>
      </c>
      <c r="D614" s="410" t="s">
        <v>64</v>
      </c>
      <c r="E614" s="410">
        <f>$C$564</f>
        <v>92759999.25</v>
      </c>
      <c r="F614" s="410">
        <f>$D$564</f>
        <v>91718380.409999996</v>
      </c>
      <c r="G614" s="410">
        <f>E614*G611</f>
        <v>91199689.993611008</v>
      </c>
      <c r="H614" s="410">
        <f>F614*H611</f>
        <v>89247423.667167008</v>
      </c>
      <c r="I614" s="410">
        <f t="shared" si="81"/>
        <v>27170.474297012301</v>
      </c>
      <c r="J614" s="410">
        <f t="shared" si="81"/>
        <v>27071.540853010625</v>
      </c>
      <c r="K614" s="410">
        <f t="shared" si="82"/>
        <v>26713.441708731989</v>
      </c>
      <c r="L614" s="551">
        <f t="shared" si="82"/>
        <v>26342.214777794277</v>
      </c>
    </row>
    <row r="615" spans="1:12" x14ac:dyDescent="0.25">
      <c r="A615" s="539" t="s">
        <v>208</v>
      </c>
      <c r="B615" s="408">
        <f>$C$567</f>
        <v>362</v>
      </c>
      <c r="C615" s="408">
        <f>$D$567</f>
        <v>362</v>
      </c>
      <c r="D615" s="410" t="s">
        <v>65</v>
      </c>
      <c r="E615" s="410">
        <f>$C$569</f>
        <v>604548.71</v>
      </c>
      <c r="F615" s="410">
        <f>$D$569</f>
        <v>594559.68999999994</v>
      </c>
      <c r="G615" s="410">
        <f>E615*G611</f>
        <v>594379.63975659956</v>
      </c>
      <c r="H615" s="410">
        <f>F615*H611</f>
        <v>578541.83983240125</v>
      </c>
      <c r="I615" s="410">
        <f t="shared" si="81"/>
        <v>1670.0240607734806</v>
      </c>
      <c r="J615" s="410">
        <f t="shared" si="81"/>
        <v>1642.4300828729281</v>
      </c>
      <c r="K615" s="410">
        <f t="shared" si="82"/>
        <v>1641.9327065099435</v>
      </c>
      <c r="L615" s="551">
        <f t="shared" si="82"/>
        <v>1598.1818779900586</v>
      </c>
    </row>
    <row r="616" spans="1:12" x14ac:dyDescent="0.25">
      <c r="A616" s="550" t="s">
        <v>120</v>
      </c>
      <c r="B616" s="408">
        <f>$C$572</f>
        <v>355</v>
      </c>
      <c r="C616" s="408">
        <f>$D$572</f>
        <v>350</v>
      </c>
      <c r="D616" s="410" t="s">
        <v>65</v>
      </c>
      <c r="E616" s="410">
        <f>$C$574</f>
        <v>611.82000000000005</v>
      </c>
      <c r="F616" s="410">
        <f>$D$574</f>
        <v>605.16</v>
      </c>
      <c r="G616" s="410">
        <f>E616*G611</f>
        <v>601.52861991200473</v>
      </c>
      <c r="H616" s="410">
        <f>F616*H611</f>
        <v>588.85657013339733</v>
      </c>
      <c r="I616" s="410">
        <f t="shared" si="81"/>
        <v>1.72343661971831</v>
      </c>
      <c r="J616" s="410">
        <f t="shared" si="81"/>
        <v>1.7290285714285714</v>
      </c>
      <c r="K616" s="410">
        <f t="shared" si="82"/>
        <v>1.6944468166535345</v>
      </c>
      <c r="L616" s="551">
        <f t="shared" si="82"/>
        <v>1.682447343238278</v>
      </c>
    </row>
    <row r="617" spans="1:12" x14ac:dyDescent="0.25">
      <c r="A617" s="550" t="s">
        <v>61</v>
      </c>
      <c r="B617" s="408">
        <f>$C$577</f>
        <v>8070</v>
      </c>
      <c r="C617" s="408">
        <f>$D$577</f>
        <v>8037</v>
      </c>
      <c r="D617" s="410" t="s">
        <v>65</v>
      </c>
      <c r="E617" s="410">
        <f>$C$579</f>
        <v>7030.14</v>
      </c>
      <c r="F617" s="410">
        <f>$D$579</f>
        <v>7055.84</v>
      </c>
      <c r="G617" s="410">
        <f>E617*G611</f>
        <v>6911.8865221604074</v>
      </c>
      <c r="H617" s="410">
        <f>F617*H611</f>
        <v>6865.7507796451036</v>
      </c>
      <c r="I617" s="410">
        <f t="shared" si="81"/>
        <v>0.87114498141263941</v>
      </c>
      <c r="J617" s="410">
        <f t="shared" si="81"/>
        <v>0.87791962174940896</v>
      </c>
      <c r="K617" s="410">
        <f t="shared" si="82"/>
        <v>0.8564915145180183</v>
      </c>
      <c r="L617" s="551">
        <f t="shared" si="82"/>
        <v>0.85426785860956866</v>
      </c>
    </row>
    <row r="618" spans="1:12" x14ac:dyDescent="0.25">
      <c r="A618" s="550" t="s">
        <v>121</v>
      </c>
      <c r="B618" s="408">
        <f>$C$582</f>
        <v>23</v>
      </c>
      <c r="C618" s="408">
        <f>$D$582</f>
        <v>23</v>
      </c>
      <c r="D618" s="410" t="s">
        <v>64</v>
      </c>
      <c r="E618" s="410">
        <f>$C$583</f>
        <v>895216.96</v>
      </c>
      <c r="F618" s="410">
        <f>$D$583</f>
        <v>866480.04</v>
      </c>
      <c r="G618" s="410">
        <f>E618*G611</f>
        <v>880158.58008992882</v>
      </c>
      <c r="H618" s="410">
        <f>F618*H611</f>
        <v>843136.46712183394</v>
      </c>
      <c r="I618" s="410">
        <f t="shared" si="81"/>
        <v>38922.476521739132</v>
      </c>
      <c r="J618" s="410">
        <f t="shared" si="81"/>
        <v>37673.045217391307</v>
      </c>
      <c r="K618" s="410">
        <f t="shared" si="82"/>
        <v>38267.764351736034</v>
      </c>
      <c r="L618" s="551">
        <f t="shared" si="82"/>
        <v>36658.107266166691</v>
      </c>
    </row>
    <row r="619" spans="1:12" x14ac:dyDescent="0.25">
      <c r="A619" s="550" t="s">
        <v>12</v>
      </c>
      <c r="B619" s="408">
        <f>SUM(B613:B618)</f>
        <v>42061</v>
      </c>
      <c r="C619" s="408">
        <f>SUM(C613:C618)</f>
        <v>42057</v>
      </c>
      <c r="D619" s="411"/>
      <c r="E619" s="411"/>
      <c r="F619" s="411"/>
      <c r="G619" s="411"/>
      <c r="H619" s="411"/>
      <c r="I619" s="411"/>
      <c r="J619" s="411"/>
      <c r="K619" s="411"/>
      <c r="L619" s="552"/>
    </row>
    <row r="620" spans="1:12" x14ac:dyDescent="0.25">
      <c r="A620" s="528"/>
      <c r="B620" s="583" t="s">
        <v>134</v>
      </c>
      <c r="C620" s="583"/>
      <c r="D620" s="412"/>
      <c r="E620" s="583" t="s">
        <v>134</v>
      </c>
      <c r="F620" s="583"/>
      <c r="G620" s="583" t="s">
        <v>134</v>
      </c>
      <c r="H620" s="583"/>
      <c r="I620" s="583" t="s">
        <v>134</v>
      </c>
      <c r="J620" s="583"/>
      <c r="K620" s="583" t="s">
        <v>134</v>
      </c>
      <c r="L620" s="584"/>
    </row>
    <row r="621" spans="1:12" x14ac:dyDescent="0.25">
      <c r="A621" s="553" t="s">
        <v>1</v>
      </c>
      <c r="B621" s="576">
        <f t="shared" ref="B621:B626" si="83">C613-B613</f>
        <v>60</v>
      </c>
      <c r="C621" s="576"/>
      <c r="D621" s="413" t="str">
        <f t="shared" ref="D621:D626" si="84">D613</f>
        <v>kWh</v>
      </c>
      <c r="E621" s="576">
        <f t="shared" ref="E621:E626" si="85">F613-E613</f>
        <v>417615.18000000715</v>
      </c>
      <c r="F621" s="576"/>
      <c r="G621" s="576">
        <f t="shared" ref="G621:G626" si="86">H613-G613</f>
        <v>-2585216.8987691402</v>
      </c>
      <c r="H621" s="576"/>
      <c r="I621" s="576">
        <f t="shared" ref="I621:I626" si="87">J613-I613</f>
        <v>-5.9153108587088354</v>
      </c>
      <c r="J621" s="576"/>
      <c r="K621" s="576">
        <f t="shared" ref="K621:K626" si="88">L613-K613</f>
        <v>-106.020091339582</v>
      </c>
      <c r="L621" s="577"/>
    </row>
    <row r="622" spans="1:12" x14ac:dyDescent="0.25">
      <c r="A622" s="553" t="s">
        <v>105</v>
      </c>
      <c r="B622" s="576">
        <f t="shared" si="83"/>
        <v>-26</v>
      </c>
      <c r="C622" s="576"/>
      <c r="D622" s="413" t="str">
        <f t="shared" si="84"/>
        <v>kWh</v>
      </c>
      <c r="E622" s="576">
        <f t="shared" si="85"/>
        <v>-1041618.8400000036</v>
      </c>
      <c r="F622" s="576"/>
      <c r="G622" s="576">
        <f t="shared" si="86"/>
        <v>-1952266.326444</v>
      </c>
      <c r="H622" s="576"/>
      <c r="I622" s="576">
        <f t="shared" si="87"/>
        <v>-98.933444001675525</v>
      </c>
      <c r="J622" s="576"/>
      <c r="K622" s="576">
        <f t="shared" si="88"/>
        <v>-371.22693093771159</v>
      </c>
      <c r="L622" s="577"/>
    </row>
    <row r="623" spans="1:12" x14ac:dyDescent="0.25">
      <c r="A623" s="539" t="s">
        <v>208</v>
      </c>
      <c r="B623" s="576">
        <f t="shared" si="83"/>
        <v>0</v>
      </c>
      <c r="C623" s="576"/>
      <c r="D623" s="413" t="str">
        <f t="shared" si="84"/>
        <v>kW</v>
      </c>
      <c r="E623" s="576">
        <f t="shared" si="85"/>
        <v>-9989.0200000000186</v>
      </c>
      <c r="F623" s="576"/>
      <c r="G623" s="576">
        <f t="shared" si="86"/>
        <v>-15837.799924198305</v>
      </c>
      <c r="H623" s="576"/>
      <c r="I623" s="576">
        <f t="shared" si="87"/>
        <v>-27.593977900552545</v>
      </c>
      <c r="J623" s="576"/>
      <c r="K623" s="576">
        <f t="shared" si="88"/>
        <v>-43.750828519884863</v>
      </c>
      <c r="L623" s="577"/>
    </row>
    <row r="624" spans="1:12" x14ac:dyDescent="0.25">
      <c r="A624" s="553" t="s">
        <v>120</v>
      </c>
      <c r="B624" s="576">
        <f t="shared" si="83"/>
        <v>-5</v>
      </c>
      <c r="C624" s="576"/>
      <c r="D624" s="413" t="str">
        <f t="shared" si="84"/>
        <v>kW</v>
      </c>
      <c r="E624" s="576">
        <f t="shared" si="85"/>
        <v>-6.6600000000000819</v>
      </c>
      <c r="F624" s="576"/>
      <c r="G624" s="576">
        <f t="shared" si="86"/>
        <v>-12.672049778607402</v>
      </c>
      <c r="H624" s="576"/>
      <c r="I624" s="576">
        <f t="shared" si="87"/>
        <v>5.5919517102613892E-3</v>
      </c>
      <c r="J624" s="576"/>
      <c r="K624" s="576">
        <f t="shared" si="88"/>
        <v>-1.1999473415256423E-2</v>
      </c>
      <c r="L624" s="577"/>
    </row>
    <row r="625" spans="1:16" x14ac:dyDescent="0.25">
      <c r="A625" s="553" t="s">
        <v>61</v>
      </c>
      <c r="B625" s="576">
        <f t="shared" si="83"/>
        <v>-33</v>
      </c>
      <c r="C625" s="576"/>
      <c r="D625" s="413" t="str">
        <f t="shared" si="84"/>
        <v>kW</v>
      </c>
      <c r="E625" s="576">
        <f t="shared" si="85"/>
        <v>25.699999999999818</v>
      </c>
      <c r="F625" s="576"/>
      <c r="G625" s="576">
        <f t="shared" si="86"/>
        <v>-46.135742515303718</v>
      </c>
      <c r="H625" s="576"/>
      <c r="I625" s="576">
        <f t="shared" si="87"/>
        <v>6.7746403367695551E-3</v>
      </c>
      <c r="J625" s="576"/>
      <c r="K625" s="576">
        <f t="shared" si="88"/>
        <v>-2.2236559084496399E-3</v>
      </c>
      <c r="L625" s="577"/>
    </row>
    <row r="626" spans="1:16" ht="16.5" thickBot="1" x14ac:dyDescent="0.3">
      <c r="A626" s="554" t="s">
        <v>121</v>
      </c>
      <c r="B626" s="591">
        <f t="shared" si="83"/>
        <v>0</v>
      </c>
      <c r="C626" s="591"/>
      <c r="D626" s="555" t="str">
        <f t="shared" si="84"/>
        <v>kWh</v>
      </c>
      <c r="E626" s="591">
        <f t="shared" si="85"/>
        <v>-28736.919999999925</v>
      </c>
      <c r="F626" s="591"/>
      <c r="G626" s="591">
        <f t="shared" si="86"/>
        <v>-37022.11296809488</v>
      </c>
      <c r="H626" s="591"/>
      <c r="I626" s="591">
        <f t="shared" si="87"/>
        <v>-1249.4313043478251</v>
      </c>
      <c r="J626" s="591"/>
      <c r="K626" s="591">
        <f t="shared" si="88"/>
        <v>-1609.6570855693426</v>
      </c>
      <c r="L626" s="592"/>
    </row>
    <row r="628" spans="1:16" ht="16.5" thickBot="1" x14ac:dyDescent="0.3">
      <c r="A628" s="373" t="s">
        <v>410</v>
      </c>
      <c r="B628" s="373"/>
      <c r="C628" s="373"/>
    </row>
    <row r="629" spans="1:16" ht="71.25" customHeight="1" x14ac:dyDescent="0.25">
      <c r="A629" s="478" t="s">
        <v>157</v>
      </c>
      <c r="B629" s="588" t="s">
        <v>158</v>
      </c>
      <c r="C629" s="589"/>
      <c r="D629" s="547" t="s">
        <v>159</v>
      </c>
      <c r="E629" s="588" t="s">
        <v>72</v>
      </c>
      <c r="F629" s="589"/>
      <c r="G629" s="588" t="s">
        <v>192</v>
      </c>
      <c r="H629" s="589"/>
      <c r="I629" s="588" t="s">
        <v>160</v>
      </c>
      <c r="J629" s="589"/>
      <c r="K629" s="588" t="s">
        <v>161</v>
      </c>
      <c r="L629" s="590"/>
    </row>
    <row r="630" spans="1:16" x14ac:dyDescent="0.25">
      <c r="A630" s="578" t="str">
        <f>A611</f>
        <v>Weather 
Normal Conversion 
Factor</v>
      </c>
      <c r="B630" s="579"/>
      <c r="C630" s="579"/>
      <c r="D630" s="579"/>
      <c r="E630" s="579"/>
      <c r="F630" s="580"/>
      <c r="G630" s="324">
        <f>H611</f>
        <v>0.9730593068500849</v>
      </c>
      <c r="H630" s="370">
        <f>$F$237</f>
        <v>0.98882483619481831</v>
      </c>
      <c r="I630" s="581"/>
      <c r="J630" s="581"/>
      <c r="K630" s="581"/>
      <c r="L630" s="582"/>
    </row>
    <row r="631" spans="1:16" x14ac:dyDescent="0.25">
      <c r="A631" s="548"/>
      <c r="B631" s="409" t="s">
        <v>250</v>
      </c>
      <c r="C631" s="409" t="s">
        <v>251</v>
      </c>
      <c r="E631" s="409" t="str">
        <f>B631</f>
        <v>2019 Actual</v>
      </c>
      <c r="F631" s="409" t="str">
        <f>C631</f>
        <v>2020 Actual</v>
      </c>
      <c r="G631" s="409" t="str">
        <f t="shared" ref="G631:L631" si="89">E631</f>
        <v>2019 Actual</v>
      </c>
      <c r="H631" s="409" t="str">
        <f t="shared" si="89"/>
        <v>2020 Actual</v>
      </c>
      <c r="I631" s="409" t="str">
        <f t="shared" si="89"/>
        <v>2019 Actual</v>
      </c>
      <c r="J631" s="409" t="str">
        <f t="shared" si="89"/>
        <v>2020 Actual</v>
      </c>
      <c r="K631" s="409" t="str">
        <f t="shared" si="89"/>
        <v>2019 Actual</v>
      </c>
      <c r="L631" s="549" t="str">
        <f t="shared" si="89"/>
        <v>2020 Actual</v>
      </c>
    </row>
    <row r="632" spans="1:16" x14ac:dyDescent="0.25">
      <c r="A632" s="550" t="s">
        <v>1</v>
      </c>
      <c r="B632" s="408">
        <f>$D$559</f>
        <v>29897</v>
      </c>
      <c r="C632" s="408">
        <f>$E$559</f>
        <v>30026</v>
      </c>
      <c r="D632" s="410" t="s">
        <v>64</v>
      </c>
      <c r="E632" s="410">
        <f>$D$560</f>
        <v>296035265.68000001</v>
      </c>
      <c r="F632" s="410">
        <f>$E$560</f>
        <v>298184962.97000003</v>
      </c>
      <c r="G632" s="410">
        <f>E632*G630</f>
        <v>288059870.42576152</v>
      </c>
      <c r="H632" s="410">
        <f>F632*H630</f>
        <v>294852697.16456825</v>
      </c>
      <c r="I632" s="410">
        <f t="shared" ref="I632:J637" si="90">E632/B632</f>
        <v>9901.8385015218919</v>
      </c>
      <c r="J632" s="410">
        <f t="shared" si="90"/>
        <v>9930.8919926064082</v>
      </c>
      <c r="K632" s="410">
        <f t="shared" ref="K632:L637" si="91">G632/B632</f>
        <v>9635.0761088323743</v>
      </c>
      <c r="L632" s="551">
        <f t="shared" si="91"/>
        <v>9819.9126478574653</v>
      </c>
    </row>
    <row r="633" spans="1:16" x14ac:dyDescent="0.25">
      <c r="A633" s="550" t="s">
        <v>105</v>
      </c>
      <c r="B633" s="408">
        <f>$D$563</f>
        <v>3388</v>
      </c>
      <c r="C633" s="408">
        <f>$E$563</f>
        <v>3355</v>
      </c>
      <c r="D633" s="410" t="s">
        <v>64</v>
      </c>
      <c r="E633" s="410">
        <f>$D$564</f>
        <v>91718380.409999996</v>
      </c>
      <c r="F633" s="410">
        <f>$E$564</f>
        <v>84774528</v>
      </c>
      <c r="G633" s="410">
        <f>E633*G630</f>
        <v>89247423.667167008</v>
      </c>
      <c r="H633" s="410">
        <f>F633*H630</f>
        <v>83827158.763093039</v>
      </c>
      <c r="I633" s="410">
        <f t="shared" si="90"/>
        <v>27071.540853010625</v>
      </c>
      <c r="J633" s="410">
        <f t="shared" si="90"/>
        <v>25268.115648286141</v>
      </c>
      <c r="K633" s="410">
        <f t="shared" si="91"/>
        <v>26342.214777794277</v>
      </c>
      <c r="L633" s="551">
        <f t="shared" si="91"/>
        <v>24985.740316868269</v>
      </c>
    </row>
    <row r="634" spans="1:16" x14ac:dyDescent="0.25">
      <c r="A634" s="539" t="s">
        <v>208</v>
      </c>
      <c r="B634" s="408">
        <f>$D$567</f>
        <v>362</v>
      </c>
      <c r="C634" s="408">
        <f>$E$567</f>
        <v>370</v>
      </c>
      <c r="D634" s="410" t="s">
        <v>65</v>
      </c>
      <c r="E634" s="410">
        <f>$D$569</f>
        <v>594559.68999999994</v>
      </c>
      <c r="F634" s="410">
        <f>$E$569</f>
        <v>546907.62</v>
      </c>
      <c r="G634" s="410">
        <f>E634*G630</f>
        <v>578541.83983240125</v>
      </c>
      <c r="H634" s="410">
        <f>F634*H630</f>
        <v>540795.83776019793</v>
      </c>
      <c r="I634" s="410">
        <f t="shared" si="90"/>
        <v>1642.4300828729281</v>
      </c>
      <c r="J634" s="410">
        <f t="shared" si="90"/>
        <v>1478.1287027027026</v>
      </c>
      <c r="K634" s="410">
        <f t="shared" si="91"/>
        <v>1598.1818779900586</v>
      </c>
      <c r="L634" s="551">
        <f t="shared" si="91"/>
        <v>1461.6103723248593</v>
      </c>
    </row>
    <row r="635" spans="1:16" x14ac:dyDescent="0.25">
      <c r="A635" s="550" t="s">
        <v>120</v>
      </c>
      <c r="B635" s="408">
        <f>$D$572</f>
        <v>350</v>
      </c>
      <c r="C635" s="408">
        <f>$E$572</f>
        <v>348</v>
      </c>
      <c r="D635" s="410" t="s">
        <v>65</v>
      </c>
      <c r="E635" s="410">
        <f>$D$574</f>
        <v>605.16</v>
      </c>
      <c r="F635" s="410">
        <f>$E$574</f>
        <v>597.52</v>
      </c>
      <c r="G635" s="410">
        <f>E635*G630</f>
        <v>588.85657013339733</v>
      </c>
      <c r="H635" s="410">
        <f>F635*H630</f>
        <v>590.84261612312787</v>
      </c>
      <c r="I635" s="410">
        <f t="shared" si="90"/>
        <v>1.7290285714285714</v>
      </c>
      <c r="J635" s="410">
        <f t="shared" si="90"/>
        <v>1.7170114942528736</v>
      </c>
      <c r="K635" s="410">
        <f t="shared" si="91"/>
        <v>1.682447343238278</v>
      </c>
      <c r="L635" s="551">
        <f t="shared" si="91"/>
        <v>1.6978236095492181</v>
      </c>
    </row>
    <row r="636" spans="1:16" x14ac:dyDescent="0.25">
      <c r="A636" s="550" t="s">
        <v>61</v>
      </c>
      <c r="B636" s="408">
        <f>$D$577</f>
        <v>8037</v>
      </c>
      <c r="C636" s="408">
        <f>$E$577</f>
        <v>8037</v>
      </c>
      <c r="D636" s="410" t="s">
        <v>65</v>
      </c>
      <c r="E636" s="410">
        <f>$D$579</f>
        <v>7055.84</v>
      </c>
      <c r="F636" s="410">
        <f>$E$579</f>
        <v>7201.8</v>
      </c>
      <c r="G636" s="410">
        <f>E636*G630</f>
        <v>6865.7507796451036</v>
      </c>
      <c r="H636" s="410">
        <f>F636*H630</f>
        <v>7121.3187053078427</v>
      </c>
      <c r="I636" s="410">
        <f t="shared" si="90"/>
        <v>0.87791962174940896</v>
      </c>
      <c r="J636" s="410">
        <f t="shared" si="90"/>
        <v>0.89608062709966407</v>
      </c>
      <c r="K636" s="410">
        <f t="shared" si="91"/>
        <v>0.85426785860956866</v>
      </c>
      <c r="L636" s="551">
        <f t="shared" si="91"/>
        <v>0.88606677930917543</v>
      </c>
    </row>
    <row r="637" spans="1:16" x14ac:dyDescent="0.25">
      <c r="A637" s="550" t="s">
        <v>121</v>
      </c>
      <c r="B637" s="408">
        <f>$D$582</f>
        <v>23</v>
      </c>
      <c r="C637" s="408">
        <f>$E$582</f>
        <v>24</v>
      </c>
      <c r="D637" s="410" t="s">
        <v>64</v>
      </c>
      <c r="E637" s="410">
        <f>$D$583</f>
        <v>866480.04</v>
      </c>
      <c r="F637" s="410">
        <f>$E$583</f>
        <v>870821.18</v>
      </c>
      <c r="G637" s="410">
        <f>E637*G630</f>
        <v>843136.46712183394</v>
      </c>
      <c r="H637" s="410">
        <f>F637*H630</f>
        <v>861089.61066847842</v>
      </c>
      <c r="I637" s="410">
        <f t="shared" si="90"/>
        <v>37673.045217391307</v>
      </c>
      <c r="J637" s="410">
        <f t="shared" si="90"/>
        <v>36284.215833333335</v>
      </c>
      <c r="K637" s="410">
        <f t="shared" si="91"/>
        <v>36658.107266166691</v>
      </c>
      <c r="L637" s="551">
        <f t="shared" si="91"/>
        <v>35878.733777853267</v>
      </c>
    </row>
    <row r="638" spans="1:16" x14ac:dyDescent="0.25">
      <c r="A638" s="550" t="s">
        <v>12</v>
      </c>
      <c r="B638" s="408">
        <f>SUM(B632:B637)</f>
        <v>42057</v>
      </c>
      <c r="C638" s="408">
        <f>SUM(C632:C637)</f>
        <v>42160</v>
      </c>
      <c r="D638" s="411"/>
      <c r="E638" s="411"/>
      <c r="F638" s="411"/>
      <c r="G638" s="411"/>
      <c r="H638" s="411"/>
      <c r="I638" s="411"/>
      <c r="J638" s="411"/>
      <c r="K638" s="411"/>
      <c r="L638" s="552"/>
    </row>
    <row r="639" spans="1:16" x14ac:dyDescent="0.25">
      <c r="A639" s="528"/>
      <c r="B639" s="583" t="s">
        <v>134</v>
      </c>
      <c r="C639" s="583"/>
      <c r="D639" s="412"/>
      <c r="E639" s="583" t="s">
        <v>134</v>
      </c>
      <c r="F639" s="583"/>
      <c r="G639" s="583" t="s">
        <v>134</v>
      </c>
      <c r="H639" s="583"/>
      <c r="I639" s="583" t="s">
        <v>134</v>
      </c>
      <c r="J639" s="583"/>
      <c r="K639" s="583" t="s">
        <v>134</v>
      </c>
      <c r="L639" s="584"/>
      <c r="M639" s="414">
        <f>B640/B632</f>
        <v>4.3148141954042207E-3</v>
      </c>
      <c r="N639" s="414">
        <f>E640/E632</f>
        <v>7.2616256886223196E-3</v>
      </c>
      <c r="O639" s="414">
        <f>G640/G632</f>
        <v>2.3581301792459718E-2</v>
      </c>
      <c r="P639" s="414">
        <f>I640/I632</f>
        <v>2.9341511760720821E-3</v>
      </c>
    </row>
    <row r="640" spans="1:16" x14ac:dyDescent="0.25">
      <c r="A640" s="553" t="s">
        <v>1</v>
      </c>
      <c r="B640" s="576">
        <f t="shared" ref="B640:B645" si="92">C632-B632</f>
        <v>129</v>
      </c>
      <c r="C640" s="576"/>
      <c r="D640" s="413" t="str">
        <f t="shared" ref="D640:D645" si="93">D632</f>
        <v>kWh</v>
      </c>
      <c r="E640" s="576">
        <f t="shared" ref="E640:E645" si="94">F632-E632</f>
        <v>2149697.2900000215</v>
      </c>
      <c r="F640" s="576"/>
      <c r="G640" s="576">
        <f t="shared" ref="G640:G645" si="95">H632-G632</f>
        <v>6792826.7388067245</v>
      </c>
      <c r="H640" s="576"/>
      <c r="I640" s="576">
        <f t="shared" ref="I640:I645" si="96">J632-I632</f>
        <v>29.053491084516281</v>
      </c>
      <c r="J640" s="576"/>
      <c r="K640" s="576">
        <f t="shared" ref="K640:K645" si="97">L632-K632</f>
        <v>184.83653902509104</v>
      </c>
      <c r="L640" s="577"/>
      <c r="M640" s="414">
        <f t="shared" ref="M640:M644" si="98">B641/B633</f>
        <v>-9.74025974025974E-3</v>
      </c>
      <c r="N640" s="414">
        <f t="shared" ref="N640:N644" si="99">E641/E633</f>
        <v>-7.5708406308087325E-2</v>
      </c>
      <c r="O640" s="414">
        <f t="shared" ref="O640:O644" si="100">G641/G633</f>
        <v>-6.0733012577348103E-2</v>
      </c>
      <c r="P640" s="414">
        <f t="shared" ref="P640:P644" si="101">I641/I633</f>
        <v>-6.6617013583248827E-2</v>
      </c>
    </row>
    <row r="641" spans="1:16" x14ac:dyDescent="0.25">
      <c r="A641" s="553" t="s">
        <v>105</v>
      </c>
      <c r="B641" s="576">
        <f t="shared" si="92"/>
        <v>-33</v>
      </c>
      <c r="C641" s="576"/>
      <c r="D641" s="413" t="str">
        <f t="shared" si="93"/>
        <v>kWh</v>
      </c>
      <c r="E641" s="576">
        <f t="shared" si="94"/>
        <v>-6943852.4099999964</v>
      </c>
      <c r="F641" s="576"/>
      <c r="G641" s="576">
        <f t="shared" si="95"/>
        <v>-5420264.9040739685</v>
      </c>
      <c r="H641" s="576"/>
      <c r="I641" s="576">
        <f t="shared" si="96"/>
        <v>-1803.4252047244845</v>
      </c>
      <c r="J641" s="576"/>
      <c r="K641" s="576">
        <f t="shared" si="97"/>
        <v>-1356.4744609260088</v>
      </c>
      <c r="L641" s="577"/>
      <c r="M641" s="414">
        <f t="shared" si="98"/>
        <v>2.2099447513812154E-2</v>
      </c>
      <c r="N641" s="414">
        <f t="shared" si="99"/>
        <v>-8.0146822600771925E-2</v>
      </c>
      <c r="O641" s="414">
        <f t="shared" si="100"/>
        <v>-6.5243340193231358E-2</v>
      </c>
      <c r="P641" s="414">
        <f t="shared" si="101"/>
        <v>-0.1000355399499445</v>
      </c>
    </row>
    <row r="642" spans="1:16" x14ac:dyDescent="0.25">
      <c r="A642" s="539" t="s">
        <v>208</v>
      </c>
      <c r="B642" s="576">
        <f t="shared" si="92"/>
        <v>8</v>
      </c>
      <c r="C642" s="576"/>
      <c r="D642" s="413" t="str">
        <f t="shared" si="93"/>
        <v>kW</v>
      </c>
      <c r="E642" s="576">
        <f t="shared" si="94"/>
        <v>-47652.069999999949</v>
      </c>
      <c r="F642" s="576"/>
      <c r="G642" s="576">
        <f t="shared" si="95"/>
        <v>-37746.002072203322</v>
      </c>
      <c r="H642" s="576"/>
      <c r="I642" s="576">
        <f t="shared" si="96"/>
        <v>-164.30138017022546</v>
      </c>
      <c r="J642" s="576"/>
      <c r="K642" s="576">
        <f t="shared" si="97"/>
        <v>-136.57150566519931</v>
      </c>
      <c r="L642" s="577"/>
      <c r="M642" s="414">
        <f t="shared" si="98"/>
        <v>-5.7142857142857143E-3</v>
      </c>
      <c r="N642" s="414">
        <f t="shared" si="99"/>
        <v>-1.262476039394538E-2</v>
      </c>
      <c r="O642" s="414">
        <f t="shared" si="100"/>
        <v>3.3727160236670713E-3</v>
      </c>
      <c r="P642" s="414">
        <f t="shared" si="101"/>
        <v>-6.95019005138182E-3</v>
      </c>
    </row>
    <row r="643" spans="1:16" x14ac:dyDescent="0.25">
      <c r="A643" s="553" t="s">
        <v>120</v>
      </c>
      <c r="B643" s="576">
        <f t="shared" si="92"/>
        <v>-2</v>
      </c>
      <c r="C643" s="576"/>
      <c r="D643" s="413" t="str">
        <f t="shared" si="93"/>
        <v>kW</v>
      </c>
      <c r="E643" s="576">
        <f t="shared" si="94"/>
        <v>-7.6399999999999864</v>
      </c>
      <c r="F643" s="576"/>
      <c r="G643" s="576">
        <f t="shared" si="95"/>
        <v>1.9860459897305418</v>
      </c>
      <c r="H643" s="576"/>
      <c r="I643" s="576">
        <f t="shared" si="96"/>
        <v>-1.2017077175697777E-2</v>
      </c>
      <c r="J643" s="576"/>
      <c r="K643" s="576">
        <f t="shared" si="97"/>
        <v>1.5376266310940023E-2</v>
      </c>
      <c r="L643" s="577"/>
      <c r="M643" s="414">
        <f t="shared" si="98"/>
        <v>0</v>
      </c>
      <c r="N643" s="414">
        <f t="shared" si="99"/>
        <v>2.0686410122678522E-2</v>
      </c>
      <c r="O643" s="414">
        <f t="shared" si="100"/>
        <v>3.7223594893718175E-2</v>
      </c>
      <c r="P643" s="414">
        <f t="shared" si="101"/>
        <v>2.0686410122678564E-2</v>
      </c>
    </row>
    <row r="644" spans="1:16" x14ac:dyDescent="0.25">
      <c r="A644" s="553" t="s">
        <v>61</v>
      </c>
      <c r="B644" s="576">
        <f t="shared" si="92"/>
        <v>0</v>
      </c>
      <c r="C644" s="576"/>
      <c r="D644" s="413" t="str">
        <f t="shared" si="93"/>
        <v>kW</v>
      </c>
      <c r="E644" s="576">
        <f t="shared" si="94"/>
        <v>145.96000000000004</v>
      </c>
      <c r="F644" s="576"/>
      <c r="G644" s="576">
        <f t="shared" si="95"/>
        <v>255.56792566273907</v>
      </c>
      <c r="H644" s="576"/>
      <c r="I644" s="576">
        <f t="shared" si="96"/>
        <v>1.8161005350255111E-2</v>
      </c>
      <c r="J644" s="576"/>
      <c r="K644" s="576">
        <f t="shared" si="97"/>
        <v>3.179892069960677E-2</v>
      </c>
      <c r="L644" s="577"/>
      <c r="M644" s="414">
        <f t="shared" si="98"/>
        <v>4.3478260869565216E-2</v>
      </c>
      <c r="N644" s="414">
        <f t="shared" si="99"/>
        <v>5.0100865566389896E-3</v>
      </c>
      <c r="O644" s="414">
        <f t="shared" si="100"/>
        <v>2.1293283171501389E-2</v>
      </c>
      <c r="P644" s="414">
        <f t="shared" si="101"/>
        <v>-3.6865333716554337E-2</v>
      </c>
    </row>
    <row r="645" spans="1:16" ht="16.5" thickBot="1" x14ac:dyDescent="0.3">
      <c r="A645" s="554" t="s">
        <v>121</v>
      </c>
      <c r="B645" s="591">
        <f t="shared" si="92"/>
        <v>1</v>
      </c>
      <c r="C645" s="591"/>
      <c r="D645" s="555" t="str">
        <f t="shared" si="93"/>
        <v>kWh</v>
      </c>
      <c r="E645" s="591">
        <f t="shared" si="94"/>
        <v>4341.140000000014</v>
      </c>
      <c r="F645" s="591"/>
      <c r="G645" s="591">
        <f t="shared" si="95"/>
        <v>17953.143546644482</v>
      </c>
      <c r="H645" s="591"/>
      <c r="I645" s="591">
        <f t="shared" si="96"/>
        <v>-1388.8293840579718</v>
      </c>
      <c r="J645" s="591"/>
      <c r="K645" s="591">
        <f t="shared" si="97"/>
        <v>-779.37348831342388</v>
      </c>
      <c r="L645" s="592"/>
    </row>
    <row r="647" spans="1:16" ht="16.5" thickBot="1" x14ac:dyDescent="0.3">
      <c r="A647" s="373" t="s">
        <v>411</v>
      </c>
      <c r="B647" s="373"/>
      <c r="C647" s="373"/>
    </row>
    <row r="648" spans="1:16" ht="71.25" customHeight="1" x14ac:dyDescent="0.25">
      <c r="A648" s="478" t="s">
        <v>157</v>
      </c>
      <c r="B648" s="588" t="s">
        <v>158</v>
      </c>
      <c r="C648" s="589"/>
      <c r="D648" s="547" t="s">
        <v>159</v>
      </c>
      <c r="E648" s="588" t="s">
        <v>72</v>
      </c>
      <c r="F648" s="589"/>
      <c r="G648" s="588" t="s">
        <v>192</v>
      </c>
      <c r="H648" s="589"/>
      <c r="I648" s="588" t="s">
        <v>160</v>
      </c>
      <c r="J648" s="589"/>
      <c r="K648" s="588" t="s">
        <v>161</v>
      </c>
      <c r="L648" s="590"/>
    </row>
    <row r="649" spans="1:16" x14ac:dyDescent="0.25">
      <c r="A649" s="578" t="str">
        <f>A630</f>
        <v>Weather 
Normal Conversion 
Factor</v>
      </c>
      <c r="B649" s="579"/>
      <c r="C649" s="579"/>
      <c r="D649" s="579"/>
      <c r="E649" s="579"/>
      <c r="F649" s="580"/>
      <c r="G649" s="324">
        <f>H630</f>
        <v>0.98882483619481831</v>
      </c>
      <c r="H649" s="370">
        <f>$F$238</f>
        <v>1.0138644810184438</v>
      </c>
      <c r="I649" s="581"/>
      <c r="J649" s="581"/>
      <c r="K649" s="581"/>
      <c r="L649" s="582"/>
    </row>
    <row r="650" spans="1:16" x14ac:dyDescent="0.25">
      <c r="A650" s="548"/>
      <c r="B650" s="409" t="s">
        <v>251</v>
      </c>
      <c r="C650" s="409" t="s">
        <v>252</v>
      </c>
      <c r="E650" s="409" t="str">
        <f>B650</f>
        <v>2020 Actual</v>
      </c>
      <c r="F650" s="409" t="str">
        <f>C650</f>
        <v>2021 Actual</v>
      </c>
      <c r="G650" s="409" t="str">
        <f t="shared" ref="G650:L650" si="102">E650</f>
        <v>2020 Actual</v>
      </c>
      <c r="H650" s="409" t="str">
        <f t="shared" si="102"/>
        <v>2021 Actual</v>
      </c>
      <c r="I650" s="409" t="str">
        <f t="shared" si="102"/>
        <v>2020 Actual</v>
      </c>
      <c r="J650" s="409" t="str">
        <f t="shared" si="102"/>
        <v>2021 Actual</v>
      </c>
      <c r="K650" s="409" t="str">
        <f t="shared" si="102"/>
        <v>2020 Actual</v>
      </c>
      <c r="L650" s="549" t="str">
        <f t="shared" si="102"/>
        <v>2021 Actual</v>
      </c>
    </row>
    <row r="651" spans="1:16" x14ac:dyDescent="0.25">
      <c r="A651" s="550" t="s">
        <v>1</v>
      </c>
      <c r="B651" s="408">
        <f>$E$559</f>
        <v>30026</v>
      </c>
      <c r="C651" s="408">
        <f>$F$559</f>
        <v>30134</v>
      </c>
      <c r="D651" s="410" t="s">
        <v>64</v>
      </c>
      <c r="E651" s="410">
        <f>$E$560</f>
        <v>298184962.97000003</v>
      </c>
      <c r="F651" s="410">
        <f>$F$560</f>
        <v>292492184.38</v>
      </c>
      <c r="G651" s="410">
        <f>E651*G649</f>
        <v>294852697.16456825</v>
      </c>
      <c r="H651" s="410">
        <f>F651*H649</f>
        <v>296547436.71837968</v>
      </c>
      <c r="I651" s="410">
        <f t="shared" ref="I651:J656" si="103">E651/B651</f>
        <v>9930.8919926064082</v>
      </c>
      <c r="J651" s="410">
        <f t="shared" si="103"/>
        <v>9706.3842961438913</v>
      </c>
      <c r="K651" s="410">
        <f t="shared" ref="K651:L656" si="104">G651/B651</f>
        <v>9819.9126478574653</v>
      </c>
      <c r="L651" s="551">
        <f t="shared" si="104"/>
        <v>9840.9582769754979</v>
      </c>
    </row>
    <row r="652" spans="1:16" x14ac:dyDescent="0.25">
      <c r="A652" s="550" t="s">
        <v>105</v>
      </c>
      <c r="B652" s="408">
        <f>$E$563</f>
        <v>3355</v>
      </c>
      <c r="C652" s="408">
        <f>$F$563</f>
        <v>3423</v>
      </c>
      <c r="D652" s="410" t="s">
        <v>64</v>
      </c>
      <c r="E652" s="410">
        <f>$E$564</f>
        <v>84774528</v>
      </c>
      <c r="F652" s="410">
        <f>$F$564</f>
        <v>88569433</v>
      </c>
      <c r="G652" s="410">
        <f>E652*G649</f>
        <v>83827158.763093039</v>
      </c>
      <c r="H652" s="410">
        <f>F652*H649</f>
        <v>89797402.222642839</v>
      </c>
      <c r="I652" s="410">
        <f t="shared" si="103"/>
        <v>25268.115648286141</v>
      </c>
      <c r="J652" s="410">
        <f t="shared" si="103"/>
        <v>25874.797838153667</v>
      </c>
      <c r="K652" s="410">
        <f t="shared" si="104"/>
        <v>24985.740316868269</v>
      </c>
      <c r="L652" s="551">
        <f t="shared" si="104"/>
        <v>26233.538481636821</v>
      </c>
    </row>
    <row r="653" spans="1:16" x14ac:dyDescent="0.25">
      <c r="A653" s="539" t="s">
        <v>208</v>
      </c>
      <c r="B653" s="408">
        <f>$E$567</f>
        <v>370</v>
      </c>
      <c r="C653" s="408">
        <f>$F$567</f>
        <v>308</v>
      </c>
      <c r="D653" s="410" t="s">
        <v>65</v>
      </c>
      <c r="E653" s="410">
        <f>$E$569</f>
        <v>546907.62</v>
      </c>
      <c r="F653" s="410">
        <f>$F$569</f>
        <v>536707</v>
      </c>
      <c r="G653" s="410">
        <f>E653*G649</f>
        <v>540795.83776019793</v>
      </c>
      <c r="H653" s="410">
        <f>F653*H649</f>
        <v>544148.16401396599</v>
      </c>
      <c r="I653" s="410">
        <f t="shared" si="103"/>
        <v>1478.1287027027026</v>
      </c>
      <c r="J653" s="410">
        <f t="shared" si="103"/>
        <v>1742.5551948051948</v>
      </c>
      <c r="K653" s="410">
        <f t="shared" si="104"/>
        <v>1461.6103723248593</v>
      </c>
      <c r="L653" s="551">
        <f t="shared" si="104"/>
        <v>1766.7148182271624</v>
      </c>
    </row>
    <row r="654" spans="1:16" x14ac:dyDescent="0.25">
      <c r="A654" s="550" t="s">
        <v>120</v>
      </c>
      <c r="B654" s="408">
        <f>$E$572</f>
        <v>348</v>
      </c>
      <c r="C654" s="408">
        <f>$F$572</f>
        <v>330</v>
      </c>
      <c r="D654" s="410" t="s">
        <v>65</v>
      </c>
      <c r="E654" s="410">
        <f>$E$574</f>
        <v>597.52</v>
      </c>
      <c r="F654" s="410">
        <f>$F$574</f>
        <v>596.41</v>
      </c>
      <c r="G654" s="410">
        <f>E654*G649</f>
        <v>590.84261612312787</v>
      </c>
      <c r="H654" s="410">
        <f>F654*H649</f>
        <v>604.67891512421011</v>
      </c>
      <c r="I654" s="410">
        <f t="shared" si="103"/>
        <v>1.7170114942528736</v>
      </c>
      <c r="J654" s="410">
        <f t="shared" si="103"/>
        <v>1.8073030303030302</v>
      </c>
      <c r="K654" s="410">
        <f t="shared" si="104"/>
        <v>1.6978236095492181</v>
      </c>
      <c r="L654" s="551">
        <f t="shared" si="104"/>
        <v>1.8323603488612428</v>
      </c>
    </row>
    <row r="655" spans="1:16" x14ac:dyDescent="0.25">
      <c r="A655" s="550" t="s">
        <v>61</v>
      </c>
      <c r="B655" s="408">
        <f>$E$577</f>
        <v>8037</v>
      </c>
      <c r="C655" s="408">
        <f>$F$577</f>
        <v>8037</v>
      </c>
      <c r="D655" s="410" t="s">
        <v>65</v>
      </c>
      <c r="E655" s="410">
        <f>$E$579</f>
        <v>7201.8</v>
      </c>
      <c r="F655" s="410">
        <f>$F$579</f>
        <v>7201.8</v>
      </c>
      <c r="G655" s="410">
        <f>E655*G649</f>
        <v>7121.3187053078427</v>
      </c>
      <c r="H655" s="410">
        <f>F655*H649</f>
        <v>7301.6492193986287</v>
      </c>
      <c r="I655" s="410">
        <f t="shared" si="103"/>
        <v>0.89608062709966407</v>
      </c>
      <c r="J655" s="410">
        <f t="shared" si="103"/>
        <v>0.89608062709966407</v>
      </c>
      <c r="K655" s="410">
        <f t="shared" si="104"/>
        <v>0.88606677930917543</v>
      </c>
      <c r="L655" s="551">
        <f t="shared" si="104"/>
        <v>0.90850431994508263</v>
      </c>
    </row>
    <row r="656" spans="1:16" x14ac:dyDescent="0.25">
      <c r="A656" s="550" t="s">
        <v>121</v>
      </c>
      <c r="B656" s="408">
        <f>$E$582</f>
        <v>24</v>
      </c>
      <c r="C656" s="408">
        <f>$F$582</f>
        <v>24</v>
      </c>
      <c r="D656" s="410" t="s">
        <v>64</v>
      </c>
      <c r="E656" s="410">
        <f>$E$583</f>
        <v>870821.18</v>
      </c>
      <c r="F656" s="410">
        <f>$F$583</f>
        <v>877917.99</v>
      </c>
      <c r="G656" s="410">
        <f>E656*G649</f>
        <v>861089.61066847842</v>
      </c>
      <c r="H656" s="410">
        <f>F656*H649</f>
        <v>890089.86730810534</v>
      </c>
      <c r="I656" s="410">
        <f t="shared" si="103"/>
        <v>36284.215833333335</v>
      </c>
      <c r="J656" s="410">
        <f t="shared" si="103"/>
        <v>36579.916250000002</v>
      </c>
      <c r="K656" s="410">
        <f t="shared" si="104"/>
        <v>35878.733777853267</v>
      </c>
      <c r="L656" s="551">
        <f t="shared" si="104"/>
        <v>37087.077804504392</v>
      </c>
    </row>
    <row r="657" spans="1:16" x14ac:dyDescent="0.25">
      <c r="A657" s="550" t="s">
        <v>12</v>
      </c>
      <c r="B657" s="408">
        <f>SUM(B651:B656)</f>
        <v>42160</v>
      </c>
      <c r="C657" s="408">
        <f>SUM(C651:C656)</f>
        <v>42256</v>
      </c>
      <c r="D657" s="411"/>
      <c r="E657" s="411"/>
      <c r="F657" s="411"/>
      <c r="G657" s="411"/>
      <c r="H657" s="411"/>
      <c r="I657" s="411"/>
      <c r="J657" s="411"/>
      <c r="K657" s="411"/>
      <c r="L657" s="552"/>
    </row>
    <row r="658" spans="1:16" x14ac:dyDescent="0.25">
      <c r="A658" s="528"/>
      <c r="B658" s="583" t="s">
        <v>134</v>
      </c>
      <c r="C658" s="583"/>
      <c r="D658" s="412"/>
      <c r="E658" s="583" t="s">
        <v>134</v>
      </c>
      <c r="F658" s="583"/>
      <c r="G658" s="583" t="s">
        <v>134</v>
      </c>
      <c r="H658" s="583"/>
      <c r="I658" s="583" t="s">
        <v>134</v>
      </c>
      <c r="J658" s="583"/>
      <c r="K658" s="583" t="s">
        <v>134</v>
      </c>
      <c r="L658" s="584"/>
      <c r="M658" s="414">
        <f>B659/B651</f>
        <v>3.5968827016585624E-3</v>
      </c>
      <c r="N658" s="414">
        <f>E659/E651</f>
        <v>-1.9091434166560492E-2</v>
      </c>
      <c r="O658" s="414">
        <f>G659/G651</f>
        <v>5.747749876832681E-3</v>
      </c>
      <c r="P658" s="414">
        <f>I659/I651</f>
        <v>-2.260700213330925E-2</v>
      </c>
    </row>
    <row r="659" spans="1:16" x14ac:dyDescent="0.25">
      <c r="A659" s="553" t="s">
        <v>1</v>
      </c>
      <c r="B659" s="576">
        <f t="shared" ref="B659:B664" si="105">C651-B651</f>
        <v>108</v>
      </c>
      <c r="C659" s="576"/>
      <c r="D659" s="413" t="str">
        <f t="shared" ref="D659:D664" si="106">D651</f>
        <v>kWh</v>
      </c>
      <c r="E659" s="576">
        <f t="shared" ref="E659:E664" si="107">F651-E651</f>
        <v>-5692778.5900000334</v>
      </c>
      <c r="F659" s="576"/>
      <c r="G659" s="576">
        <f t="shared" ref="G659:G664" si="108">H651-G651</f>
        <v>1694739.5538114309</v>
      </c>
      <c r="H659" s="576"/>
      <c r="I659" s="576">
        <f t="shared" ref="I659:I664" si="109">J651-I651</f>
        <v>-224.50769646251683</v>
      </c>
      <c r="J659" s="576"/>
      <c r="K659" s="576">
        <f t="shared" ref="K659:K664" si="110">L651-K651</f>
        <v>21.045629118032593</v>
      </c>
      <c r="L659" s="577"/>
      <c r="M659" s="414">
        <f t="shared" ref="M659:M663" si="111">B660/B652</f>
        <v>2.0268256333830104E-2</v>
      </c>
      <c r="N659" s="414">
        <f t="shared" ref="N659:N663" si="112">E660/E652</f>
        <v>4.4764684505232515E-2</v>
      </c>
      <c r="O659" s="414">
        <f t="shared" ref="O659:O663" si="113">G660/G652</f>
        <v>7.1220873373777582E-2</v>
      </c>
      <c r="P659" s="414">
        <f t="shared" ref="P659:P663" si="114">I660/I652</f>
        <v>2.4009791561511853E-2</v>
      </c>
    </row>
    <row r="660" spans="1:16" x14ac:dyDescent="0.25">
      <c r="A660" s="553" t="s">
        <v>105</v>
      </c>
      <c r="B660" s="576">
        <f t="shared" si="105"/>
        <v>68</v>
      </c>
      <c r="C660" s="576"/>
      <c r="D660" s="413" t="str">
        <f t="shared" si="106"/>
        <v>kWh</v>
      </c>
      <c r="E660" s="576">
        <f t="shared" si="107"/>
        <v>3794905</v>
      </c>
      <c r="F660" s="576"/>
      <c r="G660" s="576">
        <f t="shared" si="108"/>
        <v>5970243.4595497996</v>
      </c>
      <c r="H660" s="576"/>
      <c r="I660" s="576">
        <f t="shared" si="109"/>
        <v>606.68218986752618</v>
      </c>
      <c r="J660" s="576"/>
      <c r="K660" s="576">
        <f t="shared" si="110"/>
        <v>1247.7981647685519</v>
      </c>
      <c r="L660" s="577"/>
      <c r="M660" s="414">
        <f t="shared" si="111"/>
        <v>-0.16756756756756758</v>
      </c>
      <c r="N660" s="414">
        <f t="shared" si="112"/>
        <v>-1.8651449764038753E-2</v>
      </c>
      <c r="O660" s="414">
        <f t="shared" si="113"/>
        <v>6.1988758413014265E-3</v>
      </c>
      <c r="P660" s="414">
        <f t="shared" si="114"/>
        <v>0.1788927389198236</v>
      </c>
    </row>
    <row r="661" spans="1:16" x14ac:dyDescent="0.25">
      <c r="A661" s="539" t="s">
        <v>208</v>
      </c>
      <c r="B661" s="576">
        <f t="shared" si="105"/>
        <v>-62</v>
      </c>
      <c r="C661" s="576"/>
      <c r="D661" s="413" t="str">
        <f t="shared" si="106"/>
        <v>kW</v>
      </c>
      <c r="E661" s="576">
        <f t="shared" si="107"/>
        <v>-10200.619999999995</v>
      </c>
      <c r="F661" s="576"/>
      <c r="G661" s="576">
        <f t="shared" si="108"/>
        <v>3352.3262537680566</v>
      </c>
      <c r="H661" s="576"/>
      <c r="I661" s="576">
        <f t="shared" si="109"/>
        <v>264.42649210249215</v>
      </c>
      <c r="J661" s="576"/>
      <c r="K661" s="576">
        <f t="shared" si="110"/>
        <v>305.10444590230304</v>
      </c>
      <c r="L661" s="577"/>
      <c r="M661" s="414">
        <f t="shared" si="111"/>
        <v>-5.1724137931034482E-2</v>
      </c>
      <c r="N661" s="414">
        <f t="shared" si="112"/>
        <v>-1.8576784040701796E-3</v>
      </c>
      <c r="O661" s="414">
        <f t="shared" si="113"/>
        <v>2.3417909648884978E-2</v>
      </c>
      <c r="P661" s="414">
        <f t="shared" si="114"/>
        <v>5.2586448228435029E-2</v>
      </c>
    </row>
    <row r="662" spans="1:16" x14ac:dyDescent="0.25">
      <c r="A662" s="553" t="s">
        <v>120</v>
      </c>
      <c r="B662" s="576">
        <f t="shared" si="105"/>
        <v>-18</v>
      </c>
      <c r="C662" s="576"/>
      <c r="D662" s="413" t="str">
        <f t="shared" si="106"/>
        <v>kW</v>
      </c>
      <c r="E662" s="576">
        <f t="shared" si="107"/>
        <v>-1.1100000000000136</v>
      </c>
      <c r="F662" s="576"/>
      <c r="G662" s="576">
        <f t="shared" si="108"/>
        <v>13.836299001082239</v>
      </c>
      <c r="H662" s="576"/>
      <c r="I662" s="576">
        <f t="shared" si="109"/>
        <v>9.0291536050156607E-2</v>
      </c>
      <c r="J662" s="576"/>
      <c r="K662" s="576">
        <f t="shared" si="110"/>
        <v>0.1345367393120247</v>
      </c>
      <c r="L662" s="577"/>
      <c r="M662" s="414">
        <f t="shared" si="111"/>
        <v>0</v>
      </c>
      <c r="N662" s="414">
        <f t="shared" si="112"/>
        <v>0</v>
      </c>
      <c r="O662" s="414">
        <f t="shared" si="113"/>
        <v>2.5322629354641499E-2</v>
      </c>
      <c r="P662" s="414">
        <f t="shared" si="114"/>
        <v>0</v>
      </c>
    </row>
    <row r="663" spans="1:16" x14ac:dyDescent="0.25">
      <c r="A663" s="553" t="s">
        <v>61</v>
      </c>
      <c r="B663" s="576">
        <f t="shared" si="105"/>
        <v>0</v>
      </c>
      <c r="C663" s="576"/>
      <c r="D663" s="413" t="str">
        <f t="shared" si="106"/>
        <v>kW</v>
      </c>
      <c r="E663" s="576">
        <f t="shared" si="107"/>
        <v>0</v>
      </c>
      <c r="F663" s="576"/>
      <c r="G663" s="576">
        <f t="shared" si="108"/>
        <v>180.33051409078598</v>
      </c>
      <c r="H663" s="576"/>
      <c r="I663" s="576">
        <f t="shared" si="109"/>
        <v>0</v>
      </c>
      <c r="J663" s="576"/>
      <c r="K663" s="576">
        <f t="shared" si="110"/>
        <v>2.2437540635907194E-2</v>
      </c>
      <c r="L663" s="577"/>
      <c r="M663" s="414">
        <f t="shared" si="111"/>
        <v>0</v>
      </c>
      <c r="N663" s="414">
        <f t="shared" si="112"/>
        <v>8.1495606250641933E-3</v>
      </c>
      <c r="O663" s="414">
        <f t="shared" si="113"/>
        <v>3.3678558282817433E-2</v>
      </c>
      <c r="P663" s="414">
        <f t="shared" si="114"/>
        <v>8.1495606250642609E-3</v>
      </c>
    </row>
    <row r="664" spans="1:16" ht="16.5" thickBot="1" x14ac:dyDescent="0.3">
      <c r="A664" s="554" t="s">
        <v>121</v>
      </c>
      <c r="B664" s="591">
        <f t="shared" si="105"/>
        <v>0</v>
      </c>
      <c r="C664" s="591"/>
      <c r="D664" s="555" t="str">
        <f t="shared" si="106"/>
        <v>kWh</v>
      </c>
      <c r="E664" s="591">
        <f t="shared" si="107"/>
        <v>7096.8099999999395</v>
      </c>
      <c r="F664" s="591"/>
      <c r="G664" s="591">
        <f t="shared" si="108"/>
        <v>29000.256639626925</v>
      </c>
      <c r="H664" s="591"/>
      <c r="I664" s="591">
        <f t="shared" si="109"/>
        <v>295.70041666666657</v>
      </c>
      <c r="J664" s="591"/>
      <c r="K664" s="591">
        <f t="shared" si="110"/>
        <v>1208.3440266511243</v>
      </c>
      <c r="L664" s="592"/>
    </row>
    <row r="666" spans="1:16" ht="16.5" thickBot="1" x14ac:dyDescent="0.3">
      <c r="A666" s="373" t="s">
        <v>412</v>
      </c>
      <c r="B666" s="373"/>
      <c r="C666" s="373"/>
    </row>
    <row r="667" spans="1:16" ht="71.25" customHeight="1" x14ac:dyDescent="0.25">
      <c r="A667" s="478" t="s">
        <v>157</v>
      </c>
      <c r="B667" s="588" t="s">
        <v>158</v>
      </c>
      <c r="C667" s="589"/>
      <c r="D667" s="547" t="s">
        <v>159</v>
      </c>
      <c r="E667" s="588" t="s">
        <v>72</v>
      </c>
      <c r="F667" s="589"/>
      <c r="G667" s="588" t="s">
        <v>192</v>
      </c>
      <c r="H667" s="589"/>
      <c r="I667" s="588" t="s">
        <v>160</v>
      </c>
      <c r="J667" s="589"/>
      <c r="K667" s="588" t="s">
        <v>161</v>
      </c>
      <c r="L667" s="590"/>
    </row>
    <row r="668" spans="1:16" x14ac:dyDescent="0.25">
      <c r="A668" s="578" t="str">
        <f>A649</f>
        <v>Weather 
Normal Conversion 
Factor</v>
      </c>
      <c r="B668" s="579"/>
      <c r="C668" s="579"/>
      <c r="D668" s="579"/>
      <c r="E668" s="579"/>
      <c r="F668" s="580"/>
      <c r="G668" s="324">
        <f>H649</f>
        <v>1.0138644810184438</v>
      </c>
      <c r="H668" s="370">
        <f>$F$239</f>
        <v>1.0143161099596956</v>
      </c>
      <c r="I668" s="581"/>
      <c r="J668" s="581"/>
      <c r="K668" s="581"/>
      <c r="L668" s="582"/>
    </row>
    <row r="669" spans="1:16" x14ac:dyDescent="0.25">
      <c r="A669" s="548"/>
      <c r="B669" s="409" t="s">
        <v>252</v>
      </c>
      <c r="C669" s="409" t="s">
        <v>310</v>
      </c>
      <c r="E669" s="409" t="str">
        <f>B669</f>
        <v>2021 Actual</v>
      </c>
      <c r="F669" s="409" t="str">
        <f>C669</f>
        <v>2022 Bridge</v>
      </c>
      <c r="G669" s="409" t="str">
        <f t="shared" ref="G669:L669" si="115">E669</f>
        <v>2021 Actual</v>
      </c>
      <c r="H669" s="409" t="str">
        <f t="shared" si="115"/>
        <v>2022 Bridge</v>
      </c>
      <c r="I669" s="409" t="str">
        <f t="shared" si="115"/>
        <v>2021 Actual</v>
      </c>
      <c r="J669" s="409" t="str">
        <f t="shared" si="115"/>
        <v>2022 Bridge</v>
      </c>
      <c r="K669" s="409" t="str">
        <f t="shared" si="115"/>
        <v>2021 Actual</v>
      </c>
      <c r="L669" s="549" t="str">
        <f t="shared" si="115"/>
        <v>2022 Bridge</v>
      </c>
    </row>
    <row r="670" spans="1:16" x14ac:dyDescent="0.25">
      <c r="A670" s="550" t="s">
        <v>1</v>
      </c>
      <c r="B670" s="408">
        <f>$F$559</f>
        <v>30134</v>
      </c>
      <c r="C670" s="408">
        <f>$G$559</f>
        <v>30236.906716667905</v>
      </c>
      <c r="D670" s="410" t="s">
        <v>64</v>
      </c>
      <c r="E670" s="410">
        <f>$F$560</f>
        <v>292492184.38</v>
      </c>
      <c r="F670" s="410">
        <f>$G$560</f>
        <v>281801295.07369024</v>
      </c>
      <c r="G670" s="410">
        <f>E670*G668</f>
        <v>296547436.71837968</v>
      </c>
      <c r="H670" s="410">
        <f>F670*H668</f>
        <v>285835593.4007498</v>
      </c>
      <c r="I670" s="410">
        <f t="shared" ref="I670:J675" si="116">E670/B670</f>
        <v>9706.3842961438913</v>
      </c>
      <c r="J670" s="410">
        <f t="shared" si="116"/>
        <v>9319.7792259070284</v>
      </c>
      <c r="K670" s="410">
        <f t="shared" ref="K670:L675" si="117">G670/B670</f>
        <v>9840.9582769754979</v>
      </c>
      <c r="L670" s="551">
        <f t="shared" si="117"/>
        <v>9453.2022101052007</v>
      </c>
    </row>
    <row r="671" spans="1:16" x14ac:dyDescent="0.25">
      <c r="A671" s="550" t="s">
        <v>105</v>
      </c>
      <c r="B671" s="408">
        <f>$F$563</f>
        <v>3423</v>
      </c>
      <c r="C671" s="408">
        <f>$G$563</f>
        <v>3396.8127786141727</v>
      </c>
      <c r="D671" s="410" t="s">
        <v>64</v>
      </c>
      <c r="E671" s="410">
        <f>$F$564</f>
        <v>88569433</v>
      </c>
      <c r="F671" s="410">
        <f>$G$564</f>
        <v>86483996.46160832</v>
      </c>
      <c r="G671" s="410">
        <f>E671*G668</f>
        <v>89797402.222642839</v>
      </c>
      <c r="H671" s="410">
        <f>F671*H668</f>
        <v>87722110.864706621</v>
      </c>
      <c r="I671" s="410">
        <f t="shared" si="116"/>
        <v>25874.797838153667</v>
      </c>
      <c r="J671" s="410">
        <f t="shared" si="116"/>
        <v>25460.336526669555</v>
      </c>
      <c r="K671" s="410">
        <f t="shared" si="117"/>
        <v>26233.538481636821</v>
      </c>
      <c r="L671" s="551">
        <f t="shared" si="117"/>
        <v>25824.829503996207</v>
      </c>
    </row>
    <row r="672" spans="1:16" x14ac:dyDescent="0.25">
      <c r="A672" s="539" t="s">
        <v>208</v>
      </c>
      <c r="B672" s="408">
        <f>$F$567</f>
        <v>308</v>
      </c>
      <c r="C672" s="408">
        <f>$G$567</f>
        <v>348.35469751603625</v>
      </c>
      <c r="D672" s="410" t="s">
        <v>65</v>
      </c>
      <c r="E672" s="410">
        <f>$F$569</f>
        <v>536707</v>
      </c>
      <c r="F672" s="410">
        <f>$G$569</f>
        <v>570894.43770666083</v>
      </c>
      <c r="G672" s="410">
        <f>E672*G668</f>
        <v>544148.16401396599</v>
      </c>
      <c r="H672" s="410">
        <f>F672*H668</f>
        <v>579067.42525224795</v>
      </c>
      <c r="I672" s="410">
        <f t="shared" si="116"/>
        <v>1742.5551948051948</v>
      </c>
      <c r="J672" s="410">
        <f t="shared" si="116"/>
        <v>1638.8308863852199</v>
      </c>
      <c r="K672" s="410">
        <f t="shared" si="117"/>
        <v>1766.7148182271624</v>
      </c>
      <c r="L672" s="551">
        <f t="shared" si="117"/>
        <v>1662.2925695600559</v>
      </c>
    </row>
    <row r="673" spans="1:16" x14ac:dyDescent="0.25">
      <c r="A673" s="550" t="s">
        <v>120</v>
      </c>
      <c r="B673" s="408">
        <f>$F$572</f>
        <v>330</v>
      </c>
      <c r="C673" s="408">
        <f>$G$572</f>
        <v>323.55098668062487</v>
      </c>
      <c r="D673" s="410" t="s">
        <v>65</v>
      </c>
      <c r="E673" s="410">
        <f>$F$574</f>
        <v>596.41</v>
      </c>
      <c r="F673" s="410">
        <f>$G$574</f>
        <v>580.3420126565635</v>
      </c>
      <c r="G673" s="410">
        <f>E673*G668</f>
        <v>604.67891512421011</v>
      </c>
      <c r="H673" s="410">
        <f>F673*H668</f>
        <v>588.65025272398589</v>
      </c>
      <c r="I673" s="410">
        <f t="shared" si="116"/>
        <v>1.8073030303030302</v>
      </c>
      <c r="J673" s="410">
        <f t="shared" si="116"/>
        <v>1.7936647902403569</v>
      </c>
      <c r="K673" s="410">
        <f t="shared" si="117"/>
        <v>1.8323603488612428</v>
      </c>
      <c r="L673" s="551">
        <f t="shared" si="117"/>
        <v>1.8193430926082721</v>
      </c>
    </row>
    <row r="674" spans="1:16" x14ac:dyDescent="0.25">
      <c r="A674" s="550" t="s">
        <v>61</v>
      </c>
      <c r="B674" s="408">
        <f>$F$577</f>
        <v>8037</v>
      </c>
      <c r="C674" s="408">
        <f>$G$577</f>
        <v>8037</v>
      </c>
      <c r="D674" s="410" t="s">
        <v>65</v>
      </c>
      <c r="E674" s="410">
        <f>$F$579</f>
        <v>7201.8</v>
      </c>
      <c r="F674" s="410">
        <f>$G$579</f>
        <v>7200.0649104265394</v>
      </c>
      <c r="G674" s="410">
        <f>E674*G668</f>
        <v>7301.6492193986287</v>
      </c>
      <c r="H674" s="410">
        <f>F674*H668</f>
        <v>7303.1418314011516</v>
      </c>
      <c r="I674" s="410">
        <f t="shared" si="116"/>
        <v>0.89608062709966407</v>
      </c>
      <c r="J674" s="410">
        <f t="shared" si="116"/>
        <v>0.89586473938366795</v>
      </c>
      <c r="K674" s="410">
        <f t="shared" si="117"/>
        <v>0.90850431994508263</v>
      </c>
      <c r="L674" s="551">
        <f t="shared" si="117"/>
        <v>0.90869003750169863</v>
      </c>
    </row>
    <row r="675" spans="1:16" x14ac:dyDescent="0.25">
      <c r="A675" s="550" t="s">
        <v>121</v>
      </c>
      <c r="B675" s="408">
        <f>$F$582</f>
        <v>24</v>
      </c>
      <c r="C675" s="408">
        <f>$G$582</f>
        <v>24.567276048890488</v>
      </c>
      <c r="D675" s="410" t="s">
        <v>64</v>
      </c>
      <c r="E675" s="410">
        <f>$F$583</f>
        <v>877917.99</v>
      </c>
      <c r="F675" s="410">
        <f>$G$583</f>
        <v>878223.07128615165</v>
      </c>
      <c r="G675" s="410">
        <f>E675*G668</f>
        <v>890089.86730810534</v>
      </c>
      <c r="H675" s="410">
        <f>F675*H668</f>
        <v>890795.80934382579</v>
      </c>
      <c r="I675" s="410">
        <f t="shared" si="116"/>
        <v>36579.916250000002</v>
      </c>
      <c r="J675" s="410">
        <f t="shared" si="116"/>
        <v>35747.677908549173</v>
      </c>
      <c r="K675" s="410">
        <f t="shared" si="117"/>
        <v>37087.077804504392</v>
      </c>
      <c r="L675" s="551">
        <f t="shared" si="117"/>
        <v>36259.445596291742</v>
      </c>
    </row>
    <row r="676" spans="1:16" x14ac:dyDescent="0.25">
      <c r="A676" s="550" t="s">
        <v>12</v>
      </c>
      <c r="B676" s="408">
        <f>SUM(B670:B675)</f>
        <v>42256</v>
      </c>
      <c r="C676" s="408">
        <f>SUM(C670:C675)</f>
        <v>42367.192455527627</v>
      </c>
      <c r="D676" s="411"/>
      <c r="E676" s="411"/>
      <c r="F676" s="411"/>
      <c r="G676" s="411"/>
      <c r="H676" s="411"/>
      <c r="I676" s="411"/>
      <c r="J676" s="411"/>
      <c r="K676" s="411"/>
      <c r="L676" s="552"/>
    </row>
    <row r="677" spans="1:16" x14ac:dyDescent="0.25">
      <c r="A677" s="528"/>
      <c r="B677" s="583" t="s">
        <v>134</v>
      </c>
      <c r="C677" s="583"/>
      <c r="D677" s="412"/>
      <c r="E677" s="583" t="s">
        <v>134</v>
      </c>
      <c r="F677" s="583"/>
      <c r="G677" s="583" t="s">
        <v>134</v>
      </c>
      <c r="H677" s="583"/>
      <c r="I677" s="583" t="s">
        <v>134</v>
      </c>
      <c r="J677" s="583"/>
      <c r="K677" s="583" t="s">
        <v>134</v>
      </c>
      <c r="L677" s="584"/>
      <c r="M677" s="414">
        <f>B678/B670</f>
        <v>3.4149703546792701E-3</v>
      </c>
      <c r="N677" s="414">
        <f>E678/E670</f>
        <v>-3.6551025556362797E-2</v>
      </c>
      <c r="O677" s="414">
        <f>G678/G670</f>
        <v>-3.6121854352099907E-2</v>
      </c>
      <c r="P677" s="414">
        <f>I678/I670</f>
        <v>-3.9829977717907965E-2</v>
      </c>
    </row>
    <row r="678" spans="1:16" x14ac:dyDescent="0.25">
      <c r="A678" s="553" t="s">
        <v>1</v>
      </c>
      <c r="B678" s="576">
        <f t="shared" ref="B678:B683" si="118">C670-B670</f>
        <v>102.90671666790513</v>
      </c>
      <c r="C678" s="576"/>
      <c r="D678" s="413" t="str">
        <f t="shared" ref="D678:D683" si="119">D670</f>
        <v>kWh</v>
      </c>
      <c r="E678" s="576">
        <f t="shared" ref="E678:E683" si="120">F670-E670</f>
        <v>-10690889.30630976</v>
      </c>
      <c r="F678" s="576"/>
      <c r="G678" s="576">
        <f t="shared" ref="G678:G683" si="121">H670-G670</f>
        <v>-10711843.317629874</v>
      </c>
      <c r="H678" s="576"/>
      <c r="I678" s="576">
        <f t="shared" ref="I678:I683" si="122">J670-I670</f>
        <v>-386.60507023686296</v>
      </c>
      <c r="J678" s="576"/>
      <c r="K678" s="576">
        <f t="shared" ref="K678:K683" si="123">L670-K670</f>
        <v>-387.75606687029722</v>
      </c>
      <c r="L678" s="577"/>
      <c r="M678" s="414">
        <f t="shared" ref="M678:M682" si="124">B679/B671</f>
        <v>-7.650371424431009E-3</v>
      </c>
      <c r="N678" s="414">
        <f t="shared" ref="N678:N682" si="125">E679/E671</f>
        <v>-2.3545781741559524E-2</v>
      </c>
      <c r="O678" s="414">
        <f t="shared" ref="O678:O682" si="126">G679/G671</f>
        <v>-2.311081731285233E-2</v>
      </c>
      <c r="P678" s="414">
        <f t="shared" ref="P678:P682" si="127">I679/I671</f>
        <v>-1.6017953611717442E-2</v>
      </c>
    </row>
    <row r="679" spans="1:16" x14ac:dyDescent="0.25">
      <c r="A679" s="553" t="s">
        <v>105</v>
      </c>
      <c r="B679" s="576">
        <f t="shared" si="118"/>
        <v>-26.187221385827343</v>
      </c>
      <c r="C679" s="576"/>
      <c r="D679" s="413" t="str">
        <f t="shared" si="119"/>
        <v>kWh</v>
      </c>
      <c r="E679" s="576">
        <f t="shared" si="120"/>
        <v>-2085436.5383916795</v>
      </c>
      <c r="F679" s="576"/>
      <c r="G679" s="576">
        <f t="shared" si="121"/>
        <v>-2075291.3579362184</v>
      </c>
      <c r="H679" s="576"/>
      <c r="I679" s="576">
        <f t="shared" si="122"/>
        <v>-414.46131148411223</v>
      </c>
      <c r="J679" s="576"/>
      <c r="K679" s="576">
        <f t="shared" si="123"/>
        <v>-408.70897764061374</v>
      </c>
      <c r="L679" s="577"/>
      <c r="M679" s="414">
        <f t="shared" si="124"/>
        <v>0.13102174518193588</v>
      </c>
      <c r="N679" s="414">
        <f t="shared" si="125"/>
        <v>6.3698512794990239E-2</v>
      </c>
      <c r="O679" s="414">
        <f t="shared" si="126"/>
        <v>6.4172340453556576E-2</v>
      </c>
      <c r="P679" s="414">
        <f t="shared" si="127"/>
        <v>-5.9524259965590687E-2</v>
      </c>
    </row>
    <row r="680" spans="1:16" x14ac:dyDescent="0.25">
      <c r="A680" s="539" t="s">
        <v>208</v>
      </c>
      <c r="B680" s="576">
        <f t="shared" si="118"/>
        <v>40.354697516036254</v>
      </c>
      <c r="C680" s="576"/>
      <c r="D680" s="413" t="str">
        <f t="shared" si="119"/>
        <v>kW</v>
      </c>
      <c r="E680" s="576">
        <f t="shared" si="120"/>
        <v>34187.437706660829</v>
      </c>
      <c r="F680" s="576"/>
      <c r="G680" s="576">
        <f t="shared" si="121"/>
        <v>34919.261238281964</v>
      </c>
      <c r="H680" s="576"/>
      <c r="I680" s="576">
        <f t="shared" si="122"/>
        <v>-103.72430841997493</v>
      </c>
      <c r="J680" s="576"/>
      <c r="K680" s="576">
        <f t="shared" si="123"/>
        <v>-104.42224866710649</v>
      </c>
      <c r="L680" s="577"/>
      <c r="M680" s="414">
        <f t="shared" si="124"/>
        <v>-1.9542464604167049E-2</v>
      </c>
      <c r="N680" s="414">
        <f t="shared" si="125"/>
        <v>-2.6941176947798448E-2</v>
      </c>
      <c r="O680" s="414">
        <f t="shared" si="126"/>
        <v>-2.6507725007960121E-2</v>
      </c>
      <c r="P680" s="414">
        <f t="shared" si="127"/>
        <v>-7.5461833649372086E-3</v>
      </c>
    </row>
    <row r="681" spans="1:16" x14ac:dyDescent="0.25">
      <c r="A681" s="553" t="s">
        <v>120</v>
      </c>
      <c r="B681" s="576">
        <f t="shared" si="118"/>
        <v>-6.4490133193751262</v>
      </c>
      <c r="C681" s="576"/>
      <c r="D681" s="413" t="str">
        <f t="shared" si="119"/>
        <v>kW</v>
      </c>
      <c r="E681" s="576">
        <f t="shared" si="120"/>
        <v>-16.067987343436471</v>
      </c>
      <c r="F681" s="576"/>
      <c r="G681" s="576">
        <f t="shared" si="121"/>
        <v>-16.028662400224221</v>
      </c>
      <c r="H681" s="576"/>
      <c r="I681" s="576">
        <f t="shared" si="122"/>
        <v>-1.3638240062673335E-2</v>
      </c>
      <c r="J681" s="576"/>
      <c r="K681" s="576">
        <f t="shared" si="123"/>
        <v>-1.3017256252970677E-2</v>
      </c>
      <c r="L681" s="577"/>
      <c r="M681" s="414">
        <f t="shared" si="124"/>
        <v>0</v>
      </c>
      <c r="N681" s="414">
        <f t="shared" si="125"/>
        <v>-2.409244318726922E-4</v>
      </c>
      <c r="O681" s="414">
        <f t="shared" si="126"/>
        <v>2.0442121466989339E-4</v>
      </c>
      <c r="P681" s="414">
        <f t="shared" si="127"/>
        <v>-2.4092443187270237E-4</v>
      </c>
    </row>
    <row r="682" spans="1:16" x14ac:dyDescent="0.25">
      <c r="A682" s="553" t="s">
        <v>61</v>
      </c>
      <c r="B682" s="576">
        <f t="shared" si="118"/>
        <v>0</v>
      </c>
      <c r="C682" s="576"/>
      <c r="D682" s="413" t="str">
        <f t="shared" si="119"/>
        <v>kW</v>
      </c>
      <c r="E682" s="576">
        <f t="shared" si="120"/>
        <v>-1.7350895734607548</v>
      </c>
      <c r="F682" s="576"/>
      <c r="G682" s="576">
        <f t="shared" si="121"/>
        <v>1.4926120025229466</v>
      </c>
      <c r="H682" s="576"/>
      <c r="I682" s="576">
        <f t="shared" si="122"/>
        <v>-2.1588771599612144E-4</v>
      </c>
      <c r="J682" s="576"/>
      <c r="K682" s="576">
        <f t="shared" si="123"/>
        <v>1.857175566160052E-4</v>
      </c>
      <c r="L682" s="577"/>
      <c r="M682" s="414">
        <f t="shared" si="124"/>
        <v>2.3636502037103657E-2</v>
      </c>
      <c r="N682" s="414">
        <f t="shared" si="125"/>
        <v>3.4750544996994608E-4</v>
      </c>
      <c r="O682" s="414">
        <f t="shared" si="126"/>
        <v>7.9311321434927468E-4</v>
      </c>
      <c r="P682" s="414">
        <f t="shared" si="127"/>
        <v>-2.2751236929112142E-2</v>
      </c>
    </row>
    <row r="683" spans="1:16" ht="16.5" thickBot="1" x14ac:dyDescent="0.3">
      <c r="A683" s="554" t="s">
        <v>121</v>
      </c>
      <c r="B683" s="591">
        <f t="shared" si="118"/>
        <v>0.56727604889048777</v>
      </c>
      <c r="C683" s="591"/>
      <c r="D683" s="555" t="str">
        <f t="shared" si="119"/>
        <v>kWh</v>
      </c>
      <c r="E683" s="591">
        <f t="shared" si="120"/>
        <v>305.08128615166061</v>
      </c>
      <c r="F683" s="591"/>
      <c r="G683" s="591">
        <f t="shared" si="121"/>
        <v>705.9420357204508</v>
      </c>
      <c r="H683" s="591"/>
      <c r="I683" s="591">
        <f t="shared" si="122"/>
        <v>-832.23834145082947</v>
      </c>
      <c r="J683" s="591"/>
      <c r="K683" s="591">
        <f t="shared" si="123"/>
        <v>-827.63220821264986</v>
      </c>
      <c r="L683" s="592"/>
    </row>
    <row r="685" spans="1:16" ht="16.5" thickBot="1" x14ac:dyDescent="0.3">
      <c r="A685" s="373" t="s">
        <v>413</v>
      </c>
      <c r="B685" s="373"/>
      <c r="C685" s="373"/>
    </row>
    <row r="686" spans="1:16" ht="71.25" customHeight="1" x14ac:dyDescent="0.25">
      <c r="A686" s="478" t="s">
        <v>157</v>
      </c>
      <c r="B686" s="588" t="s">
        <v>158</v>
      </c>
      <c r="C686" s="589"/>
      <c r="D686" s="547" t="s">
        <v>159</v>
      </c>
      <c r="E686" s="588" t="s">
        <v>72</v>
      </c>
      <c r="F686" s="589"/>
      <c r="G686" s="588" t="s">
        <v>192</v>
      </c>
      <c r="H686" s="589"/>
      <c r="I686" s="588" t="s">
        <v>160</v>
      </c>
      <c r="J686" s="589"/>
      <c r="K686" s="588" t="s">
        <v>161</v>
      </c>
      <c r="L686" s="590"/>
    </row>
    <row r="687" spans="1:16" x14ac:dyDescent="0.25">
      <c r="A687" s="578" t="str">
        <f>A668</f>
        <v>Weather 
Normal Conversion 
Factor</v>
      </c>
      <c r="B687" s="579"/>
      <c r="C687" s="579"/>
      <c r="D687" s="579"/>
      <c r="E687" s="579"/>
      <c r="F687" s="580"/>
      <c r="G687" s="324">
        <f>H668</f>
        <v>1.0143161099596956</v>
      </c>
      <c r="H687" s="370">
        <f>$F$240</f>
        <v>0.97573511956554815</v>
      </c>
      <c r="I687" s="581"/>
      <c r="J687" s="581"/>
      <c r="K687" s="581"/>
      <c r="L687" s="582"/>
    </row>
    <row r="688" spans="1:16" x14ac:dyDescent="0.25">
      <c r="A688" s="548"/>
      <c r="B688" s="409" t="s">
        <v>310</v>
      </c>
      <c r="C688" s="409" t="s">
        <v>318</v>
      </c>
      <c r="E688" s="409" t="str">
        <f>B688</f>
        <v>2022 Bridge</v>
      </c>
      <c r="F688" s="409" t="str">
        <f>C688</f>
        <v>2023 Test</v>
      </c>
      <c r="G688" s="409" t="str">
        <f t="shared" ref="G688:L688" si="128">E688</f>
        <v>2022 Bridge</v>
      </c>
      <c r="H688" s="409" t="str">
        <f t="shared" si="128"/>
        <v>2023 Test</v>
      </c>
      <c r="I688" s="409" t="str">
        <f t="shared" si="128"/>
        <v>2022 Bridge</v>
      </c>
      <c r="J688" s="409" t="str">
        <f t="shared" si="128"/>
        <v>2023 Test</v>
      </c>
      <c r="K688" s="409" t="str">
        <f t="shared" si="128"/>
        <v>2022 Bridge</v>
      </c>
      <c r="L688" s="549" t="str">
        <f t="shared" si="128"/>
        <v>2023 Test</v>
      </c>
    </row>
    <row r="689" spans="1:16" x14ac:dyDescent="0.25">
      <c r="A689" s="550" t="s">
        <v>1</v>
      </c>
      <c r="B689" s="408">
        <f>$G$559</f>
        <v>30236.906716667905</v>
      </c>
      <c r="C689" s="408">
        <f>$H$559</f>
        <v>30340</v>
      </c>
      <c r="D689" s="410" t="s">
        <v>64</v>
      </c>
      <c r="E689" s="410">
        <f>$G$560</f>
        <v>281801295.07369024</v>
      </c>
      <c r="F689" s="410">
        <f>$H$560</f>
        <v>273629866.26848006</v>
      </c>
      <c r="G689" s="410">
        <f>E689*G687</f>
        <v>285835593.4007498</v>
      </c>
      <c r="H689" s="410">
        <f>F689*H687</f>
        <v>266990270.28018034</v>
      </c>
      <c r="I689" s="410">
        <f t="shared" ref="I689:J694" si="129">E689/B689</f>
        <v>9319.7792259070284</v>
      </c>
      <c r="J689" s="410">
        <f t="shared" si="129"/>
        <v>9018.7826720000012</v>
      </c>
      <c r="K689" s="410">
        <f t="shared" ref="K689:L694" si="130">G689/B689</f>
        <v>9453.2022101052007</v>
      </c>
      <c r="L689" s="551">
        <f t="shared" si="130"/>
        <v>8799.9429887996157</v>
      </c>
    </row>
    <row r="690" spans="1:16" x14ac:dyDescent="0.25">
      <c r="A690" s="550" t="s">
        <v>105</v>
      </c>
      <c r="B690" s="408">
        <f>$G$563</f>
        <v>3396.8127786141727</v>
      </c>
      <c r="C690" s="408">
        <f>$H$563</f>
        <v>3400</v>
      </c>
      <c r="D690" s="410" t="s">
        <v>64</v>
      </c>
      <c r="E690" s="410">
        <f>$G$564</f>
        <v>86483996.46160832</v>
      </c>
      <c r="F690" s="410">
        <f>$H$564</f>
        <v>78837023.523271874</v>
      </c>
      <c r="G690" s="410">
        <f>E690*G687</f>
        <v>87722110.864706621</v>
      </c>
      <c r="H690" s="410">
        <f>F690*H687</f>
        <v>76924052.573671609</v>
      </c>
      <c r="I690" s="410">
        <f t="shared" si="129"/>
        <v>25460.336526669555</v>
      </c>
      <c r="J690" s="410">
        <f t="shared" si="129"/>
        <v>23187.359859785844</v>
      </c>
      <c r="K690" s="410">
        <f t="shared" si="130"/>
        <v>25824.829503996207</v>
      </c>
      <c r="L690" s="551">
        <f t="shared" si="130"/>
        <v>22624.721345197533</v>
      </c>
    </row>
    <row r="691" spans="1:16" x14ac:dyDescent="0.25">
      <c r="A691" s="539" t="s">
        <v>208</v>
      </c>
      <c r="B691" s="408">
        <f>$G$567</f>
        <v>348.35469751603625</v>
      </c>
      <c r="C691" s="408">
        <f>$H$567</f>
        <v>344</v>
      </c>
      <c r="D691" s="410" t="s">
        <v>65</v>
      </c>
      <c r="E691" s="410">
        <f>$G$569</f>
        <v>570894.43770666083</v>
      </c>
      <c r="F691" s="410">
        <f>$H$569</f>
        <v>542042.50976088888</v>
      </c>
      <c r="G691" s="410">
        <f>E691*G687</f>
        <v>579067.42525224795</v>
      </c>
      <c r="H691" s="410">
        <f>F691*H687</f>
        <v>528889.91307115066</v>
      </c>
      <c r="I691" s="410">
        <f t="shared" si="129"/>
        <v>1638.8308863852199</v>
      </c>
      <c r="J691" s="410">
        <f t="shared" si="129"/>
        <v>1575.7049702351421</v>
      </c>
      <c r="K691" s="410">
        <f t="shared" si="130"/>
        <v>1662.2925695600559</v>
      </c>
      <c r="L691" s="551">
        <f t="shared" si="130"/>
        <v>1537.4706775324148</v>
      </c>
    </row>
    <row r="692" spans="1:16" x14ac:dyDescent="0.25">
      <c r="A692" s="550" t="s">
        <v>120</v>
      </c>
      <c r="B692" s="408">
        <f>$G$572</f>
        <v>323.55098668062487</v>
      </c>
      <c r="C692" s="408">
        <f>$H$572</f>
        <v>317</v>
      </c>
      <c r="D692" s="410" t="s">
        <v>65</v>
      </c>
      <c r="E692" s="410">
        <f>$G$574</f>
        <v>580.3420126565635</v>
      </c>
      <c r="F692" s="410">
        <f>$H$574</f>
        <v>566.24754295926414</v>
      </c>
      <c r="G692" s="410">
        <f>E692*G687</f>
        <v>588.65025272398589</v>
      </c>
      <c r="H692" s="410">
        <f>F692*H687</f>
        <v>552.50761403305546</v>
      </c>
      <c r="I692" s="410">
        <f t="shared" si="129"/>
        <v>1.7936647902403569</v>
      </c>
      <c r="J692" s="410">
        <f t="shared" si="129"/>
        <v>1.7862698516065114</v>
      </c>
      <c r="K692" s="410">
        <f t="shared" si="130"/>
        <v>1.8193430926082721</v>
      </c>
      <c r="L692" s="551">
        <f t="shared" si="130"/>
        <v>1.7429262272336135</v>
      </c>
    </row>
    <row r="693" spans="1:16" x14ac:dyDescent="0.25">
      <c r="A693" s="550" t="s">
        <v>61</v>
      </c>
      <c r="B693" s="408">
        <f>$G$577</f>
        <v>8037</v>
      </c>
      <c r="C693" s="408">
        <f>$H$577</f>
        <v>8037</v>
      </c>
      <c r="D693" s="410" t="s">
        <v>65</v>
      </c>
      <c r="E693" s="410">
        <f>$G$579</f>
        <v>7200.0649104265394</v>
      </c>
      <c r="F693" s="410">
        <f>$H$579</f>
        <v>7200.0649104265394</v>
      </c>
      <c r="G693" s="410">
        <f>E693*G687</f>
        <v>7303.1418314011516</v>
      </c>
      <c r="H693" s="410">
        <f>F693*H687</f>
        <v>7025.3561962547474</v>
      </c>
      <c r="I693" s="410">
        <f t="shared" si="129"/>
        <v>0.89586473938366795</v>
      </c>
      <c r="J693" s="410">
        <f t="shared" si="129"/>
        <v>0.89586473938366795</v>
      </c>
      <c r="K693" s="410">
        <f t="shared" si="130"/>
        <v>0.90869003750169863</v>
      </c>
      <c r="L693" s="551">
        <f t="shared" si="130"/>
        <v>0.87412668859708187</v>
      </c>
    </row>
    <row r="694" spans="1:16" x14ac:dyDescent="0.25">
      <c r="A694" s="550" t="s">
        <v>121</v>
      </c>
      <c r="B694" s="408">
        <f>$G$582</f>
        <v>24.567276048890488</v>
      </c>
      <c r="C694" s="408">
        <f>$H$582</f>
        <v>25</v>
      </c>
      <c r="D694" s="410" t="s">
        <v>64</v>
      </c>
      <c r="E694" s="410">
        <f>$G$583</f>
        <v>878223.07128615165</v>
      </c>
      <c r="F694" s="410">
        <f>$H$583</f>
        <v>878528.2585897129</v>
      </c>
      <c r="G694" s="410">
        <f>E694*G687</f>
        <v>890795.80934382579</v>
      </c>
      <c r="H694" s="410">
        <f>F694*H687</f>
        <v>857210.87543674628</v>
      </c>
      <c r="I694" s="410">
        <f t="shared" si="129"/>
        <v>35747.677908549173</v>
      </c>
      <c r="J694" s="410">
        <f t="shared" si="129"/>
        <v>35141.130343588513</v>
      </c>
      <c r="K694" s="410">
        <f t="shared" si="130"/>
        <v>36259.445596291742</v>
      </c>
      <c r="L694" s="551">
        <f t="shared" si="130"/>
        <v>34288.435017469848</v>
      </c>
    </row>
    <row r="695" spans="1:16" x14ac:dyDescent="0.25">
      <c r="A695" s="550" t="s">
        <v>12</v>
      </c>
      <c r="B695" s="408">
        <f>SUM(B689:B694)</f>
        <v>42367.192455527627</v>
      </c>
      <c r="C695" s="408">
        <f>SUM(C689:C694)</f>
        <v>42463</v>
      </c>
      <c r="D695" s="411"/>
      <c r="E695" s="411"/>
      <c r="F695" s="411"/>
      <c r="G695" s="411"/>
      <c r="H695" s="411"/>
      <c r="I695" s="411"/>
      <c r="J695" s="411"/>
      <c r="K695" s="411"/>
      <c r="L695" s="552"/>
    </row>
    <row r="696" spans="1:16" x14ac:dyDescent="0.25">
      <c r="A696" s="528"/>
      <c r="B696" s="583" t="s">
        <v>134</v>
      </c>
      <c r="C696" s="583"/>
      <c r="D696" s="412"/>
      <c r="E696" s="583" t="s">
        <v>134</v>
      </c>
      <c r="F696" s="583"/>
      <c r="G696" s="583" t="s">
        <v>134</v>
      </c>
      <c r="H696" s="583"/>
      <c r="I696" s="583" t="s">
        <v>134</v>
      </c>
      <c r="J696" s="583"/>
      <c r="K696" s="583" t="s">
        <v>134</v>
      </c>
      <c r="L696" s="584"/>
      <c r="M696" s="414">
        <f>B697/B689</f>
        <v>3.4095181857761048E-3</v>
      </c>
      <c r="N696" s="414">
        <f>E697/E689</f>
        <v>-2.8997130063129654E-2</v>
      </c>
      <c r="O696" s="414">
        <f>G697/G689</f>
        <v>-6.593063829579747E-2</v>
      </c>
      <c r="P696" s="414">
        <f>I697/I689</f>
        <v>-3.229653263355424E-2</v>
      </c>
    </row>
    <row r="697" spans="1:16" x14ac:dyDescent="0.25">
      <c r="A697" s="553" t="s">
        <v>1</v>
      </c>
      <c r="B697" s="576">
        <f t="shared" ref="B697:B702" si="131">C689-B689</f>
        <v>103.09328333209487</v>
      </c>
      <c r="C697" s="576"/>
      <c r="D697" s="413" t="str">
        <f t="shared" ref="D697:D702" si="132">D689</f>
        <v>kWh</v>
      </c>
      <c r="E697" s="576">
        <f t="shared" ref="E697:E702" si="133">F689-E689</f>
        <v>-8171428.8052101731</v>
      </c>
      <c r="F697" s="576"/>
      <c r="G697" s="576">
        <f t="shared" ref="G697:G702" si="134">H689-G689</f>
        <v>-18845323.120569468</v>
      </c>
      <c r="H697" s="576"/>
      <c r="I697" s="576">
        <f t="shared" ref="I697:I702" si="135">J689-I689</f>
        <v>-300.99655390702719</v>
      </c>
      <c r="J697" s="576"/>
      <c r="K697" s="576">
        <f t="shared" ref="K697:K702" si="136">L689-K689</f>
        <v>-653.25922130558502</v>
      </c>
      <c r="L697" s="577"/>
      <c r="M697" s="414">
        <f t="shared" ref="M697:M701" si="137">B698/B690</f>
        <v>9.3829763179578631E-4</v>
      </c>
      <c r="N697" s="414">
        <f t="shared" ref="N697:N701" si="138">E698/E690</f>
        <v>-8.8420670311310887E-2</v>
      </c>
      <c r="O697" s="414">
        <f t="shared" ref="O697:O701" si="139">G698/G690</f>
        <v>-0.12309391765194529</v>
      </c>
      <c r="P697" s="414">
        <f t="shared" ref="P697:P701" si="140">I698/I690</f>
        <v>-8.927520123321156E-2</v>
      </c>
    </row>
    <row r="698" spans="1:16" x14ac:dyDescent="0.25">
      <c r="A698" s="553" t="s">
        <v>105</v>
      </c>
      <c r="B698" s="576">
        <f t="shared" si="131"/>
        <v>3.1872213858273426</v>
      </c>
      <c r="C698" s="576"/>
      <c r="D698" s="413" t="str">
        <f t="shared" si="132"/>
        <v>kWh</v>
      </c>
      <c r="E698" s="576">
        <f t="shared" si="133"/>
        <v>-7646972.9383364469</v>
      </c>
      <c r="F698" s="576"/>
      <c r="G698" s="576">
        <f t="shared" si="134"/>
        <v>-10798058.291035011</v>
      </c>
      <c r="H698" s="576"/>
      <c r="I698" s="576">
        <f t="shared" si="135"/>
        <v>-2272.976666883711</v>
      </c>
      <c r="J698" s="576"/>
      <c r="K698" s="576">
        <f t="shared" si="136"/>
        <v>-3200.1081587986737</v>
      </c>
      <c r="L698" s="577"/>
      <c r="M698" s="414">
        <f t="shared" si="137"/>
        <v>-1.2500757265762975E-2</v>
      </c>
      <c r="N698" s="414">
        <f t="shared" si="138"/>
        <v>-5.0538113598851984E-2</v>
      </c>
      <c r="O698" s="414">
        <f t="shared" si="139"/>
        <v>-8.6652279152534664E-2</v>
      </c>
      <c r="P698" s="414">
        <f t="shared" si="140"/>
        <v>-3.8518871394543325E-2</v>
      </c>
    </row>
    <row r="699" spans="1:16" x14ac:dyDescent="0.25">
      <c r="A699" s="539" t="s">
        <v>208</v>
      </c>
      <c r="B699" s="576">
        <f t="shared" si="131"/>
        <v>-4.3546975160362535</v>
      </c>
      <c r="C699" s="576"/>
      <c r="D699" s="413" t="str">
        <f t="shared" si="132"/>
        <v>kW</v>
      </c>
      <c r="E699" s="576">
        <f t="shared" si="133"/>
        <v>-28851.927945771953</v>
      </c>
      <c r="F699" s="576"/>
      <c r="G699" s="576">
        <f t="shared" si="134"/>
        <v>-50177.512181097292</v>
      </c>
      <c r="H699" s="576"/>
      <c r="I699" s="576">
        <f t="shared" si="135"/>
        <v>-63.125916150077728</v>
      </c>
      <c r="J699" s="576"/>
      <c r="K699" s="576">
        <f t="shared" si="136"/>
        <v>-124.82189202764107</v>
      </c>
      <c r="L699" s="577"/>
      <c r="M699" s="414">
        <f t="shared" si="137"/>
        <v>-2.0247154081750061E-2</v>
      </c>
      <c r="N699" s="414">
        <f t="shared" si="138"/>
        <v>-2.4286488639312466E-2</v>
      </c>
      <c r="O699" s="414">
        <f t="shared" si="139"/>
        <v>-6.1399172978657435E-2</v>
      </c>
      <c r="P699" s="414">
        <f t="shared" si="140"/>
        <v>-4.1228097212380986E-3</v>
      </c>
    </row>
    <row r="700" spans="1:16" x14ac:dyDescent="0.25">
      <c r="A700" s="553" t="s">
        <v>120</v>
      </c>
      <c r="B700" s="576">
        <f t="shared" si="131"/>
        <v>-6.5509866806248738</v>
      </c>
      <c r="C700" s="576"/>
      <c r="D700" s="413" t="str">
        <f t="shared" si="132"/>
        <v>kW</v>
      </c>
      <c r="E700" s="576">
        <f t="shared" si="133"/>
        <v>-14.09446969729936</v>
      </c>
      <c r="F700" s="576"/>
      <c r="G700" s="576">
        <f t="shared" si="134"/>
        <v>-36.142638690930426</v>
      </c>
      <c r="H700" s="576"/>
      <c r="I700" s="576">
        <f t="shared" si="135"/>
        <v>-7.3949386338454381E-3</v>
      </c>
      <c r="J700" s="576"/>
      <c r="K700" s="576">
        <f t="shared" si="136"/>
        <v>-7.6416865374658638E-2</v>
      </c>
      <c r="L700" s="577"/>
      <c r="M700" s="414">
        <f t="shared" si="137"/>
        <v>0</v>
      </c>
      <c r="N700" s="414">
        <f t="shared" si="138"/>
        <v>0</v>
      </c>
      <c r="O700" s="414">
        <f t="shared" si="139"/>
        <v>-3.8036456303233185E-2</v>
      </c>
      <c r="P700" s="414">
        <f t="shared" si="140"/>
        <v>0</v>
      </c>
    </row>
    <row r="701" spans="1:16" x14ac:dyDescent="0.25">
      <c r="A701" s="553" t="s">
        <v>61</v>
      </c>
      <c r="B701" s="576">
        <f t="shared" si="131"/>
        <v>0</v>
      </c>
      <c r="C701" s="576"/>
      <c r="D701" s="413" t="str">
        <f t="shared" si="132"/>
        <v>kW</v>
      </c>
      <c r="E701" s="576">
        <f t="shared" si="133"/>
        <v>0</v>
      </c>
      <c r="F701" s="576"/>
      <c r="G701" s="576">
        <f t="shared" si="134"/>
        <v>-277.78563514640427</v>
      </c>
      <c r="H701" s="576"/>
      <c r="I701" s="576">
        <f t="shared" si="135"/>
        <v>0</v>
      </c>
      <c r="J701" s="576"/>
      <c r="K701" s="576">
        <f t="shared" si="136"/>
        <v>-3.4563348904616764E-2</v>
      </c>
      <c r="L701" s="577"/>
      <c r="M701" s="414">
        <f t="shared" si="137"/>
        <v>1.761383517848553E-2</v>
      </c>
      <c r="N701" s="414">
        <f t="shared" si="138"/>
        <v>3.4750544996991128E-4</v>
      </c>
      <c r="O701" s="414">
        <f t="shared" si="139"/>
        <v>-3.7702168729126267E-2</v>
      </c>
      <c r="P701" s="414">
        <f t="shared" si="140"/>
        <v>-1.6967467551664436E-2</v>
      </c>
    </row>
    <row r="702" spans="1:16" ht="16.5" thickBot="1" x14ac:dyDescent="0.3">
      <c r="A702" s="554" t="s">
        <v>121</v>
      </c>
      <c r="B702" s="591">
        <f t="shared" si="131"/>
        <v>0.43272395110951223</v>
      </c>
      <c r="C702" s="591"/>
      <c r="D702" s="555" t="str">
        <f t="shared" si="132"/>
        <v>kWh</v>
      </c>
      <c r="E702" s="591">
        <f t="shared" si="133"/>
        <v>305.18730356125161</v>
      </c>
      <c r="F702" s="591"/>
      <c r="G702" s="591">
        <f t="shared" si="134"/>
        <v>-33584.93390707951</v>
      </c>
      <c r="H702" s="591"/>
      <c r="I702" s="591">
        <f t="shared" si="135"/>
        <v>-606.54756496065966</v>
      </c>
      <c r="J702" s="591"/>
      <c r="K702" s="591">
        <f t="shared" si="136"/>
        <v>-1971.0105788218934</v>
      </c>
      <c r="L702" s="592"/>
    </row>
  </sheetData>
  <mergeCells count="326">
    <mergeCell ref="A361:C361"/>
    <mergeCell ref="A362:C362"/>
    <mergeCell ref="K698:L698"/>
    <mergeCell ref="G698:H698"/>
    <mergeCell ref="E697:F697"/>
    <mergeCell ref="G696:H696"/>
    <mergeCell ref="I698:J698"/>
    <mergeCell ref="E623:F623"/>
    <mergeCell ref="G623:H623"/>
    <mergeCell ref="B660:C660"/>
    <mergeCell ref="E660:F660"/>
    <mergeCell ref="B644:C644"/>
    <mergeCell ref="K683:L683"/>
    <mergeCell ref="I681:J681"/>
    <mergeCell ref="B682:C682"/>
    <mergeCell ref="B681:C681"/>
    <mergeCell ref="B643:C643"/>
    <mergeCell ref="B662:C662"/>
    <mergeCell ref="I662:J662"/>
    <mergeCell ref="K662:L662"/>
    <mergeCell ref="K659:L659"/>
    <mergeCell ref="E658:F658"/>
    <mergeCell ref="G658:H658"/>
    <mergeCell ref="E659:F659"/>
    <mergeCell ref="E643:F643"/>
    <mergeCell ref="G643:H643"/>
    <mergeCell ref="I643:J643"/>
    <mergeCell ref="K648:L648"/>
    <mergeCell ref="K649:L649"/>
    <mergeCell ref="G648:H648"/>
    <mergeCell ref="E662:F662"/>
    <mergeCell ref="G662:H662"/>
    <mergeCell ref="G644:H644"/>
    <mergeCell ref="I648:J648"/>
    <mergeCell ref="A649:F649"/>
    <mergeCell ref="I649:J649"/>
    <mergeCell ref="B658:C658"/>
    <mergeCell ref="B645:C645"/>
    <mergeCell ref="I645:J645"/>
    <mergeCell ref="K645:L645"/>
    <mergeCell ref="E645:F645"/>
    <mergeCell ref="G645:H645"/>
    <mergeCell ref="B648:C648"/>
    <mergeCell ref="E648:F648"/>
    <mergeCell ref="B625:C625"/>
    <mergeCell ref="E625:F625"/>
    <mergeCell ref="G625:H625"/>
    <mergeCell ref="I625:J625"/>
    <mergeCell ref="K625:L625"/>
    <mergeCell ref="B624:C624"/>
    <mergeCell ref="I624:J624"/>
    <mergeCell ref="B621:C621"/>
    <mergeCell ref="I621:J621"/>
    <mergeCell ref="K621:L621"/>
    <mergeCell ref="B622:C622"/>
    <mergeCell ref="I622:J622"/>
    <mergeCell ref="K622:L622"/>
    <mergeCell ref="G622:H622"/>
    <mergeCell ref="B623:C623"/>
    <mergeCell ref="I623:J623"/>
    <mergeCell ref="K623:L623"/>
    <mergeCell ref="E621:F621"/>
    <mergeCell ref="G621:H621"/>
    <mergeCell ref="E622:F622"/>
    <mergeCell ref="B607:C607"/>
    <mergeCell ref="E605:F605"/>
    <mergeCell ref="E606:F606"/>
    <mergeCell ref="E607:F607"/>
    <mergeCell ref="G606:H606"/>
    <mergeCell ref="G607:H607"/>
    <mergeCell ref="E610:F610"/>
    <mergeCell ref="G610:H610"/>
    <mergeCell ref="K624:L624"/>
    <mergeCell ref="E624:F624"/>
    <mergeCell ref="G624:H624"/>
    <mergeCell ref="E620:F620"/>
    <mergeCell ref="G620:H620"/>
    <mergeCell ref="I620:J620"/>
    <mergeCell ref="K620:L620"/>
    <mergeCell ref="B620:C620"/>
    <mergeCell ref="B610:C610"/>
    <mergeCell ref="A576:H576"/>
    <mergeCell ref="A556:H556"/>
    <mergeCell ref="A557:H557"/>
    <mergeCell ref="G601:H601"/>
    <mergeCell ref="G602:H602"/>
    <mergeCell ref="G603:H603"/>
    <mergeCell ref="G604:H604"/>
    <mergeCell ref="I601:J601"/>
    <mergeCell ref="K601:L601"/>
    <mergeCell ref="I602:J602"/>
    <mergeCell ref="K602:L602"/>
    <mergeCell ref="I603:J603"/>
    <mergeCell ref="K603:L603"/>
    <mergeCell ref="B602:C602"/>
    <mergeCell ref="B603:C603"/>
    <mergeCell ref="B604:C604"/>
    <mergeCell ref="I604:J604"/>
    <mergeCell ref="K604:L604"/>
    <mergeCell ref="E602:F602"/>
    <mergeCell ref="E603:F603"/>
    <mergeCell ref="A571:H571"/>
    <mergeCell ref="E601:F601"/>
    <mergeCell ref="E604:F604"/>
    <mergeCell ref="B601:C601"/>
    <mergeCell ref="A365:H365"/>
    <mergeCell ref="I591:J591"/>
    <mergeCell ref="K591:L591"/>
    <mergeCell ref="A380:G380"/>
    <mergeCell ref="B591:C591"/>
    <mergeCell ref="B383:E383"/>
    <mergeCell ref="A382:I382"/>
    <mergeCell ref="F383:I383"/>
    <mergeCell ref="A430:E430"/>
    <mergeCell ref="A432:E432"/>
    <mergeCell ref="A547:H547"/>
    <mergeCell ref="A551:H551"/>
    <mergeCell ref="A570:H570"/>
    <mergeCell ref="A558:H558"/>
    <mergeCell ref="A561:H561"/>
    <mergeCell ref="A562:H562"/>
    <mergeCell ref="A565:H565"/>
    <mergeCell ref="A367:H367"/>
    <mergeCell ref="A370:H370"/>
    <mergeCell ref="A373:H373"/>
    <mergeCell ref="A376:H376"/>
    <mergeCell ref="A585:H585"/>
    <mergeCell ref="A566:H566"/>
    <mergeCell ref="A575:H575"/>
    <mergeCell ref="A49:G49"/>
    <mergeCell ref="A51:G51"/>
    <mergeCell ref="A121:G121"/>
    <mergeCell ref="A167:G167"/>
    <mergeCell ref="A346:E346"/>
    <mergeCell ref="A353:E353"/>
    <mergeCell ref="A222:G222"/>
    <mergeCell ref="A224:G224"/>
    <mergeCell ref="A326:E326"/>
    <mergeCell ref="A332:E332"/>
    <mergeCell ref="A339:E339"/>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50:H250"/>
    <mergeCell ref="A358:E358"/>
    <mergeCell ref="A99:H99"/>
    <mergeCell ref="A122:H122"/>
    <mergeCell ref="A147:G147"/>
    <mergeCell ref="A272:F272"/>
    <mergeCell ref="A296:I296"/>
    <mergeCell ref="A320:D320"/>
    <mergeCell ref="A145:G145"/>
    <mergeCell ref="A191:F191"/>
    <mergeCell ref="A207:B207"/>
    <mergeCell ref="A274:G274"/>
    <mergeCell ref="A298:H298"/>
    <mergeCell ref="A304:G304"/>
    <mergeCell ref="A310:G310"/>
    <mergeCell ref="A580:H580"/>
    <mergeCell ref="A581:H581"/>
    <mergeCell ref="E591:F591"/>
    <mergeCell ref="G591:H591"/>
    <mergeCell ref="G626:H626"/>
    <mergeCell ref="I592:J592"/>
    <mergeCell ref="K592:L592"/>
    <mergeCell ref="A592:F592"/>
    <mergeCell ref="B626:C626"/>
    <mergeCell ref="E626:F626"/>
    <mergeCell ref="I611:J611"/>
    <mergeCell ref="K611:L611"/>
    <mergeCell ref="B605:C605"/>
    <mergeCell ref="I605:J605"/>
    <mergeCell ref="K605:L605"/>
    <mergeCell ref="B606:C606"/>
    <mergeCell ref="I606:J606"/>
    <mergeCell ref="K606:L606"/>
    <mergeCell ref="I607:J607"/>
    <mergeCell ref="K607:L607"/>
    <mergeCell ref="I610:J610"/>
    <mergeCell ref="K610:L610"/>
    <mergeCell ref="A611:F611"/>
    <mergeCell ref="G605:H605"/>
    <mergeCell ref="I626:J626"/>
    <mergeCell ref="K626:L626"/>
    <mergeCell ref="B629:C629"/>
    <mergeCell ref="E629:F629"/>
    <mergeCell ref="G629:H629"/>
    <mergeCell ref="I629:J629"/>
    <mergeCell ref="K629:L629"/>
    <mergeCell ref="A630:F630"/>
    <mergeCell ref="I630:J630"/>
    <mergeCell ref="K630:L630"/>
    <mergeCell ref="E641:F641"/>
    <mergeCell ref="G641:H641"/>
    <mergeCell ref="K643:L643"/>
    <mergeCell ref="E644:F644"/>
    <mergeCell ref="I644:J644"/>
    <mergeCell ref="K644:L644"/>
    <mergeCell ref="B639:C639"/>
    <mergeCell ref="I639:J639"/>
    <mergeCell ref="K639:L639"/>
    <mergeCell ref="B640:C640"/>
    <mergeCell ref="I640:J640"/>
    <mergeCell ref="K640:L640"/>
    <mergeCell ref="E639:F639"/>
    <mergeCell ref="G639:H639"/>
    <mergeCell ref="E640:F640"/>
    <mergeCell ref="G640:H640"/>
    <mergeCell ref="B641:C641"/>
    <mergeCell ref="I641:J641"/>
    <mergeCell ref="K641:L641"/>
    <mergeCell ref="B642:C642"/>
    <mergeCell ref="E642:F642"/>
    <mergeCell ref="G642:H642"/>
    <mergeCell ref="I642:J642"/>
    <mergeCell ref="K642:L642"/>
    <mergeCell ref="K664:L664"/>
    <mergeCell ref="K663:L663"/>
    <mergeCell ref="I658:J658"/>
    <mergeCell ref="B661:C661"/>
    <mergeCell ref="E661:F661"/>
    <mergeCell ref="G661:H661"/>
    <mergeCell ref="I661:J661"/>
    <mergeCell ref="K658:L658"/>
    <mergeCell ref="K661:L661"/>
    <mergeCell ref="B663:C663"/>
    <mergeCell ref="E663:F663"/>
    <mergeCell ref="G663:H663"/>
    <mergeCell ref="I663:J663"/>
    <mergeCell ref="G660:H660"/>
    <mergeCell ref="I660:J660"/>
    <mergeCell ref="K660:L660"/>
    <mergeCell ref="B659:C659"/>
    <mergeCell ref="I659:J659"/>
    <mergeCell ref="G659:H659"/>
    <mergeCell ref="B683:C683"/>
    <mergeCell ref="E683:F683"/>
    <mergeCell ref="G683:H683"/>
    <mergeCell ref="I683:J683"/>
    <mergeCell ref="E680:F680"/>
    <mergeCell ref="B664:C664"/>
    <mergeCell ref="E664:F664"/>
    <mergeCell ref="G664:H664"/>
    <mergeCell ref="I664:J664"/>
    <mergeCell ref="I680:J680"/>
    <mergeCell ref="B678:C678"/>
    <mergeCell ref="B667:C667"/>
    <mergeCell ref="E667:F667"/>
    <mergeCell ref="G667:H667"/>
    <mergeCell ref="I667:J667"/>
    <mergeCell ref="B680:C680"/>
    <mergeCell ref="B679:C679"/>
    <mergeCell ref="I679:J679"/>
    <mergeCell ref="B702:C702"/>
    <mergeCell ref="E702:F702"/>
    <mergeCell ref="G702:H702"/>
    <mergeCell ref="I702:J702"/>
    <mergeCell ref="K702:L702"/>
    <mergeCell ref="I686:J686"/>
    <mergeCell ref="I678:J678"/>
    <mergeCell ref="K678:L678"/>
    <mergeCell ref="K700:L700"/>
    <mergeCell ref="B701:C701"/>
    <mergeCell ref="E701:F701"/>
    <mergeCell ref="G701:H701"/>
    <mergeCell ref="I701:J701"/>
    <mergeCell ref="G699:H699"/>
    <mergeCell ref="I699:J699"/>
    <mergeCell ref="K686:L686"/>
    <mergeCell ref="K680:L680"/>
    <mergeCell ref="K681:L681"/>
    <mergeCell ref="E682:F682"/>
    <mergeCell ref="G682:H682"/>
    <mergeCell ref="E681:F681"/>
    <mergeCell ref="G681:H681"/>
    <mergeCell ref="G680:H680"/>
    <mergeCell ref="I682:J682"/>
    <mergeCell ref="K679:L679"/>
    <mergeCell ref="A584:H584"/>
    <mergeCell ref="G700:H700"/>
    <mergeCell ref="I700:J700"/>
    <mergeCell ref="K699:L699"/>
    <mergeCell ref="B700:C700"/>
    <mergeCell ref="E700:F700"/>
    <mergeCell ref="B686:C686"/>
    <mergeCell ref="E686:F686"/>
    <mergeCell ref="G686:H686"/>
    <mergeCell ref="K667:L667"/>
    <mergeCell ref="G678:H678"/>
    <mergeCell ref="A668:F668"/>
    <mergeCell ref="I668:J668"/>
    <mergeCell ref="K668:L668"/>
    <mergeCell ref="B677:C677"/>
    <mergeCell ref="E677:F677"/>
    <mergeCell ref="K682:L682"/>
    <mergeCell ref="G677:H677"/>
    <mergeCell ref="I677:J677"/>
    <mergeCell ref="K677:L677"/>
    <mergeCell ref="E678:F678"/>
    <mergeCell ref="E679:F679"/>
    <mergeCell ref="G679:H679"/>
    <mergeCell ref="K701:L701"/>
    <mergeCell ref="A687:F687"/>
    <mergeCell ref="I687:J687"/>
    <mergeCell ref="K687:L687"/>
    <mergeCell ref="E696:F696"/>
    <mergeCell ref="B699:C699"/>
    <mergeCell ref="E699:F699"/>
    <mergeCell ref="B696:C696"/>
    <mergeCell ref="I696:J696"/>
    <mergeCell ref="K696:L696"/>
    <mergeCell ref="I697:J697"/>
    <mergeCell ref="K697:L697"/>
    <mergeCell ref="B697:C697"/>
    <mergeCell ref="B698:C698"/>
    <mergeCell ref="E698:F698"/>
    <mergeCell ref="G697:H697"/>
  </mergeCells>
  <pageMargins left="0" right="0" top="0.75" bottom="0.75" header="0.3" footer="0.3"/>
  <pageSetup paperSize="5" scale="37" fitToHeight="0"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FF00"/>
    <pageSetUpPr fitToPage="1"/>
  </sheetPr>
  <dimension ref="A1:AG48"/>
  <sheetViews>
    <sheetView topLeftCell="I1" zoomScale="115" zoomScaleNormal="115" workbookViewId="0">
      <selection activeCell="AC19" sqref="AC19"/>
    </sheetView>
  </sheetViews>
  <sheetFormatPr defaultRowHeight="12.75" x14ac:dyDescent="0.2"/>
  <cols>
    <col min="1" max="2" width="9.140625" style="64"/>
    <col min="3" max="3" width="11.7109375" style="64" customWidth="1"/>
    <col min="4" max="4" width="9.140625" style="64"/>
    <col min="5" max="5" width="9.28515625" style="67" customWidth="1"/>
    <col min="6" max="6" width="9.5703125" style="67" customWidth="1"/>
    <col min="7" max="10" width="9.140625" style="64"/>
    <col min="11" max="11" width="9.42578125" style="64" bestFit="1" customWidth="1"/>
    <col min="12" max="20" width="9.140625" style="64"/>
    <col min="21" max="28" width="11.85546875" style="64" customWidth="1"/>
    <col min="29" max="29" width="9.85546875" style="64" bestFit="1" customWidth="1"/>
    <col min="30" max="30" width="11" style="64" bestFit="1" customWidth="1"/>
    <col min="31" max="266" width="9.140625" style="64"/>
    <col min="267" max="267" width="9.28515625" style="64" customWidth="1"/>
    <col min="268" max="268" width="9.5703125" style="64" customWidth="1"/>
    <col min="269" max="282" width="9.140625" style="64"/>
    <col min="283" max="283" width="9.85546875" style="64" bestFit="1" customWidth="1"/>
    <col min="284" max="284" width="11" style="64" bestFit="1" customWidth="1"/>
    <col min="285" max="522" width="9.140625" style="64"/>
    <col min="523" max="523" width="9.28515625" style="64" customWidth="1"/>
    <col min="524" max="524" width="9.5703125" style="64" customWidth="1"/>
    <col min="525" max="538" width="9.140625" style="64"/>
    <col min="539" max="539" width="9.85546875" style="64" bestFit="1" customWidth="1"/>
    <col min="540" max="540" width="11" style="64" bestFit="1" customWidth="1"/>
    <col min="541" max="778" width="9.140625" style="64"/>
    <col min="779" max="779" width="9.28515625" style="64" customWidth="1"/>
    <col min="780" max="780" width="9.5703125" style="64" customWidth="1"/>
    <col min="781" max="794" width="9.140625" style="64"/>
    <col min="795" max="795" width="9.85546875" style="64" bestFit="1" customWidth="1"/>
    <col min="796" max="796" width="11" style="64" bestFit="1" customWidth="1"/>
    <col min="797" max="1034" width="9.140625" style="64"/>
    <col min="1035" max="1035" width="9.28515625" style="64" customWidth="1"/>
    <col min="1036" max="1036" width="9.5703125" style="64" customWidth="1"/>
    <col min="1037" max="1050" width="9.140625" style="64"/>
    <col min="1051" max="1051" width="9.85546875" style="64" bestFit="1" customWidth="1"/>
    <col min="1052" max="1052" width="11" style="64" bestFit="1" customWidth="1"/>
    <col min="1053" max="1290" width="9.140625" style="64"/>
    <col min="1291" max="1291" width="9.28515625" style="64" customWidth="1"/>
    <col min="1292" max="1292" width="9.5703125" style="64" customWidth="1"/>
    <col min="1293" max="1306" width="9.140625" style="64"/>
    <col min="1307" max="1307" width="9.85546875" style="64" bestFit="1" customWidth="1"/>
    <col min="1308" max="1308" width="11" style="64" bestFit="1" customWidth="1"/>
    <col min="1309" max="1546" width="9.140625" style="64"/>
    <col min="1547" max="1547" width="9.28515625" style="64" customWidth="1"/>
    <col min="1548" max="1548" width="9.5703125" style="64" customWidth="1"/>
    <col min="1549" max="1562" width="9.140625" style="64"/>
    <col min="1563" max="1563" width="9.85546875" style="64" bestFit="1" customWidth="1"/>
    <col min="1564" max="1564" width="11" style="64" bestFit="1" customWidth="1"/>
    <col min="1565" max="1802" width="9.140625" style="64"/>
    <col min="1803" max="1803" width="9.28515625" style="64" customWidth="1"/>
    <col min="1804" max="1804" width="9.5703125" style="64" customWidth="1"/>
    <col min="1805" max="1818" width="9.140625" style="64"/>
    <col min="1819" max="1819" width="9.85546875" style="64" bestFit="1" customWidth="1"/>
    <col min="1820" max="1820" width="11" style="64" bestFit="1" customWidth="1"/>
    <col min="1821" max="2058" width="9.140625" style="64"/>
    <col min="2059" max="2059" width="9.28515625" style="64" customWidth="1"/>
    <col min="2060" max="2060" width="9.5703125" style="64" customWidth="1"/>
    <col min="2061" max="2074" width="9.140625" style="64"/>
    <col min="2075" max="2075" width="9.85546875" style="64" bestFit="1" customWidth="1"/>
    <col min="2076" max="2076" width="11" style="64" bestFit="1" customWidth="1"/>
    <col min="2077" max="2314" width="9.140625" style="64"/>
    <col min="2315" max="2315" width="9.28515625" style="64" customWidth="1"/>
    <col min="2316" max="2316" width="9.5703125" style="64" customWidth="1"/>
    <col min="2317" max="2330" width="9.140625" style="64"/>
    <col min="2331" max="2331" width="9.85546875" style="64" bestFit="1" customWidth="1"/>
    <col min="2332" max="2332" width="11" style="64" bestFit="1" customWidth="1"/>
    <col min="2333" max="2570" width="9.140625" style="64"/>
    <col min="2571" max="2571" width="9.28515625" style="64" customWidth="1"/>
    <col min="2572" max="2572" width="9.5703125" style="64" customWidth="1"/>
    <col min="2573" max="2586" width="9.140625" style="64"/>
    <col min="2587" max="2587" width="9.85546875" style="64" bestFit="1" customWidth="1"/>
    <col min="2588" max="2588" width="11" style="64" bestFit="1" customWidth="1"/>
    <col min="2589" max="2826" width="9.140625" style="64"/>
    <col min="2827" max="2827" width="9.28515625" style="64" customWidth="1"/>
    <col min="2828" max="2828" width="9.5703125" style="64" customWidth="1"/>
    <col min="2829" max="2842" width="9.140625" style="64"/>
    <col min="2843" max="2843" width="9.85546875" style="64" bestFit="1" customWidth="1"/>
    <col min="2844" max="2844" width="11" style="64" bestFit="1" customWidth="1"/>
    <col min="2845" max="3082" width="9.140625" style="64"/>
    <col min="3083" max="3083" width="9.28515625" style="64" customWidth="1"/>
    <col min="3084" max="3084" width="9.5703125" style="64" customWidth="1"/>
    <col min="3085" max="3098" width="9.140625" style="64"/>
    <col min="3099" max="3099" width="9.85546875" style="64" bestFit="1" customWidth="1"/>
    <col min="3100" max="3100" width="11" style="64" bestFit="1" customWidth="1"/>
    <col min="3101" max="3338" width="9.140625" style="64"/>
    <col min="3339" max="3339" width="9.28515625" style="64" customWidth="1"/>
    <col min="3340" max="3340" width="9.5703125" style="64" customWidth="1"/>
    <col min="3341" max="3354" width="9.140625" style="64"/>
    <col min="3355" max="3355" width="9.85546875" style="64" bestFit="1" customWidth="1"/>
    <col min="3356" max="3356" width="11" style="64" bestFit="1" customWidth="1"/>
    <col min="3357" max="3594" width="9.140625" style="64"/>
    <col min="3595" max="3595" width="9.28515625" style="64" customWidth="1"/>
    <col min="3596" max="3596" width="9.5703125" style="64" customWidth="1"/>
    <col min="3597" max="3610" width="9.140625" style="64"/>
    <col min="3611" max="3611" width="9.85546875" style="64" bestFit="1" customWidth="1"/>
    <col min="3612" max="3612" width="11" style="64" bestFit="1" customWidth="1"/>
    <col min="3613" max="3850" width="9.140625" style="64"/>
    <col min="3851" max="3851" width="9.28515625" style="64" customWidth="1"/>
    <col min="3852" max="3852" width="9.5703125" style="64" customWidth="1"/>
    <col min="3853" max="3866" width="9.140625" style="64"/>
    <col min="3867" max="3867" width="9.85546875" style="64" bestFit="1" customWidth="1"/>
    <col min="3868" max="3868" width="11" style="64" bestFit="1" customWidth="1"/>
    <col min="3869" max="4106" width="9.140625" style="64"/>
    <col min="4107" max="4107" width="9.28515625" style="64" customWidth="1"/>
    <col min="4108" max="4108" width="9.5703125" style="64" customWidth="1"/>
    <col min="4109" max="4122" width="9.140625" style="64"/>
    <col min="4123" max="4123" width="9.85546875" style="64" bestFit="1" customWidth="1"/>
    <col min="4124" max="4124" width="11" style="64" bestFit="1" customWidth="1"/>
    <col min="4125" max="4362" width="9.140625" style="64"/>
    <col min="4363" max="4363" width="9.28515625" style="64" customWidth="1"/>
    <col min="4364" max="4364" width="9.5703125" style="64" customWidth="1"/>
    <col min="4365" max="4378" width="9.140625" style="64"/>
    <col min="4379" max="4379" width="9.85546875" style="64" bestFit="1" customWidth="1"/>
    <col min="4380" max="4380" width="11" style="64" bestFit="1" customWidth="1"/>
    <col min="4381" max="4618" width="9.140625" style="64"/>
    <col min="4619" max="4619" width="9.28515625" style="64" customWidth="1"/>
    <col min="4620" max="4620" width="9.5703125" style="64" customWidth="1"/>
    <col min="4621" max="4634" width="9.140625" style="64"/>
    <col min="4635" max="4635" width="9.85546875" style="64" bestFit="1" customWidth="1"/>
    <col min="4636" max="4636" width="11" style="64" bestFit="1" customWidth="1"/>
    <col min="4637" max="4874" width="9.140625" style="64"/>
    <col min="4875" max="4875" width="9.28515625" style="64" customWidth="1"/>
    <col min="4876" max="4876" width="9.5703125" style="64" customWidth="1"/>
    <col min="4877" max="4890" width="9.140625" style="64"/>
    <col min="4891" max="4891" width="9.85546875" style="64" bestFit="1" customWidth="1"/>
    <col min="4892" max="4892" width="11" style="64" bestFit="1" customWidth="1"/>
    <col min="4893" max="5130" width="9.140625" style="64"/>
    <col min="5131" max="5131" width="9.28515625" style="64" customWidth="1"/>
    <col min="5132" max="5132" width="9.5703125" style="64" customWidth="1"/>
    <col min="5133" max="5146" width="9.140625" style="64"/>
    <col min="5147" max="5147" width="9.85546875" style="64" bestFit="1" customWidth="1"/>
    <col min="5148" max="5148" width="11" style="64" bestFit="1" customWidth="1"/>
    <col min="5149" max="5386" width="9.140625" style="64"/>
    <col min="5387" max="5387" width="9.28515625" style="64" customWidth="1"/>
    <col min="5388" max="5388" width="9.5703125" style="64" customWidth="1"/>
    <col min="5389" max="5402" width="9.140625" style="64"/>
    <col min="5403" max="5403" width="9.85546875" style="64" bestFit="1" customWidth="1"/>
    <col min="5404" max="5404" width="11" style="64" bestFit="1" customWidth="1"/>
    <col min="5405" max="5642" width="9.140625" style="64"/>
    <col min="5643" max="5643" width="9.28515625" style="64" customWidth="1"/>
    <col min="5644" max="5644" width="9.5703125" style="64" customWidth="1"/>
    <col min="5645" max="5658" width="9.140625" style="64"/>
    <col min="5659" max="5659" width="9.85546875" style="64" bestFit="1" customWidth="1"/>
    <col min="5660" max="5660" width="11" style="64" bestFit="1" customWidth="1"/>
    <col min="5661" max="5898" width="9.140625" style="64"/>
    <col min="5899" max="5899" width="9.28515625" style="64" customWidth="1"/>
    <col min="5900" max="5900" width="9.5703125" style="64" customWidth="1"/>
    <col min="5901" max="5914" width="9.140625" style="64"/>
    <col min="5915" max="5915" width="9.85546875" style="64" bestFit="1" customWidth="1"/>
    <col min="5916" max="5916" width="11" style="64" bestFit="1" customWidth="1"/>
    <col min="5917" max="6154" width="9.140625" style="64"/>
    <col min="6155" max="6155" width="9.28515625" style="64" customWidth="1"/>
    <col min="6156" max="6156" width="9.5703125" style="64" customWidth="1"/>
    <col min="6157" max="6170" width="9.140625" style="64"/>
    <col min="6171" max="6171" width="9.85546875" style="64" bestFit="1" customWidth="1"/>
    <col min="6172" max="6172" width="11" style="64" bestFit="1" customWidth="1"/>
    <col min="6173" max="6410" width="9.140625" style="64"/>
    <col min="6411" max="6411" width="9.28515625" style="64" customWidth="1"/>
    <col min="6412" max="6412" width="9.5703125" style="64" customWidth="1"/>
    <col min="6413" max="6426" width="9.140625" style="64"/>
    <col min="6427" max="6427" width="9.85546875" style="64" bestFit="1" customWidth="1"/>
    <col min="6428" max="6428" width="11" style="64" bestFit="1" customWidth="1"/>
    <col min="6429" max="6666" width="9.140625" style="64"/>
    <col min="6667" max="6667" width="9.28515625" style="64" customWidth="1"/>
    <col min="6668" max="6668" width="9.5703125" style="64" customWidth="1"/>
    <col min="6669" max="6682" width="9.140625" style="64"/>
    <col min="6683" max="6683" width="9.85546875" style="64" bestFit="1" customWidth="1"/>
    <col min="6684" max="6684" width="11" style="64" bestFit="1" customWidth="1"/>
    <col min="6685" max="6922" width="9.140625" style="64"/>
    <col min="6923" max="6923" width="9.28515625" style="64" customWidth="1"/>
    <col min="6924" max="6924" width="9.5703125" style="64" customWidth="1"/>
    <col min="6925" max="6938" width="9.140625" style="64"/>
    <col min="6939" max="6939" width="9.85546875" style="64" bestFit="1" customWidth="1"/>
    <col min="6940" max="6940" width="11" style="64" bestFit="1" customWidth="1"/>
    <col min="6941" max="7178" width="9.140625" style="64"/>
    <col min="7179" max="7179" width="9.28515625" style="64" customWidth="1"/>
    <col min="7180" max="7180" width="9.5703125" style="64" customWidth="1"/>
    <col min="7181" max="7194" width="9.140625" style="64"/>
    <col min="7195" max="7195" width="9.85546875" style="64" bestFit="1" customWidth="1"/>
    <col min="7196" max="7196" width="11" style="64" bestFit="1" customWidth="1"/>
    <col min="7197" max="7434" width="9.140625" style="64"/>
    <col min="7435" max="7435" width="9.28515625" style="64" customWidth="1"/>
    <col min="7436" max="7436" width="9.5703125" style="64" customWidth="1"/>
    <col min="7437" max="7450" width="9.140625" style="64"/>
    <col min="7451" max="7451" width="9.85546875" style="64" bestFit="1" customWidth="1"/>
    <col min="7452" max="7452" width="11" style="64" bestFit="1" customWidth="1"/>
    <col min="7453" max="7690" width="9.140625" style="64"/>
    <col min="7691" max="7691" width="9.28515625" style="64" customWidth="1"/>
    <col min="7692" max="7692" width="9.5703125" style="64" customWidth="1"/>
    <col min="7693" max="7706" width="9.140625" style="64"/>
    <col min="7707" max="7707" width="9.85546875" style="64" bestFit="1" customWidth="1"/>
    <col min="7708" max="7708" width="11" style="64" bestFit="1" customWidth="1"/>
    <col min="7709" max="7946" width="9.140625" style="64"/>
    <col min="7947" max="7947" width="9.28515625" style="64" customWidth="1"/>
    <col min="7948" max="7948" width="9.5703125" style="64" customWidth="1"/>
    <col min="7949" max="7962" width="9.140625" style="64"/>
    <col min="7963" max="7963" width="9.85546875" style="64" bestFit="1" customWidth="1"/>
    <col min="7964" max="7964" width="11" style="64" bestFit="1" customWidth="1"/>
    <col min="7965" max="8202" width="9.140625" style="64"/>
    <col min="8203" max="8203" width="9.28515625" style="64" customWidth="1"/>
    <col min="8204" max="8204" width="9.5703125" style="64" customWidth="1"/>
    <col min="8205" max="8218" width="9.140625" style="64"/>
    <col min="8219" max="8219" width="9.85546875" style="64" bestFit="1" customWidth="1"/>
    <col min="8220" max="8220" width="11" style="64" bestFit="1" customWidth="1"/>
    <col min="8221" max="8458" width="9.140625" style="64"/>
    <col min="8459" max="8459" width="9.28515625" style="64" customWidth="1"/>
    <col min="8460" max="8460" width="9.5703125" style="64" customWidth="1"/>
    <col min="8461" max="8474" width="9.140625" style="64"/>
    <col min="8475" max="8475" width="9.85546875" style="64" bestFit="1" customWidth="1"/>
    <col min="8476" max="8476" width="11" style="64" bestFit="1" customWidth="1"/>
    <col min="8477" max="8714" width="9.140625" style="64"/>
    <col min="8715" max="8715" width="9.28515625" style="64" customWidth="1"/>
    <col min="8716" max="8716" width="9.5703125" style="64" customWidth="1"/>
    <col min="8717" max="8730" width="9.140625" style="64"/>
    <col min="8731" max="8731" width="9.85546875" style="64" bestFit="1" customWidth="1"/>
    <col min="8732" max="8732" width="11" style="64" bestFit="1" customWidth="1"/>
    <col min="8733" max="8970" width="9.140625" style="64"/>
    <col min="8971" max="8971" width="9.28515625" style="64" customWidth="1"/>
    <col min="8972" max="8972" width="9.5703125" style="64" customWidth="1"/>
    <col min="8973" max="8986" width="9.140625" style="64"/>
    <col min="8987" max="8987" width="9.85546875" style="64" bestFit="1" customWidth="1"/>
    <col min="8988" max="8988" width="11" style="64" bestFit="1" customWidth="1"/>
    <col min="8989" max="9226" width="9.140625" style="64"/>
    <col min="9227" max="9227" width="9.28515625" style="64" customWidth="1"/>
    <col min="9228" max="9228" width="9.5703125" style="64" customWidth="1"/>
    <col min="9229" max="9242" width="9.140625" style="64"/>
    <col min="9243" max="9243" width="9.85546875" style="64" bestFit="1" customWidth="1"/>
    <col min="9244" max="9244" width="11" style="64" bestFit="1" customWidth="1"/>
    <col min="9245" max="9482" width="9.140625" style="64"/>
    <col min="9483" max="9483" width="9.28515625" style="64" customWidth="1"/>
    <col min="9484" max="9484" width="9.5703125" style="64" customWidth="1"/>
    <col min="9485" max="9498" width="9.140625" style="64"/>
    <col min="9499" max="9499" width="9.85546875" style="64" bestFit="1" customWidth="1"/>
    <col min="9500" max="9500" width="11" style="64" bestFit="1" customWidth="1"/>
    <col min="9501" max="9738" width="9.140625" style="64"/>
    <col min="9739" max="9739" width="9.28515625" style="64" customWidth="1"/>
    <col min="9740" max="9740" width="9.5703125" style="64" customWidth="1"/>
    <col min="9741" max="9754" width="9.140625" style="64"/>
    <col min="9755" max="9755" width="9.85546875" style="64" bestFit="1" customWidth="1"/>
    <col min="9756" max="9756" width="11" style="64" bestFit="1" customWidth="1"/>
    <col min="9757" max="9994" width="9.140625" style="64"/>
    <col min="9995" max="9995" width="9.28515625" style="64" customWidth="1"/>
    <col min="9996" max="9996" width="9.5703125" style="64" customWidth="1"/>
    <col min="9997" max="10010" width="9.140625" style="64"/>
    <col min="10011" max="10011" width="9.85546875" style="64" bestFit="1" customWidth="1"/>
    <col min="10012" max="10012" width="11" style="64" bestFit="1" customWidth="1"/>
    <col min="10013" max="10250" width="9.140625" style="64"/>
    <col min="10251" max="10251" width="9.28515625" style="64" customWidth="1"/>
    <col min="10252" max="10252" width="9.5703125" style="64" customWidth="1"/>
    <col min="10253" max="10266" width="9.140625" style="64"/>
    <col min="10267" max="10267" width="9.85546875" style="64" bestFit="1" customWidth="1"/>
    <col min="10268" max="10268" width="11" style="64" bestFit="1" customWidth="1"/>
    <col min="10269" max="10506" width="9.140625" style="64"/>
    <col min="10507" max="10507" width="9.28515625" style="64" customWidth="1"/>
    <col min="10508" max="10508" width="9.5703125" style="64" customWidth="1"/>
    <col min="10509" max="10522" width="9.140625" style="64"/>
    <col min="10523" max="10523" width="9.85546875" style="64" bestFit="1" customWidth="1"/>
    <col min="10524" max="10524" width="11" style="64" bestFit="1" customWidth="1"/>
    <col min="10525" max="10762" width="9.140625" style="64"/>
    <col min="10763" max="10763" width="9.28515625" style="64" customWidth="1"/>
    <col min="10764" max="10764" width="9.5703125" style="64" customWidth="1"/>
    <col min="10765" max="10778" width="9.140625" style="64"/>
    <col min="10779" max="10779" width="9.85546875" style="64" bestFit="1" customWidth="1"/>
    <col min="10780" max="10780" width="11" style="64" bestFit="1" customWidth="1"/>
    <col min="10781" max="11018" width="9.140625" style="64"/>
    <col min="11019" max="11019" width="9.28515625" style="64" customWidth="1"/>
    <col min="11020" max="11020" width="9.5703125" style="64" customWidth="1"/>
    <col min="11021" max="11034" width="9.140625" style="64"/>
    <col min="11035" max="11035" width="9.85546875" style="64" bestFit="1" customWidth="1"/>
    <col min="11036" max="11036" width="11" style="64" bestFit="1" customWidth="1"/>
    <col min="11037" max="11274" width="9.140625" style="64"/>
    <col min="11275" max="11275" width="9.28515625" style="64" customWidth="1"/>
    <col min="11276" max="11276" width="9.5703125" style="64" customWidth="1"/>
    <col min="11277" max="11290" width="9.140625" style="64"/>
    <col min="11291" max="11291" width="9.85546875" style="64" bestFit="1" customWidth="1"/>
    <col min="11292" max="11292" width="11" style="64" bestFit="1" customWidth="1"/>
    <col min="11293" max="11530" width="9.140625" style="64"/>
    <col min="11531" max="11531" width="9.28515625" style="64" customWidth="1"/>
    <col min="11532" max="11532" width="9.5703125" style="64" customWidth="1"/>
    <col min="11533" max="11546" width="9.140625" style="64"/>
    <col min="11547" max="11547" width="9.85546875" style="64" bestFit="1" customWidth="1"/>
    <col min="11548" max="11548" width="11" style="64" bestFit="1" customWidth="1"/>
    <col min="11549" max="11786" width="9.140625" style="64"/>
    <col min="11787" max="11787" width="9.28515625" style="64" customWidth="1"/>
    <col min="11788" max="11788" width="9.5703125" style="64" customWidth="1"/>
    <col min="11789" max="11802" width="9.140625" style="64"/>
    <col min="11803" max="11803" width="9.85546875" style="64" bestFit="1" customWidth="1"/>
    <col min="11804" max="11804" width="11" style="64" bestFit="1" customWidth="1"/>
    <col min="11805" max="12042" width="9.140625" style="64"/>
    <col min="12043" max="12043" width="9.28515625" style="64" customWidth="1"/>
    <col min="12044" max="12044" width="9.5703125" style="64" customWidth="1"/>
    <col min="12045" max="12058" width="9.140625" style="64"/>
    <col min="12059" max="12059" width="9.85546875" style="64" bestFit="1" customWidth="1"/>
    <col min="12060" max="12060" width="11" style="64" bestFit="1" customWidth="1"/>
    <col min="12061" max="12298" width="9.140625" style="64"/>
    <col min="12299" max="12299" width="9.28515625" style="64" customWidth="1"/>
    <col min="12300" max="12300" width="9.5703125" style="64" customWidth="1"/>
    <col min="12301" max="12314" width="9.140625" style="64"/>
    <col min="12315" max="12315" width="9.85546875" style="64" bestFit="1" customWidth="1"/>
    <col min="12316" max="12316" width="11" style="64" bestFit="1" customWidth="1"/>
    <col min="12317" max="12554" width="9.140625" style="64"/>
    <col min="12555" max="12555" width="9.28515625" style="64" customWidth="1"/>
    <col min="12556" max="12556" width="9.5703125" style="64" customWidth="1"/>
    <col min="12557" max="12570" width="9.140625" style="64"/>
    <col min="12571" max="12571" width="9.85546875" style="64" bestFit="1" customWidth="1"/>
    <col min="12572" max="12572" width="11" style="64" bestFit="1" customWidth="1"/>
    <col min="12573" max="12810" width="9.140625" style="64"/>
    <col min="12811" max="12811" width="9.28515625" style="64" customWidth="1"/>
    <col min="12812" max="12812" width="9.5703125" style="64" customWidth="1"/>
    <col min="12813" max="12826" width="9.140625" style="64"/>
    <col min="12827" max="12827" width="9.85546875" style="64" bestFit="1" customWidth="1"/>
    <col min="12828" max="12828" width="11" style="64" bestFit="1" customWidth="1"/>
    <col min="12829" max="13066" width="9.140625" style="64"/>
    <col min="13067" max="13067" width="9.28515625" style="64" customWidth="1"/>
    <col min="13068" max="13068" width="9.5703125" style="64" customWidth="1"/>
    <col min="13069" max="13082" width="9.140625" style="64"/>
    <col min="13083" max="13083" width="9.85546875" style="64" bestFit="1" customWidth="1"/>
    <col min="13084" max="13084" width="11" style="64" bestFit="1" customWidth="1"/>
    <col min="13085" max="13322" width="9.140625" style="64"/>
    <col min="13323" max="13323" width="9.28515625" style="64" customWidth="1"/>
    <col min="13324" max="13324" width="9.5703125" style="64" customWidth="1"/>
    <col min="13325" max="13338" width="9.140625" style="64"/>
    <col min="13339" max="13339" width="9.85546875" style="64" bestFit="1" customWidth="1"/>
    <col min="13340" max="13340" width="11" style="64" bestFit="1" customWidth="1"/>
    <col min="13341" max="13578" width="9.140625" style="64"/>
    <col min="13579" max="13579" width="9.28515625" style="64" customWidth="1"/>
    <col min="13580" max="13580" width="9.5703125" style="64" customWidth="1"/>
    <col min="13581" max="13594" width="9.140625" style="64"/>
    <col min="13595" max="13595" width="9.85546875" style="64" bestFit="1" customWidth="1"/>
    <col min="13596" max="13596" width="11" style="64" bestFit="1" customWidth="1"/>
    <col min="13597" max="13834" width="9.140625" style="64"/>
    <col min="13835" max="13835" width="9.28515625" style="64" customWidth="1"/>
    <col min="13836" max="13836" width="9.5703125" style="64" customWidth="1"/>
    <col min="13837" max="13850" width="9.140625" style="64"/>
    <col min="13851" max="13851" width="9.85546875" style="64" bestFit="1" customWidth="1"/>
    <col min="13852" max="13852" width="11" style="64" bestFit="1" customWidth="1"/>
    <col min="13853" max="14090" width="9.140625" style="64"/>
    <col min="14091" max="14091" width="9.28515625" style="64" customWidth="1"/>
    <col min="14092" max="14092" width="9.5703125" style="64" customWidth="1"/>
    <col min="14093" max="14106" width="9.140625" style="64"/>
    <col min="14107" max="14107" width="9.85546875" style="64" bestFit="1" customWidth="1"/>
    <col min="14108" max="14108" width="11" style="64" bestFit="1" customWidth="1"/>
    <col min="14109" max="14346" width="9.140625" style="64"/>
    <col min="14347" max="14347" width="9.28515625" style="64" customWidth="1"/>
    <col min="14348" max="14348" width="9.5703125" style="64" customWidth="1"/>
    <col min="14349" max="14362" width="9.140625" style="64"/>
    <col min="14363" max="14363" width="9.85546875" style="64" bestFit="1" customWidth="1"/>
    <col min="14364" max="14364" width="11" style="64" bestFit="1" customWidth="1"/>
    <col min="14365" max="14602" width="9.140625" style="64"/>
    <col min="14603" max="14603" width="9.28515625" style="64" customWidth="1"/>
    <col min="14604" max="14604" width="9.5703125" style="64" customWidth="1"/>
    <col min="14605" max="14618" width="9.140625" style="64"/>
    <col min="14619" max="14619" width="9.85546875" style="64" bestFit="1" customWidth="1"/>
    <col min="14620" max="14620" width="11" style="64" bestFit="1" customWidth="1"/>
    <col min="14621" max="14858" width="9.140625" style="64"/>
    <col min="14859" max="14859" width="9.28515625" style="64" customWidth="1"/>
    <col min="14860" max="14860" width="9.5703125" style="64" customWidth="1"/>
    <col min="14861" max="14874" width="9.140625" style="64"/>
    <col min="14875" max="14875" width="9.85546875" style="64" bestFit="1" customWidth="1"/>
    <col min="14876" max="14876" width="11" style="64" bestFit="1" customWidth="1"/>
    <col min="14877" max="15114" width="9.140625" style="64"/>
    <col min="15115" max="15115" width="9.28515625" style="64" customWidth="1"/>
    <col min="15116" max="15116" width="9.5703125" style="64" customWidth="1"/>
    <col min="15117" max="15130" width="9.140625" style="64"/>
    <col min="15131" max="15131" width="9.85546875" style="64" bestFit="1" customWidth="1"/>
    <col min="15132" max="15132" width="11" style="64" bestFit="1" customWidth="1"/>
    <col min="15133" max="15370" width="9.140625" style="64"/>
    <col min="15371" max="15371" width="9.28515625" style="64" customWidth="1"/>
    <col min="15372" max="15372" width="9.5703125" style="64" customWidth="1"/>
    <col min="15373" max="15386" width="9.140625" style="64"/>
    <col min="15387" max="15387" width="9.85546875" style="64" bestFit="1" customWidth="1"/>
    <col min="15388" max="15388" width="11" style="64" bestFit="1" customWidth="1"/>
    <col min="15389" max="15626" width="9.140625" style="64"/>
    <col min="15627" max="15627" width="9.28515625" style="64" customWidth="1"/>
    <col min="15628" max="15628" width="9.5703125" style="64" customWidth="1"/>
    <col min="15629" max="15642" width="9.140625" style="64"/>
    <col min="15643" max="15643" width="9.85546875" style="64" bestFit="1" customWidth="1"/>
    <col min="15644" max="15644" width="11" style="64" bestFit="1" customWidth="1"/>
    <col min="15645" max="15882" width="9.140625" style="64"/>
    <col min="15883" max="15883" width="9.28515625" style="64" customWidth="1"/>
    <col min="15884" max="15884" width="9.5703125" style="64" customWidth="1"/>
    <col min="15885" max="15898" width="9.140625" style="64"/>
    <col min="15899" max="15899" width="9.85546875" style="64" bestFit="1" customWidth="1"/>
    <col min="15900" max="15900" width="11" style="64" bestFit="1" customWidth="1"/>
    <col min="15901" max="16138" width="9.140625" style="64"/>
    <col min="16139" max="16139" width="9.28515625" style="64" customWidth="1"/>
    <col min="16140" max="16140" width="9.5703125" style="64" customWidth="1"/>
    <col min="16141" max="16154" width="9.140625" style="64"/>
    <col min="16155" max="16155" width="9.85546875" style="64" bestFit="1" customWidth="1"/>
    <col min="16156" max="16156" width="11" style="64" bestFit="1" customWidth="1"/>
    <col min="16157" max="16384" width="9.140625" style="64"/>
  </cols>
  <sheetData>
    <row r="1" spans="1:33" x14ac:dyDescent="0.2">
      <c r="A1" s="65" t="s">
        <v>87</v>
      </c>
      <c r="D1" s="653"/>
      <c r="E1" s="653"/>
      <c r="F1" s="65"/>
      <c r="G1" s="65"/>
      <c r="H1" s="65"/>
      <c r="I1" s="65"/>
    </row>
    <row r="2" spans="1:33" x14ac:dyDescent="0.2">
      <c r="A2" s="66"/>
    </row>
    <row r="3" spans="1:33" x14ac:dyDescent="0.2">
      <c r="A3" s="68" t="s">
        <v>88</v>
      </c>
      <c r="B3" s="68"/>
      <c r="C3" s="68"/>
      <c r="D3" s="68"/>
      <c r="E3" s="69"/>
      <c r="F3" s="69"/>
    </row>
    <row r="4" spans="1:33" x14ac:dyDescent="0.2">
      <c r="A4" s="70"/>
      <c r="B4" s="70"/>
      <c r="C4" s="70"/>
      <c r="D4" s="70"/>
      <c r="E4" s="71"/>
      <c r="F4" s="71"/>
    </row>
    <row r="5" spans="1:33" x14ac:dyDescent="0.2">
      <c r="A5" s="72" t="s">
        <v>89</v>
      </c>
      <c r="B5" s="72">
        <v>1995</v>
      </c>
      <c r="C5" s="72">
        <v>1996</v>
      </c>
      <c r="D5" s="72">
        <v>1997</v>
      </c>
      <c r="E5" s="72">
        <v>1998</v>
      </c>
      <c r="F5" s="72">
        <v>1999</v>
      </c>
      <c r="G5" s="72">
        <v>2000</v>
      </c>
      <c r="H5" s="72">
        <v>2001</v>
      </c>
      <c r="I5" s="72">
        <v>2002</v>
      </c>
      <c r="J5" s="72">
        <v>2003</v>
      </c>
      <c r="K5" s="72">
        <v>2004</v>
      </c>
      <c r="L5" s="72">
        <v>2005</v>
      </c>
      <c r="M5" s="72">
        <v>2006</v>
      </c>
      <c r="N5" s="72">
        <v>2007</v>
      </c>
      <c r="O5" s="72">
        <v>2008</v>
      </c>
      <c r="P5" s="72">
        <v>2009</v>
      </c>
      <c r="Q5" s="72">
        <v>2010</v>
      </c>
      <c r="R5" s="72">
        <v>2011</v>
      </c>
      <c r="S5" s="72">
        <v>2012</v>
      </c>
      <c r="T5" s="72">
        <v>2013</v>
      </c>
      <c r="U5" s="72">
        <v>2014</v>
      </c>
      <c r="V5" s="72">
        <v>2015</v>
      </c>
      <c r="W5" s="72">
        <v>2016</v>
      </c>
      <c r="X5" s="72">
        <v>2017</v>
      </c>
      <c r="Y5" s="72">
        <v>2018</v>
      </c>
      <c r="Z5" s="72">
        <v>2019</v>
      </c>
      <c r="AA5" s="72">
        <v>2020</v>
      </c>
      <c r="AB5" s="72">
        <v>2021</v>
      </c>
      <c r="AC5" s="73" t="s">
        <v>90</v>
      </c>
      <c r="AD5" s="73" t="s">
        <v>91</v>
      </c>
    </row>
    <row r="6" spans="1:33" x14ac:dyDescent="0.2">
      <c r="A6" s="70"/>
      <c r="B6" s="70"/>
      <c r="C6" s="70"/>
      <c r="D6" s="70"/>
      <c r="E6" s="69"/>
      <c r="F6" s="69"/>
    </row>
    <row r="7" spans="1:33" x14ac:dyDescent="0.2">
      <c r="A7" s="74"/>
      <c r="B7" s="74"/>
      <c r="C7" s="74"/>
      <c r="D7" s="74"/>
      <c r="E7" s="69"/>
      <c r="F7" s="69"/>
      <c r="G7" s="69"/>
      <c r="H7" s="69"/>
    </row>
    <row r="8" spans="1:33" x14ac:dyDescent="0.2">
      <c r="A8" s="74" t="s">
        <v>92</v>
      </c>
      <c r="B8" s="95">
        <v>753.8</v>
      </c>
      <c r="C8" s="95">
        <v>920.1</v>
      </c>
      <c r="D8" s="69">
        <v>936</v>
      </c>
      <c r="E8" s="69">
        <v>792.1</v>
      </c>
      <c r="F8" s="69">
        <v>883</v>
      </c>
      <c r="G8" s="69">
        <v>866.6</v>
      </c>
      <c r="H8" s="69">
        <v>758.2</v>
      </c>
      <c r="I8" s="69">
        <v>706.6</v>
      </c>
      <c r="J8" s="96">
        <v>920.6</v>
      </c>
      <c r="K8" s="96">
        <v>1006</v>
      </c>
      <c r="L8" s="96">
        <v>925.1</v>
      </c>
      <c r="M8" s="96">
        <v>689.8</v>
      </c>
      <c r="N8" s="96">
        <v>776.9</v>
      </c>
      <c r="O8" s="96">
        <v>761.9</v>
      </c>
      <c r="P8" s="96">
        <v>970.4</v>
      </c>
      <c r="Q8" s="96">
        <v>810.7</v>
      </c>
      <c r="R8" s="96">
        <v>935</v>
      </c>
      <c r="S8" s="1">
        <v>756.79999999999973</v>
      </c>
      <c r="T8" s="1">
        <v>798.19999999999982</v>
      </c>
      <c r="U8" s="1">
        <v>980.30000000000018</v>
      </c>
      <c r="V8" s="1">
        <v>954.19999999999993</v>
      </c>
      <c r="W8" s="1">
        <v>794.20000000000016</v>
      </c>
      <c r="X8" s="1">
        <v>710.9</v>
      </c>
      <c r="Y8" s="1">
        <v>860.39999999999986</v>
      </c>
      <c r="Z8" s="1">
        <v>966.9000000000002</v>
      </c>
      <c r="AA8" s="1">
        <v>708.49999999999977</v>
      </c>
      <c r="AB8" s="1">
        <v>737.99999999999989</v>
      </c>
      <c r="AC8" s="76">
        <f>AVERAGE(S8:AB8)</f>
        <v>826.83999999999992</v>
      </c>
      <c r="AD8" s="77">
        <f>TREND(I8:AB8,$I$25:$AB$25,2022)</f>
        <v>815.92000000000007</v>
      </c>
      <c r="AF8"/>
      <c r="AG8"/>
    </row>
    <row r="9" spans="1:33" x14ac:dyDescent="0.2">
      <c r="A9" s="74" t="s">
        <v>93</v>
      </c>
      <c r="B9" s="95">
        <v>805.6</v>
      </c>
      <c r="C9" s="95">
        <v>820.3</v>
      </c>
      <c r="D9" s="69">
        <v>724.4</v>
      </c>
      <c r="E9" s="69">
        <v>544.70000000000005</v>
      </c>
      <c r="F9" s="69">
        <v>654.4</v>
      </c>
      <c r="G9" s="69">
        <v>590.20000000000005</v>
      </c>
      <c r="H9" s="69">
        <v>743.2</v>
      </c>
      <c r="I9" s="69">
        <v>647.29999999999995</v>
      </c>
      <c r="J9" s="96">
        <v>902.6</v>
      </c>
      <c r="K9" s="96">
        <v>707</v>
      </c>
      <c r="L9" s="96">
        <v>693.6</v>
      </c>
      <c r="M9" s="96">
        <v>734.6</v>
      </c>
      <c r="N9" s="96">
        <v>843.5</v>
      </c>
      <c r="O9" s="96">
        <v>831.3</v>
      </c>
      <c r="P9" s="96">
        <v>747.8</v>
      </c>
      <c r="Q9" s="96">
        <v>691.1</v>
      </c>
      <c r="R9" s="96">
        <v>732.3</v>
      </c>
      <c r="S9" s="1">
        <v>622.6</v>
      </c>
      <c r="T9" s="1">
        <v>786.07500000000005</v>
      </c>
      <c r="U9" s="1">
        <v>912</v>
      </c>
      <c r="V9" s="1">
        <v>1015.2</v>
      </c>
      <c r="W9" s="1">
        <v>731.2</v>
      </c>
      <c r="X9" s="1">
        <v>638.70000000000005</v>
      </c>
      <c r="Y9" s="1">
        <v>769</v>
      </c>
      <c r="Z9" s="1">
        <v>802.3</v>
      </c>
      <c r="AA9" s="1">
        <v>755.40000000000009</v>
      </c>
      <c r="AB9" s="1">
        <v>799.80000000000018</v>
      </c>
      <c r="AC9" s="76">
        <f t="shared" ref="AC9:AC19" si="0">AVERAGE(S9:AB9)</f>
        <v>783.22750000000008</v>
      </c>
      <c r="AD9" s="77">
        <f t="shared" ref="AD9:AD19" si="1">TREND(I9:AB9,$I$25:$AB$25,2022)</f>
        <v>792.03236842105298</v>
      </c>
      <c r="AF9"/>
      <c r="AG9"/>
    </row>
    <row r="10" spans="1:33" x14ac:dyDescent="0.2">
      <c r="A10" s="74" t="s">
        <v>94</v>
      </c>
      <c r="B10" s="95">
        <v>954.5</v>
      </c>
      <c r="C10" s="95">
        <v>735</v>
      </c>
      <c r="D10" s="69">
        <v>715</v>
      </c>
      <c r="E10" s="69">
        <v>602.6</v>
      </c>
      <c r="F10" s="69">
        <v>629.79999999999995</v>
      </c>
      <c r="G10" s="69">
        <v>525.70000000000005</v>
      </c>
      <c r="H10" s="69">
        <v>656.7</v>
      </c>
      <c r="I10" s="69">
        <v>721.7</v>
      </c>
      <c r="J10" s="96">
        <v>745.5</v>
      </c>
      <c r="K10" s="96">
        <v>652.70000000000005</v>
      </c>
      <c r="L10" s="96">
        <v>744.9</v>
      </c>
      <c r="M10" s="96">
        <v>635.4</v>
      </c>
      <c r="N10" s="96">
        <v>654.6</v>
      </c>
      <c r="O10" s="96">
        <v>795.5</v>
      </c>
      <c r="P10" s="96">
        <v>680.7</v>
      </c>
      <c r="Q10" s="96">
        <v>510.8</v>
      </c>
      <c r="R10" s="96">
        <v>699.2</v>
      </c>
      <c r="S10" s="1">
        <v>479.7000000000001</v>
      </c>
      <c r="T10" s="1">
        <v>722.44999999999982</v>
      </c>
      <c r="U10" s="1">
        <v>895.00000000000011</v>
      </c>
      <c r="V10" s="1">
        <v>786.60000000000025</v>
      </c>
      <c r="W10" s="1">
        <v>588.80000000000007</v>
      </c>
      <c r="X10" s="1">
        <v>706.19999999999993</v>
      </c>
      <c r="Y10" s="1">
        <v>737.69999999999993</v>
      </c>
      <c r="Z10" s="1">
        <v>764</v>
      </c>
      <c r="AA10" s="1">
        <v>638.20000000000005</v>
      </c>
      <c r="AB10" s="1">
        <v>599.59999999999991</v>
      </c>
      <c r="AC10" s="76">
        <f t="shared" si="0"/>
        <v>691.82500000000005</v>
      </c>
      <c r="AD10" s="77">
        <f t="shared" si="1"/>
        <v>680.40842105263187</v>
      </c>
      <c r="AF10"/>
      <c r="AG10"/>
    </row>
    <row r="11" spans="1:33" x14ac:dyDescent="0.2">
      <c r="A11" s="74" t="s">
        <v>95</v>
      </c>
      <c r="B11" s="95">
        <v>478.4</v>
      </c>
      <c r="C11" s="95">
        <v>518.4</v>
      </c>
      <c r="D11" s="69">
        <v>460.2</v>
      </c>
      <c r="E11" s="69">
        <v>331.8</v>
      </c>
      <c r="F11" s="69">
        <v>259.39999999999998</v>
      </c>
      <c r="G11" s="69">
        <v>386.9</v>
      </c>
      <c r="H11" s="69">
        <v>370.3</v>
      </c>
      <c r="I11" s="69">
        <v>437.3</v>
      </c>
      <c r="J11" s="96">
        <v>497.2</v>
      </c>
      <c r="K11" s="96">
        <v>457.4</v>
      </c>
      <c r="L11" s="96">
        <v>369.1</v>
      </c>
      <c r="M11" s="96">
        <v>360</v>
      </c>
      <c r="N11" s="96">
        <v>459.1</v>
      </c>
      <c r="O11" s="96">
        <v>391.8</v>
      </c>
      <c r="P11" s="96">
        <v>425.5</v>
      </c>
      <c r="Q11" s="96">
        <v>327.8</v>
      </c>
      <c r="R11" s="96">
        <v>444.6</v>
      </c>
      <c r="S11" s="1">
        <v>437.50000000000006</v>
      </c>
      <c r="T11" s="1">
        <v>495.71875</v>
      </c>
      <c r="U11" s="1">
        <v>511.09999999999997</v>
      </c>
      <c r="V11" s="1">
        <v>474.40000000000003</v>
      </c>
      <c r="W11" s="1">
        <v>499.7</v>
      </c>
      <c r="X11" s="1">
        <v>392.09999999999991</v>
      </c>
      <c r="Y11" s="1">
        <v>585.90000000000009</v>
      </c>
      <c r="Z11" s="1">
        <v>460.99999999999994</v>
      </c>
      <c r="AA11" s="1">
        <v>489.45000000000005</v>
      </c>
      <c r="AB11" s="1">
        <v>392.87499999999989</v>
      </c>
      <c r="AC11" s="76">
        <f t="shared" si="0"/>
        <v>473.97437499999995</v>
      </c>
      <c r="AD11" s="77">
        <f t="shared" si="1"/>
        <v>477.98717105263131</v>
      </c>
      <c r="AF11"/>
      <c r="AG11"/>
    </row>
    <row r="12" spans="1:33" x14ac:dyDescent="0.2">
      <c r="A12" s="74" t="s">
        <v>63</v>
      </c>
      <c r="B12" s="95">
        <v>230.6</v>
      </c>
      <c r="C12" s="95">
        <v>272.2</v>
      </c>
      <c r="D12" s="69">
        <v>219.2</v>
      </c>
      <c r="E12" s="69">
        <v>100.8</v>
      </c>
      <c r="F12" s="69">
        <v>137.30000000000001</v>
      </c>
      <c r="G12" s="69">
        <v>199.3</v>
      </c>
      <c r="H12" s="69">
        <v>157.5</v>
      </c>
      <c r="I12" s="69">
        <v>214</v>
      </c>
      <c r="J12" s="96">
        <v>236.5</v>
      </c>
      <c r="K12" s="96">
        <v>297.89999999999998</v>
      </c>
      <c r="L12" s="96">
        <v>259</v>
      </c>
      <c r="M12" s="96">
        <v>185.1</v>
      </c>
      <c r="N12" s="96">
        <v>204.6</v>
      </c>
      <c r="O12" s="96">
        <v>320</v>
      </c>
      <c r="P12" s="96">
        <v>298.89999999999998</v>
      </c>
      <c r="Q12" s="96">
        <v>168</v>
      </c>
      <c r="R12" s="96">
        <v>221.9</v>
      </c>
      <c r="S12" s="1">
        <v>188.29999999999998</v>
      </c>
      <c r="T12" s="1">
        <v>248.35000000000005</v>
      </c>
      <c r="U12" s="1">
        <v>267.89999999999992</v>
      </c>
      <c r="V12" s="1">
        <v>242.9</v>
      </c>
      <c r="W12" s="1">
        <v>241.20000000000005</v>
      </c>
      <c r="X12" s="1">
        <v>273.79999999999995</v>
      </c>
      <c r="Y12" s="1">
        <v>214.00000000000003</v>
      </c>
      <c r="Z12" s="1">
        <v>332.59999999999991</v>
      </c>
      <c r="AA12" s="1">
        <v>286.7</v>
      </c>
      <c r="AB12" s="1">
        <v>266.09999999999997</v>
      </c>
      <c r="AC12" s="76">
        <f t="shared" si="0"/>
        <v>256.185</v>
      </c>
      <c r="AD12" s="77">
        <f t="shared" si="1"/>
        <v>268.88736842105254</v>
      </c>
      <c r="AF12"/>
      <c r="AG12"/>
    </row>
    <row r="13" spans="1:33" x14ac:dyDescent="0.2">
      <c r="A13" s="74" t="s">
        <v>96</v>
      </c>
      <c r="B13" s="95">
        <v>45.7</v>
      </c>
      <c r="C13" s="95">
        <v>54.5</v>
      </c>
      <c r="D13" s="69">
        <v>40.4</v>
      </c>
      <c r="E13" s="69">
        <v>93.4</v>
      </c>
      <c r="F13" s="69">
        <v>67.099999999999994</v>
      </c>
      <c r="G13" s="69">
        <v>99.7</v>
      </c>
      <c r="H13" s="69">
        <v>60.2</v>
      </c>
      <c r="I13" s="69">
        <v>67.7</v>
      </c>
      <c r="J13" s="96">
        <v>112.8</v>
      </c>
      <c r="K13" s="96">
        <v>151.4</v>
      </c>
      <c r="L13" s="96">
        <v>31.7</v>
      </c>
      <c r="M13" s="96">
        <v>81.2</v>
      </c>
      <c r="N13" s="96">
        <v>67.8</v>
      </c>
      <c r="O13" s="96">
        <v>99.8</v>
      </c>
      <c r="P13" s="96">
        <v>126.1</v>
      </c>
      <c r="Q13" s="96">
        <v>87.8</v>
      </c>
      <c r="R13" s="96">
        <v>99.4</v>
      </c>
      <c r="S13" s="1">
        <v>59.062499999999993</v>
      </c>
      <c r="T13" s="1">
        <v>106.19999999999999</v>
      </c>
      <c r="U13" s="1">
        <v>96.899999999999991</v>
      </c>
      <c r="V13" s="1">
        <v>141.80000000000001</v>
      </c>
      <c r="W13" s="1">
        <v>119.09999999999998</v>
      </c>
      <c r="X13" s="1">
        <v>104.10000000000002</v>
      </c>
      <c r="Y13" s="1">
        <v>104.49999999999999</v>
      </c>
      <c r="Z13" s="1">
        <v>126.3</v>
      </c>
      <c r="AA13" s="1">
        <v>101.5</v>
      </c>
      <c r="AB13" s="1">
        <v>70.899999999999991</v>
      </c>
      <c r="AC13" s="76">
        <f t="shared" si="0"/>
        <v>103.03625</v>
      </c>
      <c r="AD13" s="77">
        <f t="shared" si="1"/>
        <v>108.18519736842109</v>
      </c>
      <c r="AF13"/>
      <c r="AG13"/>
    </row>
    <row r="14" spans="1:33" x14ac:dyDescent="0.2">
      <c r="A14" s="74" t="s">
        <v>97</v>
      </c>
      <c r="B14" s="95">
        <v>33.5</v>
      </c>
      <c r="C14" s="95">
        <v>72.5</v>
      </c>
      <c r="D14" s="69">
        <v>51.3</v>
      </c>
      <c r="E14" s="69">
        <v>13.1</v>
      </c>
      <c r="F14" s="69">
        <v>17.100000000000001</v>
      </c>
      <c r="G14" s="69">
        <v>33.700000000000003</v>
      </c>
      <c r="H14" s="69">
        <v>45.2</v>
      </c>
      <c r="I14" s="69">
        <v>7.2</v>
      </c>
      <c r="J14" s="96">
        <v>28</v>
      </c>
      <c r="K14" s="96">
        <v>54.7</v>
      </c>
      <c r="L14" s="96">
        <v>34.9</v>
      </c>
      <c r="M14" s="96">
        <v>8.4</v>
      </c>
      <c r="N14" s="96">
        <v>38</v>
      </c>
      <c r="O14" s="96">
        <v>34.799999999999997</v>
      </c>
      <c r="P14" s="96">
        <v>87.7</v>
      </c>
      <c r="Q14" s="96">
        <v>6.7</v>
      </c>
      <c r="R14" s="96">
        <v>14</v>
      </c>
      <c r="S14" s="1">
        <v>9.5</v>
      </c>
      <c r="T14" s="1">
        <v>47.749999999999993</v>
      </c>
      <c r="U14" s="1">
        <v>88.100000000000023</v>
      </c>
      <c r="V14" s="1">
        <v>52.599999999999994</v>
      </c>
      <c r="W14" s="1">
        <v>27.2</v>
      </c>
      <c r="X14" s="1">
        <v>42.000000000000007</v>
      </c>
      <c r="Y14" s="1">
        <v>19.599999999999998</v>
      </c>
      <c r="Z14" s="1">
        <v>26.3</v>
      </c>
      <c r="AA14" s="1">
        <v>12.3</v>
      </c>
      <c r="AB14" s="1">
        <v>34.400000000000006</v>
      </c>
      <c r="AC14" s="76">
        <f t="shared" si="0"/>
        <v>35.975000000000009</v>
      </c>
      <c r="AD14" s="77">
        <f t="shared" si="1"/>
        <v>34.833684210526314</v>
      </c>
      <c r="AF14"/>
      <c r="AG14"/>
    </row>
    <row r="15" spans="1:33" x14ac:dyDescent="0.2">
      <c r="A15" s="74" t="s">
        <v>98</v>
      </c>
      <c r="B15" s="95">
        <v>13.4</v>
      </c>
      <c r="C15" s="95">
        <v>30.1</v>
      </c>
      <c r="D15" s="69">
        <v>67.5</v>
      </c>
      <c r="E15" s="69">
        <v>12</v>
      </c>
      <c r="F15" s="69">
        <v>41.4</v>
      </c>
      <c r="G15" s="69">
        <v>25.2</v>
      </c>
      <c r="H15" s="69">
        <v>11.1</v>
      </c>
      <c r="I15" s="69">
        <v>18.399999999999999</v>
      </c>
      <c r="J15" s="96">
        <v>32.200000000000003</v>
      </c>
      <c r="K15" s="96">
        <v>83</v>
      </c>
      <c r="L15" s="96">
        <v>23.7</v>
      </c>
      <c r="M15" s="96">
        <v>35</v>
      </c>
      <c r="N15" s="96">
        <v>33.799999999999997</v>
      </c>
      <c r="O15" s="96">
        <v>29</v>
      </c>
      <c r="P15" s="96">
        <v>69.3</v>
      </c>
      <c r="Q15" s="96">
        <v>32.700000000000003</v>
      </c>
      <c r="R15" s="96">
        <v>24.2</v>
      </c>
      <c r="S15" s="1">
        <v>34.299999999999997</v>
      </c>
      <c r="T15" s="1">
        <v>57.699999999999989</v>
      </c>
      <c r="U15" s="1">
        <v>63.399999999999991</v>
      </c>
      <c r="V15" s="1">
        <v>37.5</v>
      </c>
      <c r="W15" s="1">
        <v>17.100000000000001</v>
      </c>
      <c r="X15" s="1">
        <v>58.35</v>
      </c>
      <c r="Y15" s="1">
        <v>24.599999999999998</v>
      </c>
      <c r="Z15" s="1">
        <v>52.499999999999993</v>
      </c>
      <c r="AA15" s="1">
        <v>38.299999999999997</v>
      </c>
      <c r="AB15" s="1">
        <v>8.3000000000000007</v>
      </c>
      <c r="AC15" s="76">
        <f t="shared" si="0"/>
        <v>39.204999999999998</v>
      </c>
      <c r="AD15" s="77">
        <f t="shared" si="1"/>
        <v>36.201578947368432</v>
      </c>
      <c r="AF15"/>
      <c r="AG15"/>
    </row>
    <row r="16" spans="1:33" x14ac:dyDescent="0.2">
      <c r="A16" s="74" t="s">
        <v>99</v>
      </c>
      <c r="B16" s="95">
        <v>178.6</v>
      </c>
      <c r="C16" s="95">
        <v>119.4342</v>
      </c>
      <c r="D16" s="69">
        <v>106.8</v>
      </c>
      <c r="E16" s="69">
        <v>94.3</v>
      </c>
      <c r="F16" s="69">
        <v>121</v>
      </c>
      <c r="G16" s="69">
        <v>150.4</v>
      </c>
      <c r="H16" s="69">
        <v>131.80000000000001</v>
      </c>
      <c r="I16" s="69">
        <v>89.9</v>
      </c>
      <c r="J16" s="96">
        <v>123.1</v>
      </c>
      <c r="K16" s="96">
        <v>84.1</v>
      </c>
      <c r="L16" s="96">
        <v>82.6</v>
      </c>
      <c r="M16" s="96">
        <v>151.9</v>
      </c>
      <c r="N16" s="96">
        <v>127.6</v>
      </c>
      <c r="O16" s="96">
        <v>140.1</v>
      </c>
      <c r="P16" s="96">
        <v>93.1</v>
      </c>
      <c r="Q16" s="96">
        <v>171.8</v>
      </c>
      <c r="R16" s="96">
        <v>129.6</v>
      </c>
      <c r="S16" s="1">
        <v>181.89999999999998</v>
      </c>
      <c r="T16" s="1">
        <v>165.6</v>
      </c>
      <c r="U16" s="1">
        <v>158.20000000000002</v>
      </c>
      <c r="V16" s="1">
        <v>75.5</v>
      </c>
      <c r="W16" s="1">
        <v>65.099999999999994</v>
      </c>
      <c r="X16" s="1">
        <v>112.69999999999997</v>
      </c>
      <c r="Y16" s="1">
        <v>135</v>
      </c>
      <c r="Z16" s="1">
        <v>128.29999999999998</v>
      </c>
      <c r="AA16" s="1">
        <v>181.5</v>
      </c>
      <c r="AB16" s="1">
        <v>117.6</v>
      </c>
      <c r="AC16" s="76">
        <f t="shared" si="0"/>
        <v>132.13999999999999</v>
      </c>
      <c r="AD16" s="77">
        <f t="shared" si="1"/>
        <v>139.78578947368442</v>
      </c>
      <c r="AF16"/>
      <c r="AG16"/>
    </row>
    <row r="17" spans="1:33" x14ac:dyDescent="0.2">
      <c r="A17" s="74" t="s">
        <v>100</v>
      </c>
      <c r="B17" s="95">
        <v>300.8</v>
      </c>
      <c r="C17" s="95">
        <v>601.1</v>
      </c>
      <c r="D17" s="69">
        <v>340.4</v>
      </c>
      <c r="E17" s="69">
        <v>289.10000000000002</v>
      </c>
      <c r="F17" s="69">
        <v>358.9</v>
      </c>
      <c r="G17" s="69">
        <v>224.5</v>
      </c>
      <c r="H17" s="69">
        <v>307.5</v>
      </c>
      <c r="I17" s="69">
        <v>409.8</v>
      </c>
      <c r="J17" s="96">
        <v>348.5</v>
      </c>
      <c r="K17" s="96">
        <v>307.3</v>
      </c>
      <c r="L17" s="96">
        <v>273.60000000000002</v>
      </c>
      <c r="M17" s="96">
        <v>375.3</v>
      </c>
      <c r="N17" s="96">
        <v>233.5</v>
      </c>
      <c r="O17" s="96">
        <v>334.5</v>
      </c>
      <c r="P17" s="96">
        <v>381.1</v>
      </c>
      <c r="Q17" s="96">
        <v>315.5</v>
      </c>
      <c r="R17" s="96">
        <v>269.5</v>
      </c>
      <c r="S17" s="1">
        <v>343.90000000000003</v>
      </c>
      <c r="T17" s="1">
        <v>326.0625</v>
      </c>
      <c r="U17" s="1">
        <v>340.99999999999989</v>
      </c>
      <c r="V17" s="1">
        <v>331.19999999999993</v>
      </c>
      <c r="W17" s="1">
        <v>288.70000000000005</v>
      </c>
      <c r="X17" s="1">
        <v>266.29999999999995</v>
      </c>
      <c r="Y17" s="1">
        <v>389.15000000000009</v>
      </c>
      <c r="Z17" s="1">
        <v>352.29999999999995</v>
      </c>
      <c r="AA17" s="1">
        <v>410.8</v>
      </c>
      <c r="AB17" s="1">
        <v>208.75</v>
      </c>
      <c r="AC17" s="76">
        <f t="shared" si="0"/>
        <v>325.81625000000003</v>
      </c>
      <c r="AD17" s="77">
        <f t="shared" si="1"/>
        <v>314.25855263157882</v>
      </c>
      <c r="AF17"/>
      <c r="AG17"/>
    </row>
    <row r="18" spans="1:33" x14ac:dyDescent="0.2">
      <c r="A18" s="74" t="s">
        <v>101</v>
      </c>
      <c r="B18" s="95">
        <v>648.20000000000005</v>
      </c>
      <c r="C18" s="95">
        <v>722</v>
      </c>
      <c r="D18" s="69">
        <v>534.79999999999995</v>
      </c>
      <c r="E18" s="69">
        <v>453.8</v>
      </c>
      <c r="F18" s="69">
        <v>442.7</v>
      </c>
      <c r="G18" s="69">
        <v>490.8</v>
      </c>
      <c r="H18" s="69">
        <v>414</v>
      </c>
      <c r="I18" s="69">
        <v>574.4</v>
      </c>
      <c r="J18" s="96">
        <v>494.7</v>
      </c>
      <c r="K18" s="96">
        <v>462.7</v>
      </c>
      <c r="L18" s="96">
        <v>497.6</v>
      </c>
      <c r="M18" s="96">
        <v>467.9</v>
      </c>
      <c r="N18" s="96">
        <v>541</v>
      </c>
      <c r="O18" s="96">
        <v>496.8</v>
      </c>
      <c r="P18" s="96">
        <v>416.7</v>
      </c>
      <c r="Q18" s="96">
        <v>476</v>
      </c>
      <c r="R18" s="96">
        <v>428.9</v>
      </c>
      <c r="S18" s="1">
        <v>481.84999999999997</v>
      </c>
      <c r="T18" s="1">
        <v>543.69999999999993</v>
      </c>
      <c r="U18" s="1">
        <v>616.1</v>
      </c>
      <c r="V18" s="1">
        <v>413.00000000000006</v>
      </c>
      <c r="W18" s="1">
        <v>403.2</v>
      </c>
      <c r="X18" s="1">
        <v>540.84999999999991</v>
      </c>
      <c r="Y18" s="1">
        <v>604.09999999999991</v>
      </c>
      <c r="Z18" s="1">
        <v>615.09999999999991</v>
      </c>
      <c r="AA18" s="1">
        <v>437.50000000000006</v>
      </c>
      <c r="AB18" s="1">
        <v>500.4</v>
      </c>
      <c r="AC18" s="76">
        <f t="shared" si="0"/>
        <v>515.57999999999993</v>
      </c>
      <c r="AD18" s="77">
        <f t="shared" si="1"/>
        <v>512.63131578947377</v>
      </c>
      <c r="AF18"/>
      <c r="AG18"/>
    </row>
    <row r="19" spans="1:33" x14ac:dyDescent="0.2">
      <c r="A19" s="74" t="s">
        <v>102</v>
      </c>
      <c r="B19" s="95">
        <v>831.3</v>
      </c>
      <c r="C19" s="95">
        <v>936</v>
      </c>
      <c r="D19" s="69">
        <v>556.79999999999995</v>
      </c>
      <c r="E19" s="69">
        <v>663.7</v>
      </c>
      <c r="F19" s="69">
        <v>662.3</v>
      </c>
      <c r="G19" s="69">
        <v>882.9</v>
      </c>
      <c r="H19" s="69">
        <v>583.6</v>
      </c>
      <c r="I19" s="69">
        <v>686.5</v>
      </c>
      <c r="J19" s="96">
        <v>657.8</v>
      </c>
      <c r="K19" s="96">
        <v>796.9</v>
      </c>
      <c r="L19" s="96">
        <v>738.6</v>
      </c>
      <c r="M19" s="96">
        <v>624.29999999999995</v>
      </c>
      <c r="N19" s="96">
        <v>711.6</v>
      </c>
      <c r="O19" s="96">
        <v>814.7</v>
      </c>
      <c r="P19" s="96">
        <v>748.5</v>
      </c>
      <c r="Q19" s="96">
        <v>770.2</v>
      </c>
      <c r="R19" s="96">
        <v>650.4</v>
      </c>
      <c r="S19" s="1">
        <v>445.9</v>
      </c>
      <c r="T19" s="1">
        <v>874.5</v>
      </c>
      <c r="U19" s="1">
        <v>691.4</v>
      </c>
      <c r="V19" s="1">
        <v>541.20000000000005</v>
      </c>
      <c r="W19" s="1">
        <v>640.68000000000006</v>
      </c>
      <c r="X19" s="1">
        <v>849.9</v>
      </c>
      <c r="Y19" s="1">
        <v>686.6</v>
      </c>
      <c r="Z19" s="1">
        <v>713.19999999999993</v>
      </c>
      <c r="AA19" s="1">
        <v>668.3</v>
      </c>
      <c r="AB19" s="1">
        <v>649.19999999999982</v>
      </c>
      <c r="AC19" s="76">
        <f t="shared" si="0"/>
        <v>676.08799999999997</v>
      </c>
      <c r="AD19" s="77">
        <f t="shared" si="1"/>
        <v>676.62442105263199</v>
      </c>
      <c r="AF19"/>
      <c r="AG19"/>
    </row>
    <row r="20" spans="1:33" x14ac:dyDescent="0.2">
      <c r="A20" s="74"/>
      <c r="B20" s="74"/>
      <c r="C20" s="74"/>
      <c r="D20" s="74"/>
      <c r="E20" s="74"/>
      <c r="F20" s="74"/>
      <c r="Q20" s="74"/>
      <c r="R20" s="74"/>
      <c r="S20" s="74"/>
      <c r="T20" s="74"/>
      <c r="U20" s="74"/>
      <c r="V20" s="74"/>
      <c r="W20" s="74"/>
      <c r="X20" s="74"/>
      <c r="Y20" s="74"/>
      <c r="Z20" s="74"/>
      <c r="AA20" s="74"/>
      <c r="AB20" s="74"/>
      <c r="AF20"/>
      <c r="AG20"/>
    </row>
    <row r="21" spans="1:33" x14ac:dyDescent="0.2">
      <c r="A21" s="74" t="s">
        <v>12</v>
      </c>
      <c r="B21" s="75">
        <f t="shared" ref="B21:U21" si="2">SUM(B8:B19)</f>
        <v>5274.4000000000005</v>
      </c>
      <c r="C21" s="75">
        <f t="shared" si="2"/>
        <v>5801.6342000000004</v>
      </c>
      <c r="D21" s="75">
        <f t="shared" si="2"/>
        <v>4752.8</v>
      </c>
      <c r="E21" s="75">
        <f t="shared" si="2"/>
        <v>3991.4000000000005</v>
      </c>
      <c r="F21" s="75">
        <f t="shared" si="2"/>
        <v>4274.3999999999996</v>
      </c>
      <c r="G21" s="75">
        <f t="shared" si="2"/>
        <v>4475.8999999999996</v>
      </c>
      <c r="H21" s="75">
        <f t="shared" si="2"/>
        <v>4239.3</v>
      </c>
      <c r="I21" s="75">
        <f t="shared" si="2"/>
        <v>4580.8000000000011</v>
      </c>
      <c r="J21" s="75">
        <f t="shared" si="2"/>
        <v>5099.5</v>
      </c>
      <c r="K21" s="75">
        <f t="shared" si="2"/>
        <v>5061.0999999999995</v>
      </c>
      <c r="L21" s="75">
        <f t="shared" si="2"/>
        <v>4674.3999999999996</v>
      </c>
      <c r="M21" s="75">
        <f t="shared" si="2"/>
        <v>4348.9000000000005</v>
      </c>
      <c r="N21" s="75">
        <f t="shared" si="2"/>
        <v>4692</v>
      </c>
      <c r="O21" s="75">
        <f t="shared" si="2"/>
        <v>5050.2</v>
      </c>
      <c r="P21" s="75">
        <f t="shared" si="2"/>
        <v>5045.7999999999993</v>
      </c>
      <c r="Q21" s="75">
        <f t="shared" si="2"/>
        <v>4369.1000000000004</v>
      </c>
      <c r="R21" s="75">
        <f t="shared" si="2"/>
        <v>4649</v>
      </c>
      <c r="S21" s="75">
        <f t="shared" si="2"/>
        <v>4041.3125000000005</v>
      </c>
      <c r="T21" s="75">
        <f t="shared" si="2"/>
        <v>5172.3062499999987</v>
      </c>
      <c r="U21" s="75">
        <f t="shared" si="2"/>
        <v>5621.4</v>
      </c>
      <c r="V21" s="75">
        <f t="shared" ref="V21:W21" si="3">SUM(V8:V19)</f>
        <v>5066.1000000000004</v>
      </c>
      <c r="W21" s="75">
        <f t="shared" si="3"/>
        <v>4416.18</v>
      </c>
      <c r="X21" s="75">
        <f t="shared" ref="X21:AB21" si="4">SUM(X8:X19)</f>
        <v>4695.8999999999996</v>
      </c>
      <c r="Y21" s="75">
        <f t="shared" si="4"/>
        <v>5130.55</v>
      </c>
      <c r="Z21" s="75">
        <f t="shared" si="4"/>
        <v>5340.8</v>
      </c>
      <c r="AA21" s="75">
        <f t="shared" si="4"/>
        <v>4728.4500000000007</v>
      </c>
      <c r="AB21" s="75">
        <f t="shared" si="4"/>
        <v>4385.9250000000002</v>
      </c>
      <c r="AF21"/>
      <c r="AG21"/>
    </row>
    <row r="22" spans="1:33" x14ac:dyDescent="0.2">
      <c r="A22" s="68"/>
      <c r="B22" s="68"/>
      <c r="C22" s="68"/>
      <c r="D22" s="68"/>
      <c r="E22" s="69"/>
      <c r="F22" s="69"/>
      <c r="U22" s="79"/>
      <c r="V22" s="79"/>
      <c r="W22" s="79"/>
      <c r="X22" s="79"/>
      <c r="Y22" s="79"/>
      <c r="Z22" s="79"/>
      <c r="AA22" s="79"/>
      <c r="AB22" s="79"/>
      <c r="AF22"/>
      <c r="AG22"/>
    </row>
    <row r="23" spans="1:33" x14ac:dyDescent="0.2">
      <c r="A23" s="68" t="s">
        <v>103</v>
      </c>
      <c r="B23" s="68"/>
      <c r="C23" s="68"/>
      <c r="D23" s="68"/>
      <c r="E23" s="69"/>
      <c r="F23" s="69"/>
      <c r="K23" s="79">
        <f>MAX(B21:U21)</f>
        <v>5801.6342000000004</v>
      </c>
      <c r="P23" s="79"/>
      <c r="AF23"/>
      <c r="AG23"/>
    </row>
    <row r="24" spans="1:33" x14ac:dyDescent="0.2">
      <c r="A24" s="70"/>
      <c r="B24" s="70"/>
      <c r="C24" s="70"/>
      <c r="D24" s="70"/>
      <c r="E24" s="71"/>
      <c r="F24" s="71"/>
      <c r="AF24"/>
      <c r="AG24"/>
    </row>
    <row r="25" spans="1:33" x14ac:dyDescent="0.2">
      <c r="A25" s="72" t="s">
        <v>89</v>
      </c>
      <c r="B25" s="72">
        <v>1995</v>
      </c>
      <c r="C25" s="72">
        <v>1996</v>
      </c>
      <c r="D25" s="72">
        <v>1997</v>
      </c>
      <c r="E25" s="72">
        <v>1998</v>
      </c>
      <c r="F25" s="72">
        <v>1999</v>
      </c>
      <c r="G25" s="72">
        <v>2000</v>
      </c>
      <c r="H25" s="72">
        <v>2001</v>
      </c>
      <c r="I25" s="72">
        <v>2002</v>
      </c>
      <c r="J25" s="72">
        <v>2003</v>
      </c>
      <c r="K25" s="72">
        <v>2004</v>
      </c>
      <c r="L25" s="72">
        <v>2005</v>
      </c>
      <c r="M25" s="72">
        <v>2006</v>
      </c>
      <c r="N25" s="72">
        <v>2007</v>
      </c>
      <c r="O25" s="72">
        <v>2008</v>
      </c>
      <c r="P25" s="72">
        <v>2009</v>
      </c>
      <c r="Q25" s="72">
        <v>2010</v>
      </c>
      <c r="R25" s="72">
        <v>2011</v>
      </c>
      <c r="S25" s="72">
        <v>2012</v>
      </c>
      <c r="T25" s="72">
        <v>2013</v>
      </c>
      <c r="U25" s="72">
        <v>2014</v>
      </c>
      <c r="V25" s="72">
        <v>2015</v>
      </c>
      <c r="W25" s="72">
        <v>2016</v>
      </c>
      <c r="X25" s="72">
        <v>2017</v>
      </c>
      <c r="Y25" s="72">
        <v>2018</v>
      </c>
      <c r="Z25" s="72">
        <v>2019</v>
      </c>
      <c r="AA25" s="72">
        <v>2020</v>
      </c>
      <c r="AB25" s="72">
        <v>2021</v>
      </c>
      <c r="AC25" s="73" t="s">
        <v>90</v>
      </c>
      <c r="AD25" s="73" t="s">
        <v>91</v>
      </c>
      <c r="AF25"/>
      <c r="AG25"/>
    </row>
    <row r="26" spans="1:33" x14ac:dyDescent="0.2">
      <c r="A26" s="70"/>
      <c r="B26" s="70"/>
      <c r="C26" s="70"/>
      <c r="D26" s="70"/>
      <c r="E26" s="69"/>
      <c r="F26" s="69"/>
      <c r="AF26"/>
      <c r="AG26"/>
    </row>
    <row r="27" spans="1:33" x14ac:dyDescent="0.2">
      <c r="E27" s="69"/>
      <c r="F27" s="69"/>
      <c r="AF27"/>
      <c r="AG27"/>
    </row>
    <row r="28" spans="1:33" x14ac:dyDescent="0.2">
      <c r="A28" s="74" t="s">
        <v>92</v>
      </c>
      <c r="B28" s="95">
        <v>0</v>
      </c>
      <c r="C28" s="95">
        <v>0</v>
      </c>
      <c r="D28" s="69">
        <v>0</v>
      </c>
      <c r="E28" s="69">
        <v>0</v>
      </c>
      <c r="F28" s="69">
        <v>0</v>
      </c>
      <c r="G28" s="69">
        <v>0</v>
      </c>
      <c r="H28" s="69">
        <v>0</v>
      </c>
      <c r="I28" s="69">
        <v>0</v>
      </c>
      <c r="J28" s="96">
        <v>0</v>
      </c>
      <c r="K28" s="96">
        <v>0</v>
      </c>
      <c r="L28" s="96">
        <v>0</v>
      </c>
      <c r="M28" s="96">
        <v>0</v>
      </c>
      <c r="N28" s="96">
        <v>0</v>
      </c>
      <c r="O28" s="96">
        <v>0</v>
      </c>
      <c r="P28" s="96">
        <v>0</v>
      </c>
      <c r="Q28" s="96">
        <v>0</v>
      </c>
      <c r="R28" s="96">
        <v>0</v>
      </c>
      <c r="S28" s="1">
        <v>0</v>
      </c>
      <c r="T28" s="1">
        <v>0</v>
      </c>
      <c r="U28" s="1">
        <v>0</v>
      </c>
      <c r="V28" s="1">
        <v>0</v>
      </c>
      <c r="W28" s="1">
        <v>0</v>
      </c>
      <c r="X28" s="1">
        <v>0</v>
      </c>
      <c r="Y28" s="1">
        <v>0</v>
      </c>
      <c r="Z28" s="1">
        <v>0</v>
      </c>
      <c r="AA28" s="1">
        <v>0</v>
      </c>
      <c r="AB28" s="1">
        <v>0</v>
      </c>
      <c r="AC28" s="76">
        <f>AVERAGE(S28:AB28)</f>
        <v>0</v>
      </c>
      <c r="AD28" s="77">
        <f>TREND(I28:AB28,$I$25:$AB$25,2022)</f>
        <v>0</v>
      </c>
      <c r="AF28"/>
      <c r="AG28"/>
    </row>
    <row r="29" spans="1:33" x14ac:dyDescent="0.2">
      <c r="A29" s="74" t="s">
        <v>93</v>
      </c>
      <c r="B29" s="95">
        <v>0</v>
      </c>
      <c r="C29" s="95">
        <v>0</v>
      </c>
      <c r="D29" s="69">
        <v>0</v>
      </c>
      <c r="E29" s="69">
        <v>0</v>
      </c>
      <c r="F29" s="69">
        <v>0</v>
      </c>
      <c r="G29" s="69">
        <v>0</v>
      </c>
      <c r="H29" s="69">
        <v>0</v>
      </c>
      <c r="I29" s="69">
        <v>0</v>
      </c>
      <c r="J29" s="96">
        <v>0</v>
      </c>
      <c r="K29" s="96">
        <v>0</v>
      </c>
      <c r="L29" s="96">
        <v>0</v>
      </c>
      <c r="M29" s="96">
        <v>0</v>
      </c>
      <c r="N29" s="96">
        <v>0</v>
      </c>
      <c r="O29" s="96">
        <v>0</v>
      </c>
      <c r="P29" s="96">
        <v>0</v>
      </c>
      <c r="Q29" s="96">
        <v>0</v>
      </c>
      <c r="R29" s="96">
        <v>0</v>
      </c>
      <c r="S29" s="1">
        <v>0</v>
      </c>
      <c r="T29" s="1">
        <v>0</v>
      </c>
      <c r="U29" s="1">
        <v>0</v>
      </c>
      <c r="V29" s="1">
        <v>0</v>
      </c>
      <c r="W29" s="1">
        <v>0</v>
      </c>
      <c r="X29" s="1">
        <v>0</v>
      </c>
      <c r="Y29" s="1">
        <v>0</v>
      </c>
      <c r="Z29" s="1">
        <v>0</v>
      </c>
      <c r="AA29" s="1">
        <v>0</v>
      </c>
      <c r="AB29" s="1">
        <v>0</v>
      </c>
      <c r="AC29" s="76">
        <f t="shared" ref="AC29:AC38" si="5">AVERAGE(S29:AB29)</f>
        <v>0</v>
      </c>
      <c r="AD29" s="77">
        <f t="shared" ref="AD29:AD39" si="6">TREND(I29:AB29,$I$25:$AB$25,2022)</f>
        <v>0</v>
      </c>
      <c r="AF29"/>
      <c r="AG29"/>
    </row>
    <row r="30" spans="1:33" x14ac:dyDescent="0.2">
      <c r="A30" s="74" t="s">
        <v>94</v>
      </c>
      <c r="B30" s="95">
        <v>0</v>
      </c>
      <c r="C30" s="95">
        <v>0</v>
      </c>
      <c r="D30" s="69">
        <v>0</v>
      </c>
      <c r="E30" s="69">
        <v>0</v>
      </c>
      <c r="F30" s="69">
        <v>0</v>
      </c>
      <c r="G30" s="69">
        <v>0</v>
      </c>
      <c r="H30" s="69">
        <v>0</v>
      </c>
      <c r="I30" s="69">
        <v>0</v>
      </c>
      <c r="J30" s="96">
        <v>0</v>
      </c>
      <c r="K30" s="96">
        <v>0</v>
      </c>
      <c r="L30" s="96">
        <v>0</v>
      </c>
      <c r="M30" s="96">
        <v>0</v>
      </c>
      <c r="N30" s="96">
        <v>0</v>
      </c>
      <c r="O30" s="96">
        <v>0</v>
      </c>
      <c r="P30" s="96">
        <v>0</v>
      </c>
      <c r="Q30" s="96">
        <v>0</v>
      </c>
      <c r="R30" s="96">
        <v>0</v>
      </c>
      <c r="S30" s="1">
        <v>0</v>
      </c>
      <c r="T30" s="1">
        <v>0</v>
      </c>
      <c r="U30" s="1">
        <v>0</v>
      </c>
      <c r="V30" s="1">
        <v>0</v>
      </c>
      <c r="W30" s="1">
        <v>0</v>
      </c>
      <c r="X30" s="1">
        <v>0</v>
      </c>
      <c r="Y30" s="1">
        <v>0</v>
      </c>
      <c r="Z30" s="1">
        <v>0</v>
      </c>
      <c r="AA30" s="1">
        <v>0</v>
      </c>
      <c r="AB30" s="1">
        <v>0</v>
      </c>
      <c r="AC30" s="76">
        <f t="shared" si="5"/>
        <v>0</v>
      </c>
      <c r="AD30" s="77">
        <f t="shared" si="6"/>
        <v>0</v>
      </c>
      <c r="AF30"/>
      <c r="AG30"/>
    </row>
    <row r="31" spans="1:33" x14ac:dyDescent="0.2">
      <c r="A31" s="74" t="s">
        <v>95</v>
      </c>
      <c r="B31" s="95">
        <v>0</v>
      </c>
      <c r="C31" s="95">
        <v>0</v>
      </c>
      <c r="D31" s="69">
        <v>0</v>
      </c>
      <c r="E31" s="69">
        <v>0</v>
      </c>
      <c r="F31" s="69">
        <v>0</v>
      </c>
      <c r="G31" s="69">
        <v>0</v>
      </c>
      <c r="H31" s="69">
        <v>0</v>
      </c>
      <c r="I31" s="69">
        <v>2.2999999999999998</v>
      </c>
      <c r="J31" s="96">
        <v>0</v>
      </c>
      <c r="K31" s="96">
        <v>0</v>
      </c>
      <c r="L31" s="96">
        <v>0</v>
      </c>
      <c r="M31" s="96">
        <v>0</v>
      </c>
      <c r="N31" s="96">
        <v>0</v>
      </c>
      <c r="O31" s="96">
        <v>0</v>
      </c>
      <c r="P31" s="96">
        <v>0</v>
      </c>
      <c r="Q31" s="96">
        <v>0.2</v>
      </c>
      <c r="R31" s="96">
        <v>0</v>
      </c>
      <c r="S31" s="1">
        <v>0</v>
      </c>
      <c r="T31" s="1">
        <v>0</v>
      </c>
      <c r="U31" s="1">
        <v>0</v>
      </c>
      <c r="V31" s="1">
        <v>0</v>
      </c>
      <c r="W31" s="1">
        <v>0</v>
      </c>
      <c r="X31" s="1">
        <v>0</v>
      </c>
      <c r="Y31" s="1">
        <v>0</v>
      </c>
      <c r="Z31" s="1">
        <v>0</v>
      </c>
      <c r="AA31" s="1">
        <v>0</v>
      </c>
      <c r="AB31" s="1">
        <v>0</v>
      </c>
      <c r="AC31" s="76">
        <f t="shared" si="5"/>
        <v>0</v>
      </c>
      <c r="AD31" s="77">
        <f t="shared" si="6"/>
        <v>-0.22473684210527267</v>
      </c>
      <c r="AF31"/>
      <c r="AG31"/>
    </row>
    <row r="32" spans="1:33" x14ac:dyDescent="0.2">
      <c r="A32" s="74" t="s">
        <v>63</v>
      </c>
      <c r="B32" s="95">
        <v>1</v>
      </c>
      <c r="C32" s="95">
        <v>0</v>
      </c>
      <c r="D32" s="69">
        <v>0</v>
      </c>
      <c r="E32" s="69">
        <v>9.6</v>
      </c>
      <c r="F32" s="69">
        <v>8</v>
      </c>
      <c r="G32" s="69">
        <v>8.5</v>
      </c>
      <c r="H32" s="69">
        <v>0</v>
      </c>
      <c r="I32" s="69">
        <v>0</v>
      </c>
      <c r="J32" s="96">
        <v>0</v>
      </c>
      <c r="K32" s="96">
        <v>0.2</v>
      </c>
      <c r="L32" s="96">
        <v>0</v>
      </c>
      <c r="M32" s="96">
        <v>8.4</v>
      </c>
      <c r="N32" s="96">
        <v>12.5</v>
      </c>
      <c r="O32" s="96">
        <v>0</v>
      </c>
      <c r="P32" s="96">
        <v>0</v>
      </c>
      <c r="Q32" s="96">
        <v>19</v>
      </c>
      <c r="R32" s="96">
        <v>3.2</v>
      </c>
      <c r="S32" s="1">
        <v>10.95</v>
      </c>
      <c r="T32" s="1">
        <v>3</v>
      </c>
      <c r="U32" s="1">
        <v>0.8</v>
      </c>
      <c r="V32" s="1">
        <v>1.1000000000000001</v>
      </c>
      <c r="W32" s="1">
        <v>3.5</v>
      </c>
      <c r="X32" s="1">
        <v>0</v>
      </c>
      <c r="Y32" s="1">
        <v>5.6</v>
      </c>
      <c r="Z32" s="1">
        <v>0</v>
      </c>
      <c r="AA32" s="1">
        <v>12.7</v>
      </c>
      <c r="AB32" s="1">
        <v>7.1</v>
      </c>
      <c r="AC32" s="76">
        <f t="shared" si="5"/>
        <v>4.4750000000000005</v>
      </c>
      <c r="AD32" s="77">
        <f t="shared" si="6"/>
        <v>6.1286842105262735</v>
      </c>
      <c r="AF32"/>
      <c r="AG32"/>
    </row>
    <row r="33" spans="1:33" x14ac:dyDescent="0.2">
      <c r="A33" s="74" t="s">
        <v>96</v>
      </c>
      <c r="B33" s="95">
        <v>68.400000000000006</v>
      </c>
      <c r="C33" s="95">
        <v>16.899999999999999</v>
      </c>
      <c r="D33" s="69">
        <v>21.5</v>
      </c>
      <c r="E33" s="69">
        <v>33.200000000000003</v>
      </c>
      <c r="F33" s="69">
        <v>46.2</v>
      </c>
      <c r="G33" s="69">
        <v>6.9</v>
      </c>
      <c r="H33" s="69">
        <v>40.799999999999997</v>
      </c>
      <c r="I33" s="69">
        <v>33.6</v>
      </c>
      <c r="J33" s="96">
        <v>11.9</v>
      </c>
      <c r="K33" s="96">
        <v>2.2000000000000002</v>
      </c>
      <c r="L33" s="96">
        <v>41.8</v>
      </c>
      <c r="M33" s="96">
        <v>12.9</v>
      </c>
      <c r="N33" s="96">
        <v>35.9</v>
      </c>
      <c r="O33" s="96">
        <v>7.8</v>
      </c>
      <c r="P33" s="96">
        <v>19.2</v>
      </c>
      <c r="Q33" s="96">
        <v>5.3</v>
      </c>
      <c r="R33" s="96">
        <v>2.7</v>
      </c>
      <c r="S33" s="1">
        <v>33.662499999999994</v>
      </c>
      <c r="T33" s="1">
        <v>12.399999999999999</v>
      </c>
      <c r="U33" s="1">
        <v>12</v>
      </c>
      <c r="V33" s="1">
        <v>0.4</v>
      </c>
      <c r="W33" s="1">
        <v>10.199999999999999</v>
      </c>
      <c r="X33" s="1">
        <v>3.5000000000000004</v>
      </c>
      <c r="Y33" s="1">
        <v>17.100000000000001</v>
      </c>
      <c r="Z33" s="1">
        <v>6.6000000000000005</v>
      </c>
      <c r="AA33" s="1">
        <v>15.700000000000001</v>
      </c>
      <c r="AB33" s="1">
        <v>25.200000000000003</v>
      </c>
      <c r="AC33" s="76">
        <f t="shared" si="5"/>
        <v>13.67625</v>
      </c>
      <c r="AD33" s="77">
        <f t="shared" si="6"/>
        <v>9.8162499999998545</v>
      </c>
      <c r="AE33" s="79"/>
      <c r="AF33"/>
      <c r="AG33"/>
    </row>
    <row r="34" spans="1:33" x14ac:dyDescent="0.2">
      <c r="A34" s="74" t="s">
        <v>97</v>
      </c>
      <c r="B34" s="95">
        <v>51</v>
      </c>
      <c r="C34" s="95">
        <v>5.6</v>
      </c>
      <c r="D34" s="69">
        <v>41.4</v>
      </c>
      <c r="E34" s="69">
        <v>52.4</v>
      </c>
      <c r="F34" s="69">
        <v>87</v>
      </c>
      <c r="G34" s="69">
        <v>49.3</v>
      </c>
      <c r="H34" s="69">
        <v>47.5</v>
      </c>
      <c r="I34" s="69">
        <v>102.6</v>
      </c>
      <c r="J34" s="96">
        <v>27.9</v>
      </c>
      <c r="K34" s="96">
        <v>15.4</v>
      </c>
      <c r="L34" s="96">
        <v>78.8</v>
      </c>
      <c r="M34" s="96">
        <v>78.2</v>
      </c>
      <c r="N34" s="96">
        <v>41.7</v>
      </c>
      <c r="O34" s="96">
        <v>18.7</v>
      </c>
      <c r="P34" s="96">
        <v>8</v>
      </c>
      <c r="Q34" s="96">
        <v>58.5</v>
      </c>
      <c r="R34" s="96">
        <v>73.599999999999994</v>
      </c>
      <c r="S34" s="1">
        <v>68.674999999999997</v>
      </c>
      <c r="T34" s="1">
        <v>50.3</v>
      </c>
      <c r="U34" s="1">
        <v>6.4</v>
      </c>
      <c r="V34" s="1">
        <v>29.2</v>
      </c>
      <c r="W34" s="1">
        <v>44.2</v>
      </c>
      <c r="X34" s="1">
        <v>13.799999999999999</v>
      </c>
      <c r="Y34" s="1">
        <v>59.599999999999994</v>
      </c>
      <c r="Z34" s="1">
        <v>41.699999999999996</v>
      </c>
      <c r="AA34" s="1">
        <v>62.399999999999991</v>
      </c>
      <c r="AB34" s="1">
        <v>27.599999999999994</v>
      </c>
      <c r="AC34" s="76">
        <f t="shared" si="5"/>
        <v>40.387499999999989</v>
      </c>
      <c r="AD34" s="77">
        <f t="shared" si="6"/>
        <v>34.756973684210607</v>
      </c>
      <c r="AF34"/>
      <c r="AG34"/>
    </row>
    <row r="35" spans="1:33" x14ac:dyDescent="0.2">
      <c r="A35" s="74" t="s">
        <v>98</v>
      </c>
      <c r="B35" s="95">
        <v>68.3</v>
      </c>
      <c r="C35" s="95">
        <v>31.1</v>
      </c>
      <c r="D35" s="69">
        <v>15.8</v>
      </c>
      <c r="E35" s="69">
        <v>73.599999999999994</v>
      </c>
      <c r="F35" s="69">
        <v>20.2</v>
      </c>
      <c r="G35" s="69">
        <v>33.1</v>
      </c>
      <c r="H35" s="69">
        <v>78.599999999999994</v>
      </c>
      <c r="I35" s="69">
        <v>48.3</v>
      </c>
      <c r="J35" s="96">
        <v>48.6</v>
      </c>
      <c r="K35" s="96">
        <v>13.5</v>
      </c>
      <c r="L35" s="96">
        <v>40.6</v>
      </c>
      <c r="M35" s="96">
        <v>20.100000000000001</v>
      </c>
      <c r="N35" s="96">
        <v>42.5</v>
      </c>
      <c r="O35" s="96">
        <v>24</v>
      </c>
      <c r="P35" s="96">
        <v>25.2</v>
      </c>
      <c r="Q35" s="96">
        <v>78.599999999999994</v>
      </c>
      <c r="R35" s="96">
        <v>35.4</v>
      </c>
      <c r="S35" s="1">
        <v>37.699999999999996</v>
      </c>
      <c r="T35" s="1">
        <v>31.400000000000002</v>
      </c>
      <c r="U35" s="1">
        <v>13.5</v>
      </c>
      <c r="V35" s="1">
        <v>35.6</v>
      </c>
      <c r="W35" s="1">
        <v>51.699999999999996</v>
      </c>
      <c r="X35" s="1">
        <v>9.1999999999999993</v>
      </c>
      <c r="Y35" s="1">
        <v>45.500000000000007</v>
      </c>
      <c r="Z35" s="1">
        <v>7.4</v>
      </c>
      <c r="AA35" s="1">
        <v>30.7</v>
      </c>
      <c r="AB35" s="1">
        <v>68.599999999999994</v>
      </c>
      <c r="AC35" s="76">
        <f t="shared" si="5"/>
        <v>33.129999999999995</v>
      </c>
      <c r="AD35" s="77">
        <f t="shared" si="6"/>
        <v>34.614736842105259</v>
      </c>
      <c r="AF35"/>
      <c r="AG35"/>
    </row>
    <row r="36" spans="1:33" x14ac:dyDescent="0.2">
      <c r="A36" s="74" t="s">
        <v>99</v>
      </c>
      <c r="B36" s="95">
        <v>3.9</v>
      </c>
      <c r="C36" s="95">
        <v>11.9</v>
      </c>
      <c r="D36" s="69">
        <v>0.8</v>
      </c>
      <c r="E36" s="69">
        <v>15.2</v>
      </c>
      <c r="F36" s="69">
        <v>18.2</v>
      </c>
      <c r="G36" s="69">
        <v>7.4</v>
      </c>
      <c r="H36" s="69">
        <v>10.3</v>
      </c>
      <c r="I36" s="69">
        <v>36</v>
      </c>
      <c r="J36" s="96">
        <v>14.2</v>
      </c>
      <c r="K36" s="96">
        <v>24.3</v>
      </c>
      <c r="L36" s="96">
        <v>22.3</v>
      </c>
      <c r="M36" s="96">
        <v>5.2</v>
      </c>
      <c r="N36" s="96">
        <v>17</v>
      </c>
      <c r="O36" s="96">
        <v>9.8000000000000007</v>
      </c>
      <c r="P36" s="96">
        <v>5</v>
      </c>
      <c r="Q36" s="96">
        <v>0</v>
      </c>
      <c r="R36" s="96">
        <v>11</v>
      </c>
      <c r="S36" s="1">
        <v>5.3</v>
      </c>
      <c r="T36" s="1">
        <v>5.8</v>
      </c>
      <c r="U36" s="1">
        <v>1.4</v>
      </c>
      <c r="V36" s="1">
        <v>31.4</v>
      </c>
      <c r="W36" s="1">
        <v>13.45</v>
      </c>
      <c r="X36" s="1">
        <v>33.299999999999997</v>
      </c>
      <c r="Y36" s="1">
        <v>22.5</v>
      </c>
      <c r="Z36" s="1">
        <v>6.8</v>
      </c>
      <c r="AA36" s="1">
        <v>0</v>
      </c>
      <c r="AB36" s="1">
        <v>2.8</v>
      </c>
      <c r="AC36" s="76">
        <f t="shared" si="5"/>
        <v>12.274999999999999</v>
      </c>
      <c r="AD36" s="77">
        <f t="shared" si="6"/>
        <v>7.7718421052632038</v>
      </c>
      <c r="AF36"/>
      <c r="AG36"/>
    </row>
    <row r="37" spans="1:33" x14ac:dyDescent="0.2">
      <c r="A37" s="74" t="s">
        <v>100</v>
      </c>
      <c r="B37" s="95">
        <v>0.5</v>
      </c>
      <c r="C37" s="95">
        <v>0</v>
      </c>
      <c r="D37" s="69">
        <v>0</v>
      </c>
      <c r="E37" s="69">
        <v>0</v>
      </c>
      <c r="F37" s="69">
        <v>0</v>
      </c>
      <c r="G37" s="69">
        <v>0</v>
      </c>
      <c r="H37" s="69">
        <v>0</v>
      </c>
      <c r="I37" s="69">
        <v>0.8</v>
      </c>
      <c r="J37" s="96">
        <v>0</v>
      </c>
      <c r="K37" s="96">
        <v>0</v>
      </c>
      <c r="L37" s="96">
        <v>9.6</v>
      </c>
      <c r="M37" s="96">
        <v>0</v>
      </c>
      <c r="N37" s="96">
        <v>0.8</v>
      </c>
      <c r="O37" s="96">
        <v>1.3</v>
      </c>
      <c r="P37" s="96">
        <v>0</v>
      </c>
      <c r="Q37" s="96">
        <v>0</v>
      </c>
      <c r="R37" s="96">
        <v>1.5</v>
      </c>
      <c r="S37" s="1">
        <v>0</v>
      </c>
      <c r="T37" s="1">
        <v>0</v>
      </c>
      <c r="U37" s="1">
        <v>0</v>
      </c>
      <c r="V37" s="1">
        <v>0</v>
      </c>
      <c r="W37" s="1">
        <v>0</v>
      </c>
      <c r="X37" s="1">
        <v>1.9</v>
      </c>
      <c r="Y37" s="1">
        <v>0</v>
      </c>
      <c r="Z37" s="1">
        <v>0</v>
      </c>
      <c r="AA37" s="1">
        <v>0</v>
      </c>
      <c r="AB37" s="1">
        <v>3.1</v>
      </c>
      <c r="AC37" s="76">
        <f t="shared" si="5"/>
        <v>0.5</v>
      </c>
      <c r="AD37" s="77">
        <f t="shared" si="6"/>
        <v>0.33421052631578618</v>
      </c>
      <c r="AF37"/>
      <c r="AG37"/>
    </row>
    <row r="38" spans="1:33" x14ac:dyDescent="0.2">
      <c r="A38" s="74" t="s">
        <v>101</v>
      </c>
      <c r="B38" s="95">
        <v>0</v>
      </c>
      <c r="C38" s="95">
        <v>0</v>
      </c>
      <c r="D38" s="69">
        <v>0</v>
      </c>
      <c r="E38" s="69">
        <v>0</v>
      </c>
      <c r="F38" s="69">
        <v>0</v>
      </c>
      <c r="G38" s="69">
        <v>0</v>
      </c>
      <c r="H38" s="69">
        <v>0</v>
      </c>
      <c r="I38" s="69">
        <v>0</v>
      </c>
      <c r="J38" s="96">
        <v>0</v>
      </c>
      <c r="K38" s="96">
        <v>0</v>
      </c>
      <c r="L38" s="96">
        <v>0</v>
      </c>
      <c r="M38" s="96">
        <v>0</v>
      </c>
      <c r="N38" s="96">
        <v>0</v>
      </c>
      <c r="O38" s="96">
        <v>0</v>
      </c>
      <c r="P38" s="96">
        <v>0</v>
      </c>
      <c r="Q38" s="96">
        <v>0</v>
      </c>
      <c r="R38" s="96">
        <v>0</v>
      </c>
      <c r="S38" s="1">
        <v>0</v>
      </c>
      <c r="T38" s="1">
        <v>0</v>
      </c>
      <c r="U38" s="1">
        <v>0</v>
      </c>
      <c r="V38" s="1">
        <v>0</v>
      </c>
      <c r="W38" s="1">
        <v>0</v>
      </c>
      <c r="X38" s="1">
        <v>0</v>
      </c>
      <c r="Y38" s="1">
        <v>0</v>
      </c>
      <c r="Z38" s="1">
        <v>0</v>
      </c>
      <c r="AA38" s="1">
        <v>0</v>
      </c>
      <c r="AB38" s="1">
        <v>0</v>
      </c>
      <c r="AC38" s="76">
        <f t="shared" si="5"/>
        <v>0</v>
      </c>
      <c r="AD38" s="77">
        <f t="shared" si="6"/>
        <v>0</v>
      </c>
      <c r="AF38"/>
      <c r="AG38"/>
    </row>
    <row r="39" spans="1:33" x14ac:dyDescent="0.2">
      <c r="A39" s="74" t="s">
        <v>102</v>
      </c>
      <c r="B39" s="95">
        <v>0</v>
      </c>
      <c r="C39" s="95">
        <v>0</v>
      </c>
      <c r="D39" s="69">
        <v>0</v>
      </c>
      <c r="E39" s="69">
        <v>0</v>
      </c>
      <c r="F39" s="69">
        <v>0</v>
      </c>
      <c r="G39" s="69">
        <v>0</v>
      </c>
      <c r="H39" s="69">
        <v>0</v>
      </c>
      <c r="I39" s="69">
        <v>0</v>
      </c>
      <c r="J39" s="96">
        <v>0</v>
      </c>
      <c r="K39" s="96">
        <v>0</v>
      </c>
      <c r="L39" s="96">
        <v>0</v>
      </c>
      <c r="M39" s="96">
        <v>0</v>
      </c>
      <c r="N39" s="96">
        <v>0</v>
      </c>
      <c r="O39" s="96">
        <v>0</v>
      </c>
      <c r="P39" s="96">
        <v>0</v>
      </c>
      <c r="Q39" s="96">
        <v>0</v>
      </c>
      <c r="R39" s="96">
        <v>0</v>
      </c>
      <c r="S39" s="1">
        <v>0</v>
      </c>
      <c r="T39" s="1">
        <v>0</v>
      </c>
      <c r="U39" s="1">
        <v>0</v>
      </c>
      <c r="V39" s="1">
        <v>0</v>
      </c>
      <c r="W39" s="1">
        <v>0</v>
      </c>
      <c r="X39" s="1">
        <v>0</v>
      </c>
      <c r="Y39" s="1">
        <v>0</v>
      </c>
      <c r="Z39" s="1">
        <v>0</v>
      </c>
      <c r="AA39" s="1">
        <v>0</v>
      </c>
      <c r="AB39" s="1">
        <v>0</v>
      </c>
      <c r="AC39" s="76">
        <f t="shared" ref="AC39" si="7">AVERAGE(O39:X39)</f>
        <v>0</v>
      </c>
      <c r="AD39" s="77">
        <f t="shared" si="6"/>
        <v>0</v>
      </c>
      <c r="AF39"/>
      <c r="AG39"/>
    </row>
    <row r="40" spans="1:33" x14ac:dyDescent="0.2">
      <c r="A40" s="74"/>
      <c r="B40" s="74"/>
      <c r="C40" s="74"/>
      <c r="D40" s="74"/>
      <c r="E40" s="74"/>
      <c r="F40" s="74"/>
      <c r="G40" s="69"/>
      <c r="H40" s="69"/>
      <c r="Q40" s="74"/>
      <c r="R40" s="74"/>
      <c r="S40" s="74"/>
      <c r="T40" s="74"/>
      <c r="U40" s="74"/>
      <c r="V40" s="74"/>
      <c r="W40" s="74"/>
      <c r="X40" s="74"/>
      <c r="Y40" s="74"/>
      <c r="Z40" s="74"/>
      <c r="AA40" s="74"/>
      <c r="AB40" s="74"/>
    </row>
    <row r="41" spans="1:33" x14ac:dyDescent="0.2">
      <c r="A41" s="74" t="s">
        <v>12</v>
      </c>
      <c r="B41" s="75">
        <f t="shared" ref="B41:U41" si="8">SUM(B28:B39)</f>
        <v>193.1</v>
      </c>
      <c r="C41" s="75">
        <f t="shared" si="8"/>
        <v>65.5</v>
      </c>
      <c r="D41" s="75">
        <f t="shared" si="8"/>
        <v>79.5</v>
      </c>
      <c r="E41" s="75">
        <f t="shared" si="8"/>
        <v>184</v>
      </c>
      <c r="F41" s="75">
        <f t="shared" si="8"/>
        <v>179.59999999999997</v>
      </c>
      <c r="G41" s="75">
        <f t="shared" si="8"/>
        <v>105.20000000000002</v>
      </c>
      <c r="H41" s="75">
        <f t="shared" si="8"/>
        <v>177.2</v>
      </c>
      <c r="I41" s="75">
        <f t="shared" si="8"/>
        <v>223.60000000000002</v>
      </c>
      <c r="J41" s="75">
        <f t="shared" si="8"/>
        <v>102.60000000000001</v>
      </c>
      <c r="K41" s="75">
        <f t="shared" si="8"/>
        <v>55.6</v>
      </c>
      <c r="L41" s="75">
        <f t="shared" si="8"/>
        <v>193.1</v>
      </c>
      <c r="M41" s="75">
        <f t="shared" si="8"/>
        <v>124.8</v>
      </c>
      <c r="N41" s="75">
        <f t="shared" si="8"/>
        <v>150.4</v>
      </c>
      <c r="O41" s="75">
        <f t="shared" si="8"/>
        <v>61.599999999999994</v>
      </c>
      <c r="P41" s="75">
        <f t="shared" si="8"/>
        <v>57.4</v>
      </c>
      <c r="Q41" s="75">
        <f t="shared" si="8"/>
        <v>161.6</v>
      </c>
      <c r="R41" s="75">
        <f t="shared" si="8"/>
        <v>127.4</v>
      </c>
      <c r="S41" s="75">
        <f t="shared" si="8"/>
        <v>156.28749999999999</v>
      </c>
      <c r="T41" s="75">
        <f t="shared" si="8"/>
        <v>102.89999999999999</v>
      </c>
      <c r="U41" s="75">
        <f t="shared" si="8"/>
        <v>34.1</v>
      </c>
      <c r="V41" s="75">
        <f t="shared" ref="V41:W41" si="9">SUM(V28:V39)</f>
        <v>97.699999999999989</v>
      </c>
      <c r="W41" s="75">
        <f t="shared" si="9"/>
        <v>123.05</v>
      </c>
      <c r="X41" s="75">
        <f t="shared" ref="X41:AB41" si="10">SUM(X28:X39)</f>
        <v>61.699999999999996</v>
      </c>
      <c r="Y41" s="75">
        <f t="shared" si="10"/>
        <v>150.30000000000001</v>
      </c>
      <c r="Z41" s="75">
        <f t="shared" si="10"/>
        <v>62.499999999999993</v>
      </c>
      <c r="AA41" s="75">
        <f t="shared" si="10"/>
        <v>121.49999999999999</v>
      </c>
      <c r="AB41" s="75">
        <f t="shared" si="10"/>
        <v>134.4</v>
      </c>
      <c r="AC41" s="78"/>
      <c r="AD41" s="78"/>
    </row>
    <row r="42" spans="1:33" x14ac:dyDescent="0.2">
      <c r="A42" s="74"/>
      <c r="B42" s="74"/>
      <c r="C42" s="74"/>
      <c r="D42" s="74"/>
      <c r="E42" s="69"/>
      <c r="F42" s="69"/>
      <c r="G42" s="69"/>
      <c r="H42" s="69"/>
      <c r="I42" s="69"/>
      <c r="J42" s="69"/>
      <c r="K42" s="69"/>
      <c r="L42" s="69"/>
      <c r="M42" s="69"/>
      <c r="N42" s="69"/>
      <c r="O42" s="69"/>
      <c r="P42" s="69"/>
      <c r="U42" s="79">
        <f>SUM(B41:U41)</f>
        <v>2535.4875000000002</v>
      </c>
      <c r="V42" s="79">
        <f>SUM(B41:V41)</f>
        <v>2633.1875</v>
      </c>
      <c r="W42" s="79">
        <f>SUM(B41:W41)</f>
        <v>2756.2375000000002</v>
      </c>
      <c r="X42" s="79">
        <f>SUM(C41:X41)</f>
        <v>2624.8374999999996</v>
      </c>
      <c r="Y42" s="79">
        <f t="shared" ref="Y42:AA42" si="11">SUM(D41:Y41)</f>
        <v>2709.6374999999998</v>
      </c>
      <c r="Z42" s="79">
        <f t="shared" si="11"/>
        <v>2692.6374999999998</v>
      </c>
      <c r="AA42" s="79">
        <f t="shared" si="11"/>
        <v>2630.1374999999998</v>
      </c>
      <c r="AB42" s="79"/>
    </row>
    <row r="43" spans="1:33" x14ac:dyDescent="0.2">
      <c r="A43" s="74"/>
      <c r="B43" s="74"/>
      <c r="C43" s="74"/>
      <c r="D43" s="74"/>
      <c r="E43" s="69"/>
      <c r="F43" s="69"/>
      <c r="G43" s="69"/>
      <c r="H43" s="69"/>
      <c r="L43" s="79">
        <f>MIN(B41:U41)</f>
        <v>34.1</v>
      </c>
    </row>
    <row r="44" spans="1:33" x14ac:dyDescent="0.2">
      <c r="A44" s="68"/>
      <c r="B44" s="72">
        <v>1995</v>
      </c>
      <c r="C44" s="72">
        <v>1996</v>
      </c>
      <c r="D44" s="72">
        <v>1997</v>
      </c>
      <c r="E44" s="72">
        <v>1998</v>
      </c>
      <c r="F44" s="72">
        <v>1999</v>
      </c>
      <c r="G44" s="72">
        <v>2000</v>
      </c>
      <c r="H44" s="72">
        <v>2001</v>
      </c>
      <c r="I44" s="72">
        <v>2002</v>
      </c>
      <c r="J44" s="72">
        <v>2003</v>
      </c>
      <c r="K44" s="72">
        <v>2004</v>
      </c>
      <c r="L44" s="72">
        <v>2005</v>
      </c>
      <c r="M44" s="72">
        <v>2006</v>
      </c>
      <c r="N44" s="72">
        <v>2007</v>
      </c>
      <c r="O44" s="72">
        <v>2008</v>
      </c>
      <c r="P44" s="72">
        <v>2009</v>
      </c>
      <c r="Q44" s="72">
        <v>2010</v>
      </c>
      <c r="R44" s="72">
        <v>2011</v>
      </c>
      <c r="S44" s="72">
        <v>2012</v>
      </c>
      <c r="T44" s="72">
        <v>2013</v>
      </c>
      <c r="U44" s="72">
        <v>2014</v>
      </c>
      <c r="V44" s="72">
        <v>2015</v>
      </c>
      <c r="W44" s="72">
        <v>2016</v>
      </c>
      <c r="X44" s="72">
        <v>2017</v>
      </c>
      <c r="Y44" s="72">
        <v>2018</v>
      </c>
      <c r="Z44" s="72">
        <v>2019</v>
      </c>
      <c r="AA44" s="72">
        <v>2020</v>
      </c>
      <c r="AB44" s="72">
        <v>2021</v>
      </c>
    </row>
    <row r="45" spans="1:33" x14ac:dyDescent="0.2">
      <c r="A45" s="64" t="s">
        <v>224</v>
      </c>
      <c r="B45" s="79">
        <f>B19+B8+B9</f>
        <v>2390.6999999999998</v>
      </c>
      <c r="C45" s="79">
        <f>C19+C8+C9</f>
        <v>2676.3999999999996</v>
      </c>
      <c r="D45" s="79">
        <f t="shared" ref="D45:AB45" si="12">D19+D8+D9</f>
        <v>2217.1999999999998</v>
      </c>
      <c r="E45" s="79">
        <f t="shared" si="12"/>
        <v>2000.5000000000002</v>
      </c>
      <c r="F45" s="79">
        <f t="shared" si="12"/>
        <v>2199.6999999999998</v>
      </c>
      <c r="G45" s="79">
        <f t="shared" si="12"/>
        <v>2339.6999999999998</v>
      </c>
      <c r="H45" s="79">
        <f t="shared" si="12"/>
        <v>2085</v>
      </c>
      <c r="I45" s="79">
        <f t="shared" si="12"/>
        <v>2040.3999999999999</v>
      </c>
      <c r="J45" s="79">
        <f t="shared" si="12"/>
        <v>2481</v>
      </c>
      <c r="K45" s="79">
        <f t="shared" si="12"/>
        <v>2509.9</v>
      </c>
      <c r="L45" s="79">
        <f t="shared" si="12"/>
        <v>2357.3000000000002</v>
      </c>
      <c r="M45" s="79">
        <f t="shared" si="12"/>
        <v>2048.6999999999998</v>
      </c>
      <c r="N45" s="79">
        <f t="shared" si="12"/>
        <v>2332</v>
      </c>
      <c r="O45" s="79">
        <f t="shared" si="12"/>
        <v>2407.8999999999996</v>
      </c>
      <c r="P45" s="79">
        <f t="shared" si="12"/>
        <v>2466.6999999999998</v>
      </c>
      <c r="Q45" s="79">
        <f t="shared" si="12"/>
        <v>2272</v>
      </c>
      <c r="R45" s="79">
        <f t="shared" si="12"/>
        <v>2317.6999999999998</v>
      </c>
      <c r="S45" s="79">
        <f t="shared" si="12"/>
        <v>1825.2999999999997</v>
      </c>
      <c r="T45" s="79">
        <f t="shared" si="12"/>
        <v>2458.7749999999996</v>
      </c>
      <c r="U45" s="79">
        <f t="shared" si="12"/>
        <v>2583.7000000000003</v>
      </c>
      <c r="V45" s="79">
        <f t="shared" si="12"/>
        <v>2510.6000000000004</v>
      </c>
      <c r="W45" s="79">
        <f t="shared" si="12"/>
        <v>2166.08</v>
      </c>
      <c r="X45" s="79">
        <f t="shared" si="12"/>
        <v>2199.5</v>
      </c>
      <c r="Y45" s="79">
        <f t="shared" si="12"/>
        <v>2316</v>
      </c>
      <c r="Z45" s="79">
        <f t="shared" si="12"/>
        <v>2482.4</v>
      </c>
      <c r="AA45" s="79">
        <f t="shared" si="12"/>
        <v>2132.1999999999998</v>
      </c>
      <c r="AB45" s="79">
        <f t="shared" si="12"/>
        <v>2187</v>
      </c>
    </row>
    <row r="46" spans="1:33" x14ac:dyDescent="0.2">
      <c r="A46" s="64" t="s">
        <v>225</v>
      </c>
      <c r="B46" s="79">
        <f>B10+B11+B12</f>
        <v>1663.5</v>
      </c>
      <c r="C46" s="79">
        <f t="shared" ref="C46:AB46" si="13">C10+C11+C12</f>
        <v>1525.6000000000001</v>
      </c>
      <c r="D46" s="79">
        <f t="shared" si="13"/>
        <v>1394.4</v>
      </c>
      <c r="E46" s="79">
        <f t="shared" si="13"/>
        <v>1035.2</v>
      </c>
      <c r="F46" s="79">
        <f t="shared" si="13"/>
        <v>1026.5</v>
      </c>
      <c r="G46" s="79">
        <f t="shared" si="13"/>
        <v>1111.9000000000001</v>
      </c>
      <c r="H46" s="79">
        <f t="shared" si="13"/>
        <v>1184.5</v>
      </c>
      <c r="I46" s="79">
        <f t="shared" si="13"/>
        <v>1373</v>
      </c>
      <c r="J46" s="79">
        <f t="shared" si="13"/>
        <v>1479.2</v>
      </c>
      <c r="K46" s="79">
        <f t="shared" si="13"/>
        <v>1408</v>
      </c>
      <c r="L46" s="79">
        <f t="shared" si="13"/>
        <v>1373</v>
      </c>
      <c r="M46" s="79">
        <f t="shared" si="13"/>
        <v>1180.5</v>
      </c>
      <c r="N46" s="79">
        <f t="shared" si="13"/>
        <v>1318.3</v>
      </c>
      <c r="O46" s="79">
        <f t="shared" si="13"/>
        <v>1507.3</v>
      </c>
      <c r="P46" s="79">
        <f t="shared" si="13"/>
        <v>1405.1</v>
      </c>
      <c r="Q46" s="79">
        <f t="shared" si="13"/>
        <v>1006.6</v>
      </c>
      <c r="R46" s="79">
        <f t="shared" si="13"/>
        <v>1365.7000000000003</v>
      </c>
      <c r="S46" s="79">
        <f t="shared" si="13"/>
        <v>1105.5000000000002</v>
      </c>
      <c r="T46" s="79">
        <f t="shared" si="13"/>
        <v>1466.51875</v>
      </c>
      <c r="U46" s="79">
        <f t="shared" si="13"/>
        <v>1674</v>
      </c>
      <c r="V46" s="79">
        <f t="shared" si="13"/>
        <v>1503.9000000000003</v>
      </c>
      <c r="W46" s="79">
        <f t="shared" si="13"/>
        <v>1329.7</v>
      </c>
      <c r="X46" s="79">
        <f t="shared" si="13"/>
        <v>1372.0999999999997</v>
      </c>
      <c r="Y46" s="79">
        <f t="shared" si="13"/>
        <v>1537.6</v>
      </c>
      <c r="Z46" s="79">
        <f t="shared" si="13"/>
        <v>1557.6</v>
      </c>
      <c r="AA46" s="79">
        <f t="shared" si="13"/>
        <v>1414.3500000000001</v>
      </c>
      <c r="AB46" s="79">
        <f t="shared" si="13"/>
        <v>1258.5749999999998</v>
      </c>
    </row>
    <row r="47" spans="1:33" x14ac:dyDescent="0.2">
      <c r="A47" s="64" t="s">
        <v>226</v>
      </c>
      <c r="B47" s="79">
        <f>B13+B14+B15</f>
        <v>92.600000000000009</v>
      </c>
      <c r="C47" s="79">
        <f t="shared" ref="C47:AB47" si="14">C13+C14+C15</f>
        <v>157.1</v>
      </c>
      <c r="D47" s="79">
        <f t="shared" si="14"/>
        <v>159.19999999999999</v>
      </c>
      <c r="E47" s="79">
        <f t="shared" si="14"/>
        <v>118.5</v>
      </c>
      <c r="F47" s="79">
        <f t="shared" si="14"/>
        <v>125.6</v>
      </c>
      <c r="G47" s="79">
        <f t="shared" si="14"/>
        <v>158.6</v>
      </c>
      <c r="H47" s="79">
        <f t="shared" si="14"/>
        <v>116.5</v>
      </c>
      <c r="I47" s="79">
        <f t="shared" si="14"/>
        <v>93.300000000000011</v>
      </c>
      <c r="J47" s="79">
        <f t="shared" si="14"/>
        <v>173</v>
      </c>
      <c r="K47" s="79">
        <f t="shared" si="14"/>
        <v>289.10000000000002</v>
      </c>
      <c r="L47" s="79">
        <f t="shared" si="14"/>
        <v>90.3</v>
      </c>
      <c r="M47" s="79">
        <f t="shared" si="14"/>
        <v>124.60000000000001</v>
      </c>
      <c r="N47" s="79">
        <f t="shared" si="14"/>
        <v>139.6</v>
      </c>
      <c r="O47" s="79">
        <f t="shared" si="14"/>
        <v>163.6</v>
      </c>
      <c r="P47" s="79">
        <f t="shared" si="14"/>
        <v>283.10000000000002</v>
      </c>
      <c r="Q47" s="79">
        <f t="shared" si="14"/>
        <v>127.2</v>
      </c>
      <c r="R47" s="79">
        <f t="shared" si="14"/>
        <v>137.6</v>
      </c>
      <c r="S47" s="79">
        <f t="shared" si="14"/>
        <v>102.8625</v>
      </c>
      <c r="T47" s="79">
        <f t="shared" si="14"/>
        <v>211.64999999999998</v>
      </c>
      <c r="U47" s="79">
        <f t="shared" si="14"/>
        <v>248.39999999999998</v>
      </c>
      <c r="V47" s="79">
        <f t="shared" si="14"/>
        <v>231.9</v>
      </c>
      <c r="W47" s="79">
        <f t="shared" si="14"/>
        <v>163.39999999999998</v>
      </c>
      <c r="X47" s="79">
        <f t="shared" si="14"/>
        <v>204.45000000000002</v>
      </c>
      <c r="Y47" s="79">
        <f t="shared" si="14"/>
        <v>148.69999999999999</v>
      </c>
      <c r="Z47" s="79">
        <f t="shared" si="14"/>
        <v>205.1</v>
      </c>
      <c r="AA47" s="79">
        <f t="shared" si="14"/>
        <v>152.1</v>
      </c>
      <c r="AB47" s="79">
        <f t="shared" si="14"/>
        <v>113.6</v>
      </c>
    </row>
    <row r="48" spans="1:33" x14ac:dyDescent="0.2">
      <c r="A48" s="64" t="s">
        <v>227</v>
      </c>
      <c r="B48" s="79">
        <f>B16+B17+B18</f>
        <v>1127.5999999999999</v>
      </c>
      <c r="C48" s="79">
        <f t="shared" ref="C48:AB48" si="15">C16+C17+C18</f>
        <v>1442.5342000000001</v>
      </c>
      <c r="D48" s="79">
        <f t="shared" si="15"/>
        <v>982</v>
      </c>
      <c r="E48" s="79">
        <f t="shared" si="15"/>
        <v>837.2</v>
      </c>
      <c r="F48" s="79">
        <f t="shared" si="15"/>
        <v>922.59999999999991</v>
      </c>
      <c r="G48" s="79">
        <f t="shared" si="15"/>
        <v>865.7</v>
      </c>
      <c r="H48" s="79">
        <f t="shared" si="15"/>
        <v>853.3</v>
      </c>
      <c r="I48" s="79">
        <f t="shared" si="15"/>
        <v>1074.0999999999999</v>
      </c>
      <c r="J48" s="79">
        <f t="shared" si="15"/>
        <v>966.3</v>
      </c>
      <c r="K48" s="79">
        <f t="shared" si="15"/>
        <v>854.09999999999991</v>
      </c>
      <c r="L48" s="79">
        <f t="shared" si="15"/>
        <v>853.80000000000007</v>
      </c>
      <c r="M48" s="79">
        <f t="shared" si="15"/>
        <v>995.1</v>
      </c>
      <c r="N48" s="79">
        <f t="shared" si="15"/>
        <v>902.1</v>
      </c>
      <c r="O48" s="79">
        <f t="shared" si="15"/>
        <v>971.40000000000009</v>
      </c>
      <c r="P48" s="79">
        <f t="shared" si="15"/>
        <v>890.90000000000009</v>
      </c>
      <c r="Q48" s="79">
        <f t="shared" si="15"/>
        <v>963.3</v>
      </c>
      <c r="R48" s="79">
        <f t="shared" si="15"/>
        <v>828</v>
      </c>
      <c r="S48" s="79">
        <f t="shared" si="15"/>
        <v>1007.6499999999999</v>
      </c>
      <c r="T48" s="79">
        <f t="shared" si="15"/>
        <v>1035.3625</v>
      </c>
      <c r="U48" s="79">
        <f t="shared" si="15"/>
        <v>1115.3</v>
      </c>
      <c r="V48" s="79">
        <f t="shared" si="15"/>
        <v>819.7</v>
      </c>
      <c r="W48" s="79">
        <f t="shared" si="15"/>
        <v>757</v>
      </c>
      <c r="X48" s="79">
        <f t="shared" si="15"/>
        <v>919.84999999999991</v>
      </c>
      <c r="Y48" s="79">
        <f t="shared" si="15"/>
        <v>1128.25</v>
      </c>
      <c r="Z48" s="79">
        <f t="shared" si="15"/>
        <v>1095.6999999999998</v>
      </c>
      <c r="AA48" s="79">
        <f t="shared" si="15"/>
        <v>1029.8</v>
      </c>
      <c r="AB48" s="79">
        <f t="shared" si="15"/>
        <v>826.75</v>
      </c>
    </row>
  </sheetData>
  <mergeCells count="1">
    <mergeCell ref="D1:E1"/>
  </mergeCells>
  <pageMargins left="0.5" right="0.5" top="0.75" bottom="0.75" header="0.5" footer="0.5"/>
  <pageSetup paperSize="5" scale="72" orientation="landscape" r:id="rId1"/>
  <headerFooter alignWithMargins="0">
    <oddFooter>&amp;L&amp;8&amp;D
&amp;Z&amp;F</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3A78-752C-43EF-ADBF-7F1B46E31A97}">
  <sheetPr codeName="Sheet10">
    <tabColor rgb="FF00FF00"/>
    <pageSetUpPr fitToPage="1"/>
  </sheetPr>
  <dimension ref="B2:Y147"/>
  <sheetViews>
    <sheetView topLeftCell="I1" zoomScale="90" zoomScaleNormal="90" workbookViewId="0">
      <selection activeCell="T117" sqref="T117"/>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18.7109375" style="102"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3.28515625" style="102" customWidth="1"/>
    <col min="16" max="16" width="9.140625" style="102"/>
    <col min="17" max="17" width="12.7109375" style="102" bestFit="1" customWidth="1"/>
    <col min="18" max="18" width="23.42578125" style="102" bestFit="1" customWidth="1"/>
    <col min="19" max="19" width="12.85546875" style="102" customWidth="1"/>
    <col min="20" max="23" width="9.140625" style="102"/>
    <col min="24" max="24" width="33" style="102" bestFit="1" customWidth="1"/>
    <col min="25" max="25" width="12.7109375" style="102" bestFit="1" customWidth="1"/>
    <col min="26" max="16384" width="9.140625" style="102"/>
  </cols>
  <sheetData>
    <row r="2" spans="2:11" ht="13.5" thickBot="1" x14ac:dyDescent="0.25">
      <c r="G2" s="654" t="s">
        <v>255</v>
      </c>
      <c r="H2" s="654"/>
    </row>
    <row r="3" spans="2:11" ht="13.5" thickBot="1" x14ac:dyDescent="0.25">
      <c r="B3" s="663" t="str">
        <f>"Cost of Power " &amp; H3</f>
        <v>Cost of Power 2022</v>
      </c>
      <c r="C3" s="664"/>
      <c r="D3" s="664"/>
      <c r="E3" s="665"/>
      <c r="G3" s="194" t="s">
        <v>115</v>
      </c>
      <c r="H3" s="194">
        <v>2022</v>
      </c>
    </row>
    <row r="4" spans="2:11" x14ac:dyDescent="0.2">
      <c r="B4" s="135" t="str">
        <f>H3&amp;" Load Forecast"</f>
        <v>2022 Load Forecast</v>
      </c>
      <c r="C4" s="136" t="s">
        <v>64</v>
      </c>
      <c r="D4" s="136" t="s">
        <v>65</v>
      </c>
      <c r="E4" s="137" t="s">
        <v>228</v>
      </c>
      <c r="G4" s="194" t="s">
        <v>256</v>
      </c>
      <c r="H4" s="195">
        <v>0.17</v>
      </c>
      <c r="K4" s="138">
        <v>0.17</v>
      </c>
    </row>
    <row r="5" spans="2:11" x14ac:dyDescent="0.2">
      <c r="B5" s="139" t="s">
        <v>1</v>
      </c>
      <c r="C5" s="140">
        <f>'Rate Class Energy Model'!H63</f>
        <v>281801295.07369024</v>
      </c>
      <c r="D5" s="141"/>
      <c r="E5" s="80">
        <v>0.98366327358871475</v>
      </c>
      <c r="G5" s="194" t="s">
        <v>0</v>
      </c>
      <c r="H5" s="194">
        <v>1.0481</v>
      </c>
    </row>
    <row r="6" spans="2:11" x14ac:dyDescent="0.2">
      <c r="B6" s="139" t="s">
        <v>105</v>
      </c>
      <c r="C6" s="140">
        <f>'Rate Class Energy Model'!I63</f>
        <v>86483996.46160832</v>
      </c>
      <c r="D6" s="141"/>
      <c r="E6" s="80">
        <v>0.84945694616323753</v>
      </c>
      <c r="G6" s="194" t="s">
        <v>257</v>
      </c>
      <c r="H6" s="194">
        <v>0.10353999999999999</v>
      </c>
    </row>
    <row r="7" spans="2:11" x14ac:dyDescent="0.2">
      <c r="B7" s="142" t="s">
        <v>229</v>
      </c>
      <c r="C7" s="140">
        <f>'Rate Class Energy Model'!J63</f>
        <v>230833867.66429523</v>
      </c>
      <c r="D7" s="57">
        <f>'Rate Class Load Model'!B13</f>
        <v>570894.43770666083</v>
      </c>
      <c r="E7" s="80">
        <v>0.18215145253119897</v>
      </c>
      <c r="G7" s="194" t="s">
        <v>258</v>
      </c>
      <c r="H7" s="194">
        <v>3.3750000000000002E-2</v>
      </c>
    </row>
    <row r="8" spans="2:11" x14ac:dyDescent="0.2">
      <c r="B8" s="139" t="s">
        <v>230</v>
      </c>
      <c r="C8" s="143">
        <v>0</v>
      </c>
      <c r="D8" s="57">
        <v>0</v>
      </c>
      <c r="E8" s="80">
        <v>0</v>
      </c>
      <c r="G8" s="194" t="s">
        <v>259</v>
      </c>
      <c r="H8" s="194">
        <v>6.8779999999999994E-2</v>
      </c>
    </row>
    <row r="9" spans="2:11" x14ac:dyDescent="0.2">
      <c r="B9" s="139" t="s">
        <v>231</v>
      </c>
      <c r="C9" s="143">
        <v>0</v>
      </c>
      <c r="D9" s="57">
        <v>0</v>
      </c>
      <c r="E9" s="80">
        <v>0</v>
      </c>
      <c r="G9" s="196"/>
      <c r="H9" s="194"/>
    </row>
    <row r="10" spans="2:11" x14ac:dyDescent="0.2">
      <c r="B10" s="139" t="s">
        <v>113</v>
      </c>
      <c r="C10" s="140">
        <f>'Rate Class Energy Model'!K63</f>
        <v>198665.79886182357</v>
      </c>
      <c r="D10" s="57">
        <f>'Rate Class Load Model'!C13</f>
        <v>580.3420126565635</v>
      </c>
      <c r="E10" s="80">
        <v>1</v>
      </c>
      <c r="G10" s="196"/>
      <c r="H10" s="194"/>
    </row>
    <row r="11" spans="2:11" x14ac:dyDescent="0.2">
      <c r="B11" s="139" t="s">
        <v>61</v>
      </c>
      <c r="C11" s="140">
        <f>'Rate Class Energy Model'!L63</f>
        <v>2459994.48</v>
      </c>
      <c r="D11" s="57">
        <f>'Rate Class Load Model'!D13</f>
        <v>7200.0649104265394</v>
      </c>
      <c r="E11" s="80">
        <v>5.2728969883373465E-2</v>
      </c>
      <c r="G11" s="196"/>
      <c r="H11" s="194"/>
    </row>
    <row r="12" spans="2:11" x14ac:dyDescent="0.2">
      <c r="B12" s="139" t="s">
        <v>2</v>
      </c>
      <c r="C12" s="140">
        <f>'Rate Class Energy Model'!M63</f>
        <v>878223.07128615165</v>
      </c>
      <c r="D12" s="57"/>
      <c r="E12" s="80">
        <v>1</v>
      </c>
      <c r="G12" s="196"/>
      <c r="H12" s="194"/>
    </row>
    <row r="13" spans="2:11" x14ac:dyDescent="0.2">
      <c r="B13" s="139" t="s">
        <v>232</v>
      </c>
      <c r="C13" s="140"/>
      <c r="D13" s="57"/>
      <c r="E13" s="80">
        <v>0</v>
      </c>
      <c r="G13" s="196"/>
      <c r="H13" s="194"/>
    </row>
    <row r="14" spans="2:11" x14ac:dyDescent="0.2">
      <c r="B14" s="144" t="s">
        <v>66</v>
      </c>
      <c r="C14" s="145">
        <f>SUM(C5:C13)</f>
        <v>602656042.54974186</v>
      </c>
      <c r="D14" s="145">
        <f>SUM(D5:D13)</f>
        <v>578674.84462974395</v>
      </c>
      <c r="E14" s="146"/>
      <c r="G14" s="194"/>
      <c r="H14" s="194"/>
    </row>
    <row r="15" spans="2:11" x14ac:dyDescent="0.2">
      <c r="C15" s="103"/>
      <c r="D15" s="103"/>
    </row>
    <row r="17" spans="2:25" ht="12.75" customHeight="1" x14ac:dyDescent="0.2">
      <c r="B17" s="147" t="s">
        <v>67</v>
      </c>
      <c r="C17" s="655" t="str">
        <f>H3&amp;" Forecasted Metered kWhs"</f>
        <v>2022 Forecasted Metered kWhs</v>
      </c>
      <c r="D17" s="655" t="str">
        <f>H3&amp;" Loss Factor"</f>
        <v>2022 Loss Factor</v>
      </c>
      <c r="E17" s="657">
        <f>H3</f>
        <v>2022</v>
      </c>
      <c r="F17" s="658"/>
      <c r="G17" s="659"/>
      <c r="J17" s="147" t="s">
        <v>69</v>
      </c>
      <c r="K17" s="655" t="str">
        <f>$C$17</f>
        <v>2022 Forecasted Metered kWhs</v>
      </c>
      <c r="L17" s="655" t="str">
        <f>D17</f>
        <v>2022 Loss Factor</v>
      </c>
      <c r="M17" s="657">
        <f>E17</f>
        <v>2022</v>
      </c>
      <c r="N17" s="658"/>
      <c r="O17" s="659"/>
    </row>
    <row r="18" spans="2:25" x14ac:dyDescent="0.2">
      <c r="B18" s="148" t="s">
        <v>68</v>
      </c>
      <c r="C18" s="656"/>
      <c r="D18" s="666"/>
      <c r="E18" s="660"/>
      <c r="F18" s="661"/>
      <c r="G18" s="662"/>
      <c r="J18" s="148" t="s">
        <v>70</v>
      </c>
      <c r="K18" s="656"/>
      <c r="L18" s="666"/>
      <c r="M18" s="660"/>
      <c r="N18" s="661"/>
      <c r="O18" s="662"/>
    </row>
    <row r="19" spans="2:25" x14ac:dyDescent="0.2">
      <c r="B19" s="149" t="str">
        <f>B5</f>
        <v xml:space="preserve">Residential </v>
      </c>
      <c r="C19" s="140">
        <f t="shared" ref="C19:C27" si="0">C5*E5</f>
        <v>277197584.4137255</v>
      </c>
      <c r="D19" s="141">
        <f>H5</f>
        <v>1.0481</v>
      </c>
      <c r="E19" s="140">
        <f t="shared" ref="E19:E27" si="1">C19*D19</f>
        <v>290530788.22402573</v>
      </c>
      <c r="F19" s="197">
        <f>H6</f>
        <v>0.10353999999999999</v>
      </c>
      <c r="G19" s="150">
        <f>(E19*F19)</f>
        <v>30081557.812715624</v>
      </c>
      <c r="J19" s="149" t="str">
        <f>B19</f>
        <v xml:space="preserve">Residential </v>
      </c>
      <c r="K19" s="140">
        <f t="shared" ref="K19:K27" si="2">C5-C19</f>
        <v>4603710.6599647403</v>
      </c>
      <c r="L19" s="141">
        <f t="shared" ref="L19:L27" si="3">D19</f>
        <v>1.0481</v>
      </c>
      <c r="M19" s="140">
        <f t="shared" ref="M19:M27" si="4">K19*L19</f>
        <v>4825149.1427090447</v>
      </c>
      <c r="N19" s="198">
        <f>H7</f>
        <v>3.3750000000000002E-2</v>
      </c>
      <c r="O19" s="150">
        <f>(M19*N19)</f>
        <v>162848.78356643027</v>
      </c>
      <c r="X19" s="103" t="str">
        <f>J19</f>
        <v xml:space="preserve">Residential </v>
      </c>
      <c r="Y19" s="185">
        <f>O19+G19</f>
        <v>30244406.596282054</v>
      </c>
    </row>
    <row r="20" spans="2:25" x14ac:dyDescent="0.2">
      <c r="B20" s="149" t="str">
        <f>B6</f>
        <v>General Service &lt; 50 kW</v>
      </c>
      <c r="C20" s="140">
        <f t="shared" si="0"/>
        <v>73464431.526270047</v>
      </c>
      <c r="D20" s="141">
        <f>D19</f>
        <v>1.0481</v>
      </c>
      <c r="E20" s="140">
        <f t="shared" si="1"/>
        <v>76998070.682683632</v>
      </c>
      <c r="F20" s="197">
        <f>$F$19</f>
        <v>0.10353999999999999</v>
      </c>
      <c r="G20" s="150">
        <f t="shared" ref="G20:G27" si="5">(E20*F20)</f>
        <v>7972380.2384850625</v>
      </c>
      <c r="J20" s="149" t="str">
        <f>B20</f>
        <v>General Service &lt; 50 kW</v>
      </c>
      <c r="K20" s="140">
        <f t="shared" si="2"/>
        <v>13019564.935338274</v>
      </c>
      <c r="L20" s="141">
        <f t="shared" si="3"/>
        <v>1.0481</v>
      </c>
      <c r="M20" s="140">
        <f t="shared" si="4"/>
        <v>13645806.008728044</v>
      </c>
      <c r="N20" s="198">
        <f t="shared" ref="N20:N27" si="6">$N$19</f>
        <v>3.3750000000000002E-2</v>
      </c>
      <c r="O20" s="150">
        <f t="shared" ref="O20:O27" si="7">(M20*N20)</f>
        <v>460545.95279457152</v>
      </c>
      <c r="X20" s="103" t="str">
        <f t="shared" ref="X20:X27" si="8">J20</f>
        <v>General Service &lt; 50 kW</v>
      </c>
      <c r="Y20" s="185">
        <f t="shared" ref="Y20:Y27" si="9">O20+G20</f>
        <v>8432926.1912796348</v>
      </c>
    </row>
    <row r="21" spans="2:25" x14ac:dyDescent="0.2">
      <c r="B21" s="149" t="str">
        <f>B7</f>
        <v>General Service &gt; 50 to 4999 kW</v>
      </c>
      <c r="C21" s="140">
        <f t="shared" si="0"/>
        <v>42046724.288445935</v>
      </c>
      <c r="D21" s="141">
        <f t="shared" ref="D21:D27" si="10">D20</f>
        <v>1.0481</v>
      </c>
      <c r="E21" s="140">
        <f t="shared" si="1"/>
        <v>44069171.726720184</v>
      </c>
      <c r="F21" s="197">
        <f t="shared" ref="F21:F27" si="11">$F$19</f>
        <v>0.10353999999999999</v>
      </c>
      <c r="G21" s="150">
        <f t="shared" si="5"/>
        <v>4562922.040584608</v>
      </c>
      <c r="J21" s="149" t="str">
        <f>B21</f>
        <v>General Service &gt; 50 to 4999 kW</v>
      </c>
      <c r="K21" s="140">
        <f t="shared" si="2"/>
        <v>188787143.37584931</v>
      </c>
      <c r="L21" s="141">
        <f t="shared" si="3"/>
        <v>1.0481</v>
      </c>
      <c r="M21" s="140">
        <f t="shared" si="4"/>
        <v>197867804.97222766</v>
      </c>
      <c r="N21" s="198">
        <f t="shared" si="6"/>
        <v>3.3750000000000002E-2</v>
      </c>
      <c r="O21" s="150">
        <f t="shared" si="7"/>
        <v>6678038.4178126836</v>
      </c>
      <c r="X21" s="103" t="str">
        <f t="shared" si="8"/>
        <v>General Service &gt; 50 to 4999 kW</v>
      </c>
      <c r="Y21" s="185">
        <f t="shared" si="9"/>
        <v>11240960.458397292</v>
      </c>
    </row>
    <row r="22" spans="2:25" x14ac:dyDescent="0.2">
      <c r="B22" s="149" t="str">
        <f>B8</f>
        <v>General Service &gt; 1000 to 4999 kW</v>
      </c>
      <c r="C22" s="140">
        <f t="shared" si="0"/>
        <v>0</v>
      </c>
      <c r="D22" s="141">
        <f t="shared" si="10"/>
        <v>1.0481</v>
      </c>
      <c r="E22" s="140">
        <f t="shared" si="1"/>
        <v>0</v>
      </c>
      <c r="F22" s="197">
        <f t="shared" si="11"/>
        <v>0.10353999999999999</v>
      </c>
      <c r="G22" s="150">
        <f t="shared" si="5"/>
        <v>0</v>
      </c>
      <c r="J22" s="149" t="str">
        <f>B22</f>
        <v>General Service &gt; 1000 to 4999 kW</v>
      </c>
      <c r="K22" s="140">
        <f t="shared" si="2"/>
        <v>0</v>
      </c>
      <c r="L22" s="141">
        <f t="shared" si="3"/>
        <v>1.0481</v>
      </c>
      <c r="M22" s="140">
        <f t="shared" si="4"/>
        <v>0</v>
      </c>
      <c r="N22" s="198">
        <f t="shared" si="6"/>
        <v>3.3750000000000002E-2</v>
      </c>
      <c r="O22" s="150">
        <f t="shared" si="7"/>
        <v>0</v>
      </c>
      <c r="X22" s="103" t="str">
        <f t="shared" si="8"/>
        <v>General Service &gt; 1000 to 4999 kW</v>
      </c>
      <c r="Y22" s="185">
        <f t="shared" si="9"/>
        <v>0</v>
      </c>
    </row>
    <row r="23" spans="2:25" x14ac:dyDescent="0.2">
      <c r="B23" s="149" t="str">
        <f>B9</f>
        <v>Large User</v>
      </c>
      <c r="C23" s="140">
        <f t="shared" si="0"/>
        <v>0</v>
      </c>
      <c r="D23" s="141">
        <f t="shared" si="10"/>
        <v>1.0481</v>
      </c>
      <c r="E23" s="140">
        <f t="shared" si="1"/>
        <v>0</v>
      </c>
      <c r="F23" s="197">
        <f t="shared" si="11"/>
        <v>0.10353999999999999</v>
      </c>
      <c r="G23" s="150">
        <f t="shared" si="5"/>
        <v>0</v>
      </c>
      <c r="J23" s="149" t="str">
        <f>B23</f>
        <v>Large User</v>
      </c>
      <c r="K23" s="140">
        <f t="shared" si="2"/>
        <v>0</v>
      </c>
      <c r="L23" s="141">
        <f t="shared" si="3"/>
        <v>1.0481</v>
      </c>
      <c r="M23" s="140">
        <f t="shared" si="4"/>
        <v>0</v>
      </c>
      <c r="N23" s="198">
        <f t="shared" si="6"/>
        <v>3.3750000000000002E-2</v>
      </c>
      <c r="O23" s="150">
        <f t="shared" si="7"/>
        <v>0</v>
      </c>
      <c r="X23" s="103" t="str">
        <f t="shared" si="8"/>
        <v>Large User</v>
      </c>
      <c r="Y23" s="185">
        <f t="shared" si="9"/>
        <v>0</v>
      </c>
    </row>
    <row r="24" spans="2:25" x14ac:dyDescent="0.2">
      <c r="B24" s="149" t="s">
        <v>113</v>
      </c>
      <c r="C24" s="140">
        <f t="shared" si="0"/>
        <v>198665.79886182357</v>
      </c>
      <c r="D24" s="141">
        <f t="shared" si="10"/>
        <v>1.0481</v>
      </c>
      <c r="E24" s="140">
        <f t="shared" si="1"/>
        <v>208221.62378707729</v>
      </c>
      <c r="F24" s="197">
        <f t="shared" si="11"/>
        <v>0.10353999999999999</v>
      </c>
      <c r="G24" s="150">
        <f t="shared" si="5"/>
        <v>21559.266926913981</v>
      </c>
      <c r="J24" s="149" t="s">
        <v>113</v>
      </c>
      <c r="K24" s="140">
        <f t="shared" si="2"/>
        <v>0</v>
      </c>
      <c r="L24" s="141">
        <f t="shared" si="3"/>
        <v>1.0481</v>
      </c>
      <c r="M24" s="140">
        <f t="shared" si="4"/>
        <v>0</v>
      </c>
      <c r="N24" s="198">
        <f t="shared" si="6"/>
        <v>3.3750000000000002E-2</v>
      </c>
      <c r="O24" s="150">
        <f t="shared" si="7"/>
        <v>0</v>
      </c>
      <c r="X24" s="103" t="str">
        <f t="shared" si="8"/>
        <v>Sentinel Lights</v>
      </c>
      <c r="Y24" s="185">
        <f t="shared" si="9"/>
        <v>21559.266926913981</v>
      </c>
    </row>
    <row r="25" spans="2:25" x14ac:dyDescent="0.2">
      <c r="B25" s="149" t="str">
        <f>B11</f>
        <v>Street Lights</v>
      </c>
      <c r="C25" s="140">
        <f t="shared" si="0"/>
        <v>129712.97484918496</v>
      </c>
      <c r="D25" s="141">
        <f t="shared" si="10"/>
        <v>1.0481</v>
      </c>
      <c r="E25" s="140">
        <f t="shared" si="1"/>
        <v>135952.16893943076</v>
      </c>
      <c r="F25" s="197">
        <f t="shared" si="11"/>
        <v>0.10353999999999999</v>
      </c>
      <c r="G25" s="150">
        <f t="shared" si="5"/>
        <v>14076.48757198866</v>
      </c>
      <c r="J25" s="149" t="str">
        <f>B25</f>
        <v>Street Lights</v>
      </c>
      <c r="K25" s="140">
        <f t="shared" si="2"/>
        <v>2330281.505150815</v>
      </c>
      <c r="L25" s="141">
        <f t="shared" si="3"/>
        <v>1.0481</v>
      </c>
      <c r="M25" s="140">
        <f t="shared" si="4"/>
        <v>2442368.0455485694</v>
      </c>
      <c r="N25" s="198">
        <f t="shared" si="6"/>
        <v>3.3750000000000002E-2</v>
      </c>
      <c r="O25" s="150">
        <f t="shared" si="7"/>
        <v>82429.921537264221</v>
      </c>
      <c r="X25" s="103" t="str">
        <f t="shared" si="8"/>
        <v>Street Lights</v>
      </c>
      <c r="Y25" s="185">
        <f t="shared" si="9"/>
        <v>96506.409109252883</v>
      </c>
    </row>
    <row r="26" spans="2:25" x14ac:dyDescent="0.2">
      <c r="B26" s="149" t="str">
        <f>B12</f>
        <v xml:space="preserve">Unmetered Loads </v>
      </c>
      <c r="C26" s="140">
        <f t="shared" si="0"/>
        <v>878223.07128615165</v>
      </c>
      <c r="D26" s="141">
        <f t="shared" si="10"/>
        <v>1.0481</v>
      </c>
      <c r="E26" s="140">
        <f t="shared" si="1"/>
        <v>920465.60101501562</v>
      </c>
      <c r="F26" s="197">
        <f t="shared" si="11"/>
        <v>0.10353999999999999</v>
      </c>
      <c r="G26" s="150">
        <f t="shared" si="5"/>
        <v>95305.008329094708</v>
      </c>
      <c r="J26" s="149" t="str">
        <f>B26</f>
        <v xml:space="preserve">Unmetered Loads </v>
      </c>
      <c r="K26" s="140">
        <f t="shared" si="2"/>
        <v>0</v>
      </c>
      <c r="L26" s="141">
        <f t="shared" si="3"/>
        <v>1.0481</v>
      </c>
      <c r="M26" s="140">
        <f t="shared" si="4"/>
        <v>0</v>
      </c>
      <c r="N26" s="198">
        <f t="shared" si="6"/>
        <v>3.3750000000000002E-2</v>
      </c>
      <c r="O26" s="150">
        <f t="shared" si="7"/>
        <v>0</v>
      </c>
      <c r="X26" s="103" t="str">
        <f t="shared" si="8"/>
        <v xml:space="preserve">Unmetered Loads </v>
      </c>
      <c r="Y26" s="185">
        <f t="shared" si="9"/>
        <v>95305.008329094708</v>
      </c>
    </row>
    <row r="27" spans="2:25" x14ac:dyDescent="0.2">
      <c r="B27" s="149" t="str">
        <f>B13</f>
        <v>Embedded Distributors - Hydro One</v>
      </c>
      <c r="C27" s="140">
        <f t="shared" si="0"/>
        <v>0</v>
      </c>
      <c r="D27" s="141">
        <f t="shared" si="10"/>
        <v>1.0481</v>
      </c>
      <c r="E27" s="140">
        <f t="shared" si="1"/>
        <v>0</v>
      </c>
      <c r="F27" s="197">
        <f t="shared" si="11"/>
        <v>0.10353999999999999</v>
      </c>
      <c r="G27" s="150">
        <f t="shared" si="5"/>
        <v>0</v>
      </c>
      <c r="J27" s="149" t="str">
        <f>B27</f>
        <v>Embedded Distributors - Hydro One</v>
      </c>
      <c r="K27" s="140">
        <f t="shared" si="2"/>
        <v>0</v>
      </c>
      <c r="L27" s="141">
        <f t="shared" si="3"/>
        <v>1.0481</v>
      </c>
      <c r="M27" s="140">
        <f t="shared" si="4"/>
        <v>0</v>
      </c>
      <c r="N27" s="198">
        <f t="shared" si="6"/>
        <v>3.3750000000000002E-2</v>
      </c>
      <c r="O27" s="150">
        <f t="shared" si="7"/>
        <v>0</v>
      </c>
      <c r="X27" s="103" t="str">
        <f t="shared" si="8"/>
        <v>Embedded Distributors - Hydro One</v>
      </c>
      <c r="Y27" s="185">
        <f t="shared" si="9"/>
        <v>0</v>
      </c>
    </row>
    <row r="28" spans="2:25" x14ac:dyDescent="0.2">
      <c r="B28" s="144" t="s">
        <v>66</v>
      </c>
      <c r="C28" s="145">
        <f>SUM(C19:C27)</f>
        <v>393915342.07343858</v>
      </c>
      <c r="D28" s="151"/>
      <c r="E28" s="145">
        <f>SUM(E19:E27)</f>
        <v>412862670.02717108</v>
      </c>
      <c r="F28" s="152"/>
      <c r="G28" s="153">
        <f>SUM(G19:G27)</f>
        <v>42747800.854613297</v>
      </c>
      <c r="J28" s="144" t="s">
        <v>66</v>
      </c>
      <c r="K28" s="145">
        <f>SUM(K19:K27)</f>
        <v>208740700.47630313</v>
      </c>
      <c r="L28" s="151"/>
      <c r="M28" s="145">
        <f>SUM(M19:M27)</f>
        <v>218781128.16921329</v>
      </c>
      <c r="N28" s="154"/>
      <c r="O28" s="153">
        <f>SUM(O19:O27)</f>
        <v>7383863.0757109495</v>
      </c>
      <c r="Q28" s="155">
        <f>O28+G28</f>
        <v>50131663.930324249</v>
      </c>
      <c r="Y28" s="185">
        <f>SUM(Y19:Y27)</f>
        <v>50131663.930324234</v>
      </c>
    </row>
    <row r="29" spans="2:25" x14ac:dyDescent="0.2">
      <c r="B29" s="156"/>
      <c r="C29" s="157"/>
      <c r="D29" s="158"/>
      <c r="E29" s="157"/>
      <c r="F29" s="159"/>
      <c r="G29" s="155"/>
    </row>
    <row r="30" spans="2:25" ht="12.75" customHeight="1" x14ac:dyDescent="0.2">
      <c r="B30" s="147" t="s">
        <v>233</v>
      </c>
      <c r="C30" s="655" t="str">
        <f>$C$17</f>
        <v>2022 Forecasted Metered kWhs</v>
      </c>
      <c r="D30" s="655" t="str">
        <f>D17</f>
        <v>2022 Loss Factor</v>
      </c>
      <c r="E30" s="657">
        <f>H3</f>
        <v>2022</v>
      </c>
      <c r="F30" s="658"/>
      <c r="G30" s="659"/>
      <c r="J30" s="147" t="s">
        <v>233</v>
      </c>
      <c r="K30" s="655" t="str">
        <f>$C$17</f>
        <v>2022 Forecasted Metered kWhs</v>
      </c>
      <c r="L30" s="655" t="str">
        <f>D30</f>
        <v>2022 Loss Factor</v>
      </c>
      <c r="M30" s="657">
        <f>H3</f>
        <v>2022</v>
      </c>
      <c r="N30" s="658"/>
      <c r="O30" s="659"/>
    </row>
    <row r="31" spans="2:25" x14ac:dyDescent="0.2">
      <c r="B31" s="148" t="s">
        <v>68</v>
      </c>
      <c r="C31" s="656"/>
      <c r="D31" s="666"/>
      <c r="E31" s="660"/>
      <c r="F31" s="661"/>
      <c r="G31" s="662"/>
      <c r="J31" s="148" t="s">
        <v>68</v>
      </c>
      <c r="K31" s="656"/>
      <c r="L31" s="666"/>
      <c r="M31" s="660"/>
      <c r="N31" s="661"/>
      <c r="O31" s="662"/>
    </row>
    <row r="32" spans="2:25" x14ac:dyDescent="0.2">
      <c r="B32" s="149" t="s">
        <v>1</v>
      </c>
      <c r="C32" s="140">
        <v>0</v>
      </c>
      <c r="D32" s="141">
        <f>D19</f>
        <v>1.0481</v>
      </c>
      <c r="E32" s="140">
        <v>0</v>
      </c>
      <c r="F32" s="197">
        <f>$H$8</f>
        <v>6.8779999999999994E-2</v>
      </c>
      <c r="G32" s="150">
        <v>0</v>
      </c>
      <c r="J32" s="149" t="s">
        <v>1</v>
      </c>
      <c r="K32" s="140">
        <v>714915.60801040009</v>
      </c>
      <c r="L32" s="141">
        <f>L19</f>
        <v>1.0481</v>
      </c>
      <c r="M32" s="140">
        <f>M19</f>
        <v>4825149.1427090447</v>
      </c>
      <c r="N32" s="197">
        <f>$H$8</f>
        <v>6.8779999999999994E-2</v>
      </c>
      <c r="O32" s="150">
        <f>M32*N32</f>
        <v>331873.75803552807</v>
      </c>
      <c r="X32" s="103" t="str">
        <f>J32</f>
        <v xml:space="preserve">Residential </v>
      </c>
      <c r="Y32" s="185">
        <f>O32+G32</f>
        <v>331873.75803552807</v>
      </c>
    </row>
    <row r="33" spans="2:25" x14ac:dyDescent="0.2">
      <c r="B33" s="149" t="s">
        <v>105</v>
      </c>
      <c r="C33" s="140">
        <v>0</v>
      </c>
      <c r="D33" s="141">
        <f t="shared" ref="D33:D40" si="12">D20</f>
        <v>1.0481</v>
      </c>
      <c r="E33" s="140">
        <v>0</v>
      </c>
      <c r="F33" s="197">
        <f t="shared" ref="F33:F40" si="13">$H$8</f>
        <v>6.8779999999999994E-2</v>
      </c>
      <c r="G33" s="150">
        <v>0</v>
      </c>
      <c r="J33" s="149" t="s">
        <v>105</v>
      </c>
      <c r="K33" s="140">
        <v>944785.76606739312</v>
      </c>
      <c r="L33" s="141">
        <f t="shared" ref="L33:L40" si="14">L20</f>
        <v>1.0481</v>
      </c>
      <c r="M33" s="140">
        <f>M20</f>
        <v>13645806.008728044</v>
      </c>
      <c r="N33" s="197">
        <f t="shared" ref="N33:N40" si="15">$H$8</f>
        <v>6.8779999999999994E-2</v>
      </c>
      <c r="O33" s="150">
        <f t="shared" ref="O33:O40" si="16">M33*N33</f>
        <v>938558.53728031483</v>
      </c>
      <c r="X33" s="103" t="str">
        <f t="shared" ref="X33:X40" si="17">J33</f>
        <v>General Service &lt; 50 kW</v>
      </c>
      <c r="Y33" s="185">
        <f t="shared" ref="Y33:Y40" si="18">O33+G33</f>
        <v>938558.53728031483</v>
      </c>
    </row>
    <row r="34" spans="2:25" x14ac:dyDescent="0.2">
      <c r="B34" s="149" t="s">
        <v>229</v>
      </c>
      <c r="C34" s="140">
        <v>0</v>
      </c>
      <c r="D34" s="141">
        <f t="shared" si="12"/>
        <v>1.0481</v>
      </c>
      <c r="E34" s="140">
        <v>0</v>
      </c>
      <c r="F34" s="197">
        <f t="shared" si="13"/>
        <v>6.8779999999999994E-2</v>
      </c>
      <c r="G34" s="150">
        <v>0</v>
      </c>
      <c r="J34" s="149" t="s">
        <v>229</v>
      </c>
      <c r="K34" s="140">
        <v>10567935.362638757</v>
      </c>
      <c r="L34" s="141">
        <f t="shared" si="14"/>
        <v>1.0481</v>
      </c>
      <c r="M34" s="140">
        <f>M21</f>
        <v>197867804.97222766</v>
      </c>
      <c r="N34" s="197">
        <f t="shared" si="15"/>
        <v>6.8779999999999994E-2</v>
      </c>
      <c r="O34" s="150">
        <f t="shared" si="16"/>
        <v>13609347.625989817</v>
      </c>
      <c r="X34" s="103" t="str">
        <f t="shared" si="17"/>
        <v>General Service &gt; 50 to 4999 kW</v>
      </c>
      <c r="Y34" s="185">
        <f t="shared" si="18"/>
        <v>13609347.625989817</v>
      </c>
    </row>
    <row r="35" spans="2:25" x14ac:dyDescent="0.2">
      <c r="B35" s="149" t="s">
        <v>230</v>
      </c>
      <c r="C35" s="140">
        <v>0</v>
      </c>
      <c r="D35" s="141">
        <f t="shared" si="12"/>
        <v>1.0481</v>
      </c>
      <c r="E35" s="140">
        <v>0</v>
      </c>
      <c r="F35" s="197">
        <f t="shared" si="13"/>
        <v>6.8779999999999994E-2</v>
      </c>
      <c r="G35" s="150">
        <v>0</v>
      </c>
      <c r="J35" s="149" t="s">
        <v>230</v>
      </c>
      <c r="K35" s="140">
        <v>0</v>
      </c>
      <c r="L35" s="141">
        <f t="shared" si="14"/>
        <v>1.0481</v>
      </c>
      <c r="M35" s="140">
        <v>0</v>
      </c>
      <c r="N35" s="197">
        <f t="shared" si="15"/>
        <v>6.8779999999999994E-2</v>
      </c>
      <c r="O35" s="150">
        <f t="shared" si="16"/>
        <v>0</v>
      </c>
      <c r="X35" s="103" t="str">
        <f t="shared" si="17"/>
        <v>General Service &gt; 1000 to 4999 kW</v>
      </c>
      <c r="Y35" s="185">
        <f t="shared" si="18"/>
        <v>0</v>
      </c>
    </row>
    <row r="36" spans="2:25" x14ac:dyDescent="0.2">
      <c r="B36" s="149" t="s">
        <v>231</v>
      </c>
      <c r="C36" s="140">
        <v>0</v>
      </c>
      <c r="D36" s="141">
        <f t="shared" si="12"/>
        <v>1.0481</v>
      </c>
      <c r="E36" s="140">
        <v>0</v>
      </c>
      <c r="F36" s="197">
        <f t="shared" si="13"/>
        <v>6.8779999999999994E-2</v>
      </c>
      <c r="G36" s="150">
        <v>0</v>
      </c>
      <c r="J36" s="149" t="s">
        <v>231</v>
      </c>
      <c r="K36" s="140">
        <v>0</v>
      </c>
      <c r="L36" s="141">
        <f t="shared" si="14"/>
        <v>1.0481</v>
      </c>
      <c r="M36" s="140">
        <v>0</v>
      </c>
      <c r="N36" s="197">
        <f t="shared" si="15"/>
        <v>6.8779999999999994E-2</v>
      </c>
      <c r="O36" s="150">
        <f t="shared" si="16"/>
        <v>0</v>
      </c>
      <c r="X36" s="103" t="str">
        <f t="shared" si="17"/>
        <v>Large User</v>
      </c>
      <c r="Y36" s="185">
        <f t="shared" si="18"/>
        <v>0</v>
      </c>
    </row>
    <row r="37" spans="2:25" x14ac:dyDescent="0.2">
      <c r="B37" s="149" t="s">
        <v>113</v>
      </c>
      <c r="C37" s="140">
        <v>0</v>
      </c>
      <c r="D37" s="141">
        <f t="shared" si="12"/>
        <v>1.0481</v>
      </c>
      <c r="E37" s="140">
        <v>0</v>
      </c>
      <c r="F37" s="197">
        <f t="shared" si="13"/>
        <v>6.8779999999999994E-2</v>
      </c>
      <c r="G37" s="150">
        <v>0</v>
      </c>
      <c r="J37" s="149" t="s">
        <v>113</v>
      </c>
      <c r="K37" s="140">
        <v>712.79411764705901</v>
      </c>
      <c r="L37" s="141">
        <f t="shared" si="14"/>
        <v>1.0481</v>
      </c>
      <c r="M37" s="140">
        <f>M24</f>
        <v>0</v>
      </c>
      <c r="N37" s="197">
        <f t="shared" si="15"/>
        <v>6.8779999999999994E-2</v>
      </c>
      <c r="O37" s="150">
        <f t="shared" si="16"/>
        <v>0</v>
      </c>
      <c r="X37" s="103" t="str">
        <f t="shared" si="17"/>
        <v>Sentinel Lights</v>
      </c>
      <c r="Y37" s="185">
        <f t="shared" si="18"/>
        <v>0</v>
      </c>
    </row>
    <row r="38" spans="2:25" x14ac:dyDescent="0.2">
      <c r="B38" s="149" t="s">
        <v>61</v>
      </c>
      <c r="C38" s="140">
        <v>0</v>
      </c>
      <c r="D38" s="141">
        <f t="shared" si="12"/>
        <v>1.0481</v>
      </c>
      <c r="E38" s="140">
        <v>0</v>
      </c>
      <c r="F38" s="197">
        <f t="shared" si="13"/>
        <v>6.8779999999999994E-2</v>
      </c>
      <c r="G38" s="150">
        <v>0</v>
      </c>
      <c r="J38" s="149" t="s">
        <v>61</v>
      </c>
      <c r="K38" s="140">
        <v>340080</v>
      </c>
      <c r="L38" s="141">
        <f t="shared" si="14"/>
        <v>1.0481</v>
      </c>
      <c r="M38" s="140">
        <f>M25</f>
        <v>2442368.0455485694</v>
      </c>
      <c r="N38" s="197">
        <f t="shared" si="15"/>
        <v>6.8779999999999994E-2</v>
      </c>
      <c r="O38" s="150">
        <f t="shared" si="16"/>
        <v>167986.07417283059</v>
      </c>
      <c r="X38" s="103" t="str">
        <f t="shared" si="17"/>
        <v>Street Lights</v>
      </c>
      <c r="Y38" s="185">
        <f t="shared" si="18"/>
        <v>167986.07417283059</v>
      </c>
    </row>
    <row r="39" spans="2:25" x14ac:dyDescent="0.2">
      <c r="B39" s="149" t="s">
        <v>2</v>
      </c>
      <c r="C39" s="140">
        <v>0</v>
      </c>
      <c r="D39" s="141">
        <f t="shared" si="12"/>
        <v>1.0481</v>
      </c>
      <c r="E39" s="140">
        <v>0</v>
      </c>
      <c r="F39" s="197">
        <f t="shared" si="13"/>
        <v>6.8779999999999994E-2</v>
      </c>
      <c r="G39" s="150">
        <v>0</v>
      </c>
      <c r="J39" s="149" t="s">
        <v>2</v>
      </c>
      <c r="K39" s="140">
        <v>0</v>
      </c>
      <c r="L39" s="141">
        <f t="shared" si="14"/>
        <v>1.0481</v>
      </c>
      <c r="M39" s="140">
        <v>0</v>
      </c>
      <c r="N39" s="197">
        <f t="shared" si="15"/>
        <v>6.8779999999999994E-2</v>
      </c>
      <c r="O39" s="150">
        <f t="shared" si="16"/>
        <v>0</v>
      </c>
      <c r="X39" s="103" t="str">
        <f t="shared" si="17"/>
        <v xml:space="preserve">Unmetered Loads </v>
      </c>
      <c r="Y39" s="185">
        <f t="shared" si="18"/>
        <v>0</v>
      </c>
    </row>
    <row r="40" spans="2:25" x14ac:dyDescent="0.2">
      <c r="B40" s="149" t="s">
        <v>232</v>
      </c>
      <c r="C40" s="140">
        <v>0</v>
      </c>
      <c r="D40" s="141">
        <f t="shared" si="12"/>
        <v>1.0481</v>
      </c>
      <c r="E40" s="140">
        <v>0</v>
      </c>
      <c r="F40" s="197">
        <f t="shared" si="13"/>
        <v>6.8779999999999994E-2</v>
      </c>
      <c r="G40" s="150">
        <v>0</v>
      </c>
      <c r="J40" s="149" t="s">
        <v>232</v>
      </c>
      <c r="K40" s="140">
        <v>0</v>
      </c>
      <c r="L40" s="141">
        <f t="shared" si="14"/>
        <v>1.0481</v>
      </c>
      <c r="M40" s="140">
        <v>0</v>
      </c>
      <c r="N40" s="197">
        <f t="shared" si="15"/>
        <v>6.8779999999999994E-2</v>
      </c>
      <c r="O40" s="150">
        <f t="shared" si="16"/>
        <v>0</v>
      </c>
      <c r="X40" s="103" t="str">
        <f t="shared" si="17"/>
        <v>Embedded Distributors - Hydro One</v>
      </c>
      <c r="Y40" s="185">
        <f t="shared" si="18"/>
        <v>0</v>
      </c>
    </row>
    <row r="41" spans="2:25" x14ac:dyDescent="0.2">
      <c r="B41" s="144" t="s">
        <v>66</v>
      </c>
      <c r="C41" s="145">
        <v>0</v>
      </c>
      <c r="D41" s="151"/>
      <c r="E41" s="145">
        <v>0</v>
      </c>
      <c r="F41" s="152"/>
      <c r="G41" s="153">
        <v>0</v>
      </c>
      <c r="J41" s="144" t="s">
        <v>66</v>
      </c>
      <c r="K41" s="145">
        <v>12568429.530834196</v>
      </c>
      <c r="L41" s="151"/>
      <c r="M41" s="145">
        <v>13360240.59127675</v>
      </c>
      <c r="N41" s="152"/>
      <c r="O41" s="153">
        <f>SUM(O32:O40)</f>
        <v>15047765.99547849</v>
      </c>
      <c r="Q41" s="155">
        <f>O41+G41</f>
        <v>15047765.99547849</v>
      </c>
      <c r="Y41" s="185">
        <f>SUM(Y32:Y40)</f>
        <v>15047765.99547849</v>
      </c>
    </row>
    <row r="43" spans="2:25" x14ac:dyDescent="0.2">
      <c r="B43" s="163" t="s">
        <v>71</v>
      </c>
      <c r="C43" s="164"/>
      <c r="D43" s="160" t="s">
        <v>72</v>
      </c>
      <c r="E43" s="657">
        <f>H3</f>
        <v>2022</v>
      </c>
      <c r="F43" s="658"/>
      <c r="G43" s="659"/>
      <c r="J43" s="163" t="s">
        <v>71</v>
      </c>
      <c r="K43" s="164"/>
      <c r="L43" s="160" t="s">
        <v>72</v>
      </c>
      <c r="M43" s="657">
        <f>H3</f>
        <v>2022</v>
      </c>
      <c r="N43" s="658"/>
      <c r="O43" s="659"/>
    </row>
    <row r="44" spans="2:25" x14ac:dyDescent="0.2">
      <c r="B44" s="148" t="s">
        <v>70</v>
      </c>
      <c r="C44" s="162"/>
      <c r="D44" s="161" t="s">
        <v>73</v>
      </c>
      <c r="E44" s="660"/>
      <c r="F44" s="661"/>
      <c r="G44" s="662"/>
      <c r="J44" s="148" t="s">
        <v>70</v>
      </c>
      <c r="K44" s="162"/>
      <c r="L44" s="161" t="s">
        <v>73</v>
      </c>
      <c r="M44" s="660"/>
      <c r="N44" s="661"/>
      <c r="O44" s="662"/>
    </row>
    <row r="45" spans="2:25" ht="15" x14ac:dyDescent="0.25">
      <c r="B45" s="149" t="str">
        <f>J19</f>
        <v xml:space="preserve">Residential </v>
      </c>
      <c r="C45" s="140"/>
      <c r="D45" s="166" t="s">
        <v>64</v>
      </c>
      <c r="E45" s="140">
        <f>E19</f>
        <v>290530788.22402573</v>
      </c>
      <c r="F45" s="199">
        <v>8.2000000000000007E-3</v>
      </c>
      <c r="G45" s="150">
        <f>(E45*F45)</f>
        <v>2382352.463437011</v>
      </c>
      <c r="J45" s="149" t="s">
        <v>1</v>
      </c>
      <c r="K45" s="140"/>
      <c r="L45" s="166" t="s">
        <v>64</v>
      </c>
      <c r="M45" s="140">
        <f>M32</f>
        <v>4825149.1427090447</v>
      </c>
      <c r="N45" s="193">
        <f>F45</f>
        <v>8.2000000000000007E-3</v>
      </c>
      <c r="O45" s="150">
        <f>M45*N45</f>
        <v>39566.22297021417</v>
      </c>
      <c r="R45" s="204" t="s">
        <v>302</v>
      </c>
      <c r="S45" s="185">
        <f>-(O45+G45+G52+O52)</f>
        <v>-2429009.0959467934</v>
      </c>
      <c r="X45" s="102" t="s">
        <v>111</v>
      </c>
      <c r="Y45" s="185">
        <f>O45+G45</f>
        <v>2421918.6864072252</v>
      </c>
    </row>
    <row r="46" spans="2:25" ht="15" x14ac:dyDescent="0.25">
      <c r="B46" s="149" t="str">
        <f>J20</f>
        <v>General Service &lt; 50 kW</v>
      </c>
      <c r="C46" s="140"/>
      <c r="D46" s="166" t="s">
        <v>64</v>
      </c>
      <c r="E46" s="140">
        <f>E20</f>
        <v>76998070.682683632</v>
      </c>
      <c r="F46" s="199">
        <v>7.6E-3</v>
      </c>
      <c r="G46" s="150">
        <f t="shared" ref="G46:G53" si="19">E46*F46</f>
        <v>585185.33718839556</v>
      </c>
      <c r="J46" s="149" t="s">
        <v>105</v>
      </c>
      <c r="K46" s="140"/>
      <c r="L46" s="166" t="s">
        <v>64</v>
      </c>
      <c r="M46" s="140">
        <f>M33</f>
        <v>13645806.008728044</v>
      </c>
      <c r="N46" s="193">
        <f t="shared" ref="N46:N53" si="20">F46</f>
        <v>7.6E-3</v>
      </c>
      <c r="O46" s="150">
        <f t="shared" ref="O46:O53" si="21">M46*N46</f>
        <v>103708.12566633313</v>
      </c>
      <c r="R46" s="204" t="s">
        <v>303</v>
      </c>
      <c r="S46" s="185">
        <f>-(G46+O46)</f>
        <v>-688893.46285472868</v>
      </c>
      <c r="X46" s="103" t="str">
        <f>J46</f>
        <v>General Service &lt; 50 kW</v>
      </c>
      <c r="Y46" s="185">
        <f>O46+G46</f>
        <v>688893.46285472868</v>
      </c>
    </row>
    <row r="47" spans="2:25" ht="15" x14ac:dyDescent="0.25">
      <c r="B47" s="149" t="str">
        <f>J21</f>
        <v>General Service &gt; 50 to 4999 kW</v>
      </c>
      <c r="C47" s="140"/>
      <c r="D47" s="166" t="s">
        <v>65</v>
      </c>
      <c r="E47" s="140">
        <v>0</v>
      </c>
      <c r="F47" s="199">
        <v>3.0886999999999998</v>
      </c>
      <c r="G47" s="150">
        <f t="shared" si="19"/>
        <v>0</v>
      </c>
      <c r="J47" s="149" t="s">
        <v>229</v>
      </c>
      <c r="K47" s="140"/>
      <c r="L47" s="166" t="s">
        <v>65</v>
      </c>
      <c r="M47" s="140">
        <f>D7</f>
        <v>570894.43770666083</v>
      </c>
      <c r="N47" s="193">
        <f t="shared" si="20"/>
        <v>3.0886999999999998</v>
      </c>
      <c r="O47" s="150">
        <f t="shared" si="21"/>
        <v>1763321.6497445633</v>
      </c>
      <c r="R47" s="204" t="s">
        <v>304</v>
      </c>
      <c r="S47" s="185">
        <f>-(G47+O47)</f>
        <v>-1763321.6497445633</v>
      </c>
      <c r="X47" s="103" t="str">
        <f t="shared" ref="X47:X54" si="22">J47</f>
        <v>General Service &gt; 50 to 4999 kW</v>
      </c>
      <c r="Y47" s="185">
        <f t="shared" ref="Y47:Y53" si="23">O47+G47</f>
        <v>1763321.6497445633</v>
      </c>
    </row>
    <row r="48" spans="2:25" ht="15" x14ac:dyDescent="0.25">
      <c r="B48" s="149" t="str">
        <f>J22</f>
        <v>General Service &gt; 1000 to 4999 kW</v>
      </c>
      <c r="C48" s="140"/>
      <c r="D48" s="166" t="s">
        <v>65</v>
      </c>
      <c r="E48" s="140">
        <f>D8</f>
        <v>0</v>
      </c>
      <c r="F48" s="199">
        <v>0</v>
      </c>
      <c r="G48" s="150">
        <f t="shared" si="19"/>
        <v>0</v>
      </c>
      <c r="J48" s="149" t="s">
        <v>230</v>
      </c>
      <c r="K48" s="140"/>
      <c r="L48" s="166" t="s">
        <v>65</v>
      </c>
      <c r="M48" s="140">
        <v>0</v>
      </c>
      <c r="N48" s="193">
        <f t="shared" si="20"/>
        <v>0</v>
      </c>
      <c r="O48" s="150">
        <f t="shared" si="21"/>
        <v>0</v>
      </c>
      <c r="R48" s="204" t="s">
        <v>305</v>
      </c>
      <c r="S48" s="185">
        <f>-(O51+G51)</f>
        <v>-16773.991221820706</v>
      </c>
      <c r="X48" s="103" t="str">
        <f t="shared" si="22"/>
        <v>General Service &gt; 1000 to 4999 kW</v>
      </c>
      <c r="Y48" s="185">
        <f t="shared" si="23"/>
        <v>0</v>
      </c>
    </row>
    <row r="49" spans="2:25" ht="15" x14ac:dyDescent="0.25">
      <c r="B49" s="149" t="str">
        <f>J23</f>
        <v>Large User</v>
      </c>
      <c r="C49" s="140"/>
      <c r="D49" s="166" t="s">
        <v>65</v>
      </c>
      <c r="E49" s="140">
        <f>D9</f>
        <v>0</v>
      </c>
      <c r="F49" s="199">
        <v>0</v>
      </c>
      <c r="G49" s="150">
        <f t="shared" si="19"/>
        <v>0</v>
      </c>
      <c r="J49" s="149" t="s">
        <v>231</v>
      </c>
      <c r="K49" s="140"/>
      <c r="L49" s="166" t="s">
        <v>65</v>
      </c>
      <c r="M49" s="140">
        <v>0</v>
      </c>
      <c r="N49" s="193">
        <f t="shared" si="20"/>
        <v>0</v>
      </c>
      <c r="O49" s="150">
        <f t="shared" si="21"/>
        <v>0</v>
      </c>
      <c r="R49" s="204" t="s">
        <v>306</v>
      </c>
      <c r="S49" s="185">
        <f>-(G50+O50)</f>
        <v>-1358.6967200315466</v>
      </c>
      <c r="X49" s="103" t="str">
        <f t="shared" si="22"/>
        <v>Large User</v>
      </c>
      <c r="Y49" s="185">
        <f t="shared" si="23"/>
        <v>0</v>
      </c>
    </row>
    <row r="50" spans="2:25" x14ac:dyDescent="0.2">
      <c r="B50" s="149" t="s">
        <v>113</v>
      </c>
      <c r="C50" s="140"/>
      <c r="D50" s="166" t="s">
        <v>65</v>
      </c>
      <c r="E50" s="140">
        <v>0</v>
      </c>
      <c r="F50" s="199">
        <v>2.3412000000000002</v>
      </c>
      <c r="G50" s="150">
        <f t="shared" si="19"/>
        <v>0</v>
      </c>
      <c r="J50" s="149" t="s">
        <v>113</v>
      </c>
      <c r="K50" s="140"/>
      <c r="L50" s="166" t="s">
        <v>65</v>
      </c>
      <c r="M50" s="140">
        <f>D10</f>
        <v>580.3420126565635</v>
      </c>
      <c r="N50" s="193">
        <f t="shared" si="20"/>
        <v>2.3412000000000002</v>
      </c>
      <c r="O50" s="150">
        <f t="shared" si="21"/>
        <v>1358.6967200315466</v>
      </c>
      <c r="X50" s="103" t="str">
        <f t="shared" si="22"/>
        <v>Sentinel Lights</v>
      </c>
      <c r="Y50" s="185">
        <f t="shared" si="23"/>
        <v>1358.6967200315466</v>
      </c>
    </row>
    <row r="51" spans="2:25" x14ac:dyDescent="0.2">
      <c r="B51" s="149" t="str">
        <f>J25</f>
        <v>Street Lights</v>
      </c>
      <c r="C51" s="140"/>
      <c r="D51" s="166" t="s">
        <v>65</v>
      </c>
      <c r="E51" s="140">
        <v>0</v>
      </c>
      <c r="F51" s="199">
        <v>2.3296999999999999</v>
      </c>
      <c r="G51" s="150">
        <f t="shared" si="19"/>
        <v>0</v>
      </c>
      <c r="J51" s="149" t="s">
        <v>61</v>
      </c>
      <c r="K51" s="140"/>
      <c r="L51" s="166" t="s">
        <v>65</v>
      </c>
      <c r="M51" s="140">
        <f>D11</f>
        <v>7200.0649104265394</v>
      </c>
      <c r="N51" s="193">
        <f t="shared" si="20"/>
        <v>2.3296999999999999</v>
      </c>
      <c r="O51" s="150">
        <f t="shared" si="21"/>
        <v>16773.991221820706</v>
      </c>
      <c r="X51" s="103" t="str">
        <f t="shared" si="22"/>
        <v>Street Lights</v>
      </c>
      <c r="Y51" s="185">
        <f t="shared" si="23"/>
        <v>16773.991221820706</v>
      </c>
    </row>
    <row r="52" spans="2:25" x14ac:dyDescent="0.2">
      <c r="B52" s="149" t="str">
        <f>J26</f>
        <v xml:space="preserve">Unmetered Loads </v>
      </c>
      <c r="C52" s="140"/>
      <c r="D52" s="166" t="s">
        <v>64</v>
      </c>
      <c r="E52" s="140">
        <f>E26</f>
        <v>920465.60101501562</v>
      </c>
      <c r="F52" s="199">
        <v>7.6E-3</v>
      </c>
      <c r="G52" s="150">
        <f t="shared" si="19"/>
        <v>6995.5385677141185</v>
      </c>
      <c r="J52" s="149" t="s">
        <v>2</v>
      </c>
      <c r="K52" s="140"/>
      <c r="L52" s="166" t="s">
        <v>64</v>
      </c>
      <c r="M52" s="140">
        <v>12483.022612380953</v>
      </c>
      <c r="N52" s="193">
        <f t="shared" si="20"/>
        <v>7.6E-3</v>
      </c>
      <c r="O52" s="150">
        <f t="shared" si="21"/>
        <v>94.870971854095245</v>
      </c>
      <c r="X52" s="103" t="str">
        <f t="shared" si="22"/>
        <v xml:space="preserve">Unmetered Loads </v>
      </c>
      <c r="Y52" s="185">
        <f t="shared" si="23"/>
        <v>7090.4095395682134</v>
      </c>
    </row>
    <row r="53" spans="2:25" x14ac:dyDescent="0.2">
      <c r="B53" s="149" t="str">
        <f>J27</f>
        <v>Embedded Distributors - Hydro One</v>
      </c>
      <c r="C53" s="140"/>
      <c r="D53" s="166" t="s">
        <v>65</v>
      </c>
      <c r="E53" s="140">
        <f>D13</f>
        <v>0</v>
      </c>
      <c r="F53" s="193"/>
      <c r="G53" s="150">
        <f t="shared" si="19"/>
        <v>0</v>
      </c>
      <c r="J53" s="149" t="s">
        <v>232</v>
      </c>
      <c r="K53" s="140"/>
      <c r="L53" s="166" t="s">
        <v>65</v>
      </c>
      <c r="M53" s="140">
        <v>0</v>
      </c>
      <c r="N53" s="193">
        <f t="shared" si="20"/>
        <v>0</v>
      </c>
      <c r="O53" s="150">
        <f t="shared" si="21"/>
        <v>0</v>
      </c>
      <c r="X53" s="103" t="str">
        <f t="shared" si="22"/>
        <v>Embedded Distributors - Hydro One</v>
      </c>
      <c r="Y53" s="185">
        <f t="shared" si="23"/>
        <v>0</v>
      </c>
    </row>
    <row r="54" spans="2:25" x14ac:dyDescent="0.2">
      <c r="B54" s="144" t="s">
        <v>66</v>
      </c>
      <c r="C54" s="145"/>
      <c r="D54" s="151"/>
      <c r="E54" s="145">
        <f>SUM(E45:E53)</f>
        <v>368449324.5077244</v>
      </c>
      <c r="F54" s="154"/>
      <c r="G54" s="153">
        <f>SUM(G45:G53)</f>
        <v>2974533.3391931206</v>
      </c>
      <c r="J54" s="144" t="s">
        <v>66</v>
      </c>
      <c r="K54" s="145"/>
      <c r="L54" s="151"/>
      <c r="M54" s="145">
        <v>1811490.6734615513</v>
      </c>
      <c r="N54" s="154"/>
      <c r="O54" s="153">
        <f>SUM(O45:O53)</f>
        <v>1924823.5572948169</v>
      </c>
      <c r="Q54" s="155">
        <f>O54+G54</f>
        <v>4899356.8964879373</v>
      </c>
      <c r="X54" s="103" t="str">
        <f t="shared" si="22"/>
        <v>TOTAL</v>
      </c>
      <c r="Y54" s="185">
        <f>SUM(Y45:Y53)</f>
        <v>4899356.8964879373</v>
      </c>
    </row>
    <row r="55" spans="2:25" x14ac:dyDescent="0.2">
      <c r="Y55" s="185"/>
    </row>
    <row r="56" spans="2:25" x14ac:dyDescent="0.2">
      <c r="B56" s="163" t="s">
        <v>74</v>
      </c>
      <c r="C56" s="164"/>
      <c r="D56" s="168" t="s">
        <v>72</v>
      </c>
      <c r="E56" s="657">
        <f>H3</f>
        <v>2022</v>
      </c>
      <c r="F56" s="658"/>
      <c r="G56" s="659"/>
      <c r="J56" s="163" t="s">
        <v>74</v>
      </c>
      <c r="K56" s="164"/>
      <c r="L56" s="160" t="s">
        <v>72</v>
      </c>
      <c r="M56" s="657">
        <f>H3</f>
        <v>2022</v>
      </c>
      <c r="N56" s="658"/>
      <c r="O56" s="659"/>
    </row>
    <row r="57" spans="2:25" x14ac:dyDescent="0.2">
      <c r="B57" s="148" t="s">
        <v>70</v>
      </c>
      <c r="C57" s="162"/>
      <c r="D57" s="169" t="s">
        <v>73</v>
      </c>
      <c r="E57" s="660"/>
      <c r="F57" s="661"/>
      <c r="G57" s="662"/>
      <c r="J57" s="148" t="s">
        <v>70</v>
      </c>
      <c r="K57" s="162"/>
      <c r="L57" s="161" t="s">
        <v>73</v>
      </c>
      <c r="M57" s="660"/>
      <c r="N57" s="661"/>
      <c r="O57" s="662"/>
    </row>
    <row r="58" spans="2:25" x14ac:dyDescent="0.2">
      <c r="B58" s="149" t="str">
        <f>B45</f>
        <v xml:space="preserve">Residential </v>
      </c>
      <c r="C58" s="140"/>
      <c r="D58" s="166" t="str">
        <f t="shared" ref="D58:E62" si="24">D45</f>
        <v>kWh</v>
      </c>
      <c r="E58" s="140">
        <f t="shared" si="24"/>
        <v>290530788.22402573</v>
      </c>
      <c r="F58" s="167">
        <v>0</v>
      </c>
      <c r="G58" s="150">
        <f>(E58*F58)</f>
        <v>0</v>
      </c>
      <c r="J58" s="149" t="s">
        <v>1</v>
      </c>
      <c r="K58" s="140"/>
      <c r="L58" s="166" t="s">
        <v>64</v>
      </c>
      <c r="M58" s="140">
        <f>M45</f>
        <v>4825149.1427090447</v>
      </c>
      <c r="N58" s="167">
        <f>F58</f>
        <v>0</v>
      </c>
      <c r="O58" s="150">
        <f>M58*N58</f>
        <v>0</v>
      </c>
    </row>
    <row r="59" spans="2:25" x14ac:dyDescent="0.2">
      <c r="B59" s="149" t="str">
        <f>B46</f>
        <v>General Service &lt; 50 kW</v>
      </c>
      <c r="C59" s="140"/>
      <c r="D59" s="166" t="str">
        <f t="shared" si="24"/>
        <v>kWh</v>
      </c>
      <c r="E59" s="140">
        <f t="shared" si="24"/>
        <v>76998070.682683632</v>
      </c>
      <c r="F59" s="193">
        <f>F58</f>
        <v>0</v>
      </c>
      <c r="G59" s="150">
        <f t="shared" ref="G59:G66" si="25">(E59*F59)</f>
        <v>0</v>
      </c>
      <c r="J59" s="149" t="s">
        <v>105</v>
      </c>
      <c r="K59" s="140"/>
      <c r="L59" s="166" t="s">
        <v>64</v>
      </c>
      <c r="M59" s="140">
        <f t="shared" ref="M59:M66" si="26">M46</f>
        <v>13645806.008728044</v>
      </c>
      <c r="N59" s="193">
        <f t="shared" ref="N59:N65" si="27">F59</f>
        <v>0</v>
      </c>
      <c r="O59" s="150">
        <f t="shared" ref="O59:O66" si="28">M59*N59</f>
        <v>0</v>
      </c>
      <c r="X59" s="103" t="str">
        <f>J59</f>
        <v>General Service &lt; 50 kW</v>
      </c>
      <c r="Y59" s="185">
        <f>O59+G59</f>
        <v>0</v>
      </c>
    </row>
    <row r="60" spans="2:25" x14ac:dyDescent="0.2">
      <c r="B60" s="149" t="str">
        <f>B47</f>
        <v>General Service &gt; 50 to 4999 kW</v>
      </c>
      <c r="C60" s="140"/>
      <c r="D60" s="166" t="str">
        <f t="shared" si="24"/>
        <v>kW</v>
      </c>
      <c r="E60" s="140">
        <f t="shared" si="24"/>
        <v>0</v>
      </c>
      <c r="F60" s="193">
        <f t="shared" ref="F60:F65" si="29">F59</f>
        <v>0</v>
      </c>
      <c r="G60" s="150">
        <f t="shared" si="25"/>
        <v>0</v>
      </c>
      <c r="J60" s="149" t="s">
        <v>229</v>
      </c>
      <c r="K60" s="140"/>
      <c r="L60" s="166" t="s">
        <v>65</v>
      </c>
      <c r="M60" s="140">
        <f t="shared" si="26"/>
        <v>570894.43770666083</v>
      </c>
      <c r="N60" s="193">
        <f t="shared" si="27"/>
        <v>0</v>
      </c>
      <c r="O60" s="150">
        <f t="shared" si="28"/>
        <v>0</v>
      </c>
      <c r="X60" s="103" t="str">
        <f t="shared" ref="X60:X67" si="30">J60</f>
        <v>General Service &gt; 50 to 4999 kW</v>
      </c>
      <c r="Y60" s="185">
        <f t="shared" ref="Y60:Y67" si="31">O60+G60</f>
        <v>0</v>
      </c>
    </row>
    <row r="61" spans="2:25" x14ac:dyDescent="0.2">
      <c r="B61" s="149" t="str">
        <f>B48</f>
        <v>General Service &gt; 1000 to 4999 kW</v>
      </c>
      <c r="C61" s="140"/>
      <c r="D61" s="166" t="str">
        <f t="shared" si="24"/>
        <v>kW</v>
      </c>
      <c r="E61" s="140">
        <f t="shared" si="24"/>
        <v>0</v>
      </c>
      <c r="F61" s="193">
        <f t="shared" si="29"/>
        <v>0</v>
      </c>
      <c r="G61" s="150">
        <f t="shared" si="25"/>
        <v>0</v>
      </c>
      <c r="J61" s="149" t="s">
        <v>230</v>
      </c>
      <c r="K61" s="140"/>
      <c r="L61" s="166" t="s">
        <v>65</v>
      </c>
      <c r="M61" s="140">
        <f t="shared" si="26"/>
        <v>0</v>
      </c>
      <c r="N61" s="193">
        <f t="shared" si="27"/>
        <v>0</v>
      </c>
      <c r="O61" s="150">
        <f t="shared" si="28"/>
        <v>0</v>
      </c>
      <c r="X61" s="103" t="str">
        <f t="shared" si="30"/>
        <v>General Service &gt; 1000 to 4999 kW</v>
      </c>
      <c r="Y61" s="185">
        <f t="shared" si="31"/>
        <v>0</v>
      </c>
    </row>
    <row r="62" spans="2:25" x14ac:dyDescent="0.2">
      <c r="B62" s="149" t="str">
        <f>B49</f>
        <v>Large User</v>
      </c>
      <c r="C62" s="140"/>
      <c r="D62" s="166" t="str">
        <f t="shared" si="24"/>
        <v>kW</v>
      </c>
      <c r="E62" s="140">
        <f t="shared" si="24"/>
        <v>0</v>
      </c>
      <c r="F62" s="193">
        <f t="shared" si="29"/>
        <v>0</v>
      </c>
      <c r="G62" s="150">
        <f t="shared" si="25"/>
        <v>0</v>
      </c>
      <c r="J62" s="149" t="s">
        <v>231</v>
      </c>
      <c r="K62" s="140"/>
      <c r="L62" s="166" t="s">
        <v>65</v>
      </c>
      <c r="M62" s="140">
        <f t="shared" si="26"/>
        <v>0</v>
      </c>
      <c r="N62" s="193">
        <f t="shared" si="27"/>
        <v>0</v>
      </c>
      <c r="O62" s="150">
        <f t="shared" si="28"/>
        <v>0</v>
      </c>
      <c r="X62" s="103" t="str">
        <f t="shared" si="30"/>
        <v>Large User</v>
      </c>
      <c r="Y62" s="185">
        <f t="shared" si="31"/>
        <v>0</v>
      </c>
    </row>
    <row r="63" spans="2:25" x14ac:dyDescent="0.2">
      <c r="B63" s="149" t="s">
        <v>113</v>
      </c>
      <c r="C63" s="140"/>
      <c r="D63" s="166" t="str">
        <f>D50</f>
        <v>kW</v>
      </c>
      <c r="E63" s="140">
        <v>0</v>
      </c>
      <c r="F63" s="193">
        <f t="shared" si="29"/>
        <v>0</v>
      </c>
      <c r="G63" s="150">
        <f t="shared" si="25"/>
        <v>0</v>
      </c>
      <c r="J63" s="149" t="s">
        <v>113</v>
      </c>
      <c r="K63" s="140"/>
      <c r="L63" s="166" t="s">
        <v>65</v>
      </c>
      <c r="M63" s="140">
        <f t="shared" si="26"/>
        <v>580.3420126565635</v>
      </c>
      <c r="N63" s="193">
        <f t="shared" si="27"/>
        <v>0</v>
      </c>
      <c r="O63" s="150">
        <f t="shared" si="28"/>
        <v>0</v>
      </c>
      <c r="X63" s="103" t="str">
        <f t="shared" si="30"/>
        <v>Sentinel Lights</v>
      </c>
      <c r="Y63" s="185">
        <f t="shared" si="31"/>
        <v>0</v>
      </c>
    </row>
    <row r="64" spans="2:25" x14ac:dyDescent="0.2">
      <c r="B64" s="149" t="str">
        <f>B51</f>
        <v>Street Lights</v>
      </c>
      <c r="C64" s="140"/>
      <c r="D64" s="166" t="str">
        <f>D51</f>
        <v>kW</v>
      </c>
      <c r="E64" s="140">
        <f>E51</f>
        <v>0</v>
      </c>
      <c r="F64" s="193">
        <f t="shared" si="29"/>
        <v>0</v>
      </c>
      <c r="G64" s="150">
        <f t="shared" si="25"/>
        <v>0</v>
      </c>
      <c r="J64" s="149" t="s">
        <v>61</v>
      </c>
      <c r="K64" s="140"/>
      <c r="L64" s="166" t="s">
        <v>65</v>
      </c>
      <c r="M64" s="140">
        <f t="shared" si="26"/>
        <v>7200.0649104265394</v>
      </c>
      <c r="N64" s="193">
        <f t="shared" si="27"/>
        <v>0</v>
      </c>
      <c r="O64" s="150">
        <f t="shared" si="28"/>
        <v>0</v>
      </c>
      <c r="X64" s="103" t="str">
        <f t="shared" si="30"/>
        <v>Street Lights</v>
      </c>
      <c r="Y64" s="185">
        <f t="shared" si="31"/>
        <v>0</v>
      </c>
    </row>
    <row r="65" spans="2:25" x14ac:dyDescent="0.2">
      <c r="B65" s="149" t="str">
        <f>B52</f>
        <v xml:space="preserve">Unmetered Loads </v>
      </c>
      <c r="C65" s="140"/>
      <c r="D65" s="166" t="str">
        <f>D52</f>
        <v>kWh</v>
      </c>
      <c r="E65" s="140">
        <f>E52</f>
        <v>920465.60101501562</v>
      </c>
      <c r="F65" s="193">
        <f t="shared" si="29"/>
        <v>0</v>
      </c>
      <c r="G65" s="150">
        <f t="shared" si="25"/>
        <v>0</v>
      </c>
      <c r="J65" s="149" t="s">
        <v>2</v>
      </c>
      <c r="K65" s="140"/>
      <c r="L65" s="166" t="s">
        <v>64</v>
      </c>
      <c r="M65" s="140">
        <f t="shared" si="26"/>
        <v>12483.022612380953</v>
      </c>
      <c r="N65" s="193">
        <f t="shared" si="27"/>
        <v>0</v>
      </c>
      <c r="O65" s="150">
        <f t="shared" si="28"/>
        <v>0</v>
      </c>
      <c r="X65" s="103" t="str">
        <f t="shared" si="30"/>
        <v xml:space="preserve">Unmetered Loads </v>
      </c>
      <c r="Y65" s="185">
        <f t="shared" si="31"/>
        <v>0</v>
      </c>
    </row>
    <row r="66" spans="2:25" x14ac:dyDescent="0.2">
      <c r="B66" s="149" t="str">
        <f>B53</f>
        <v>Embedded Distributors - Hydro One</v>
      </c>
      <c r="C66" s="140"/>
      <c r="D66" s="166" t="str">
        <f>D53</f>
        <v>kW</v>
      </c>
      <c r="E66" s="140">
        <f>E53</f>
        <v>0</v>
      </c>
      <c r="F66" s="193"/>
      <c r="G66" s="150">
        <f t="shared" si="25"/>
        <v>0</v>
      </c>
      <c r="J66" s="149" t="s">
        <v>232</v>
      </c>
      <c r="K66" s="140"/>
      <c r="L66" s="166" t="s">
        <v>65</v>
      </c>
      <c r="M66" s="140">
        <f t="shared" si="26"/>
        <v>0</v>
      </c>
      <c r="N66" s="193"/>
      <c r="O66" s="150">
        <f t="shared" si="28"/>
        <v>0</v>
      </c>
      <c r="X66" s="103" t="str">
        <f t="shared" si="30"/>
        <v>Embedded Distributors - Hydro One</v>
      </c>
      <c r="Y66" s="185">
        <f t="shared" si="31"/>
        <v>0</v>
      </c>
    </row>
    <row r="67" spans="2:25" x14ac:dyDescent="0.2">
      <c r="B67" s="144" t="s">
        <v>66</v>
      </c>
      <c r="C67" s="145"/>
      <c r="D67" s="151"/>
      <c r="E67" s="145">
        <f>SUM(E58:E66)</f>
        <v>368449324.5077244</v>
      </c>
      <c r="F67" s="154"/>
      <c r="G67" s="153">
        <f>SUM(G58:G66)</f>
        <v>0</v>
      </c>
      <c r="J67" s="144" t="s">
        <v>66</v>
      </c>
      <c r="K67" s="145"/>
      <c r="L67" s="151"/>
      <c r="M67" s="145">
        <v>43887404.8571916</v>
      </c>
      <c r="N67" s="154"/>
      <c r="O67" s="153">
        <f>SUM(O58:O66)</f>
        <v>0</v>
      </c>
      <c r="Q67" s="155">
        <f>O67+G67</f>
        <v>0</v>
      </c>
      <c r="X67" s="103" t="str">
        <f t="shared" si="30"/>
        <v>TOTAL</v>
      </c>
      <c r="Y67" s="185">
        <f t="shared" si="31"/>
        <v>0</v>
      </c>
    </row>
    <row r="68" spans="2:25" x14ac:dyDescent="0.2">
      <c r="Y68" s="185">
        <f>SUM(Y59:Y67)</f>
        <v>0</v>
      </c>
    </row>
    <row r="69" spans="2:25" x14ac:dyDescent="0.2">
      <c r="B69" s="163" t="s">
        <v>260</v>
      </c>
      <c r="C69" s="164"/>
      <c r="D69" s="168"/>
      <c r="E69" s="657">
        <f>H3</f>
        <v>2022</v>
      </c>
      <c r="F69" s="658"/>
      <c r="G69" s="659"/>
      <c r="J69" s="163" t="s">
        <v>75</v>
      </c>
      <c r="K69" s="164"/>
      <c r="L69" s="168"/>
      <c r="M69" s="657">
        <f>H3</f>
        <v>2022</v>
      </c>
      <c r="N69" s="658"/>
      <c r="O69" s="659"/>
    </row>
    <row r="70" spans="2:25" x14ac:dyDescent="0.2">
      <c r="B70" s="148" t="s">
        <v>70</v>
      </c>
      <c r="C70" s="162"/>
      <c r="D70" s="169"/>
      <c r="E70" s="660"/>
      <c r="F70" s="661"/>
      <c r="G70" s="662"/>
      <c r="J70" s="148" t="s">
        <v>70</v>
      </c>
      <c r="K70" s="162"/>
      <c r="L70" s="169"/>
      <c r="M70" s="660"/>
      <c r="N70" s="661"/>
      <c r="O70" s="662"/>
    </row>
    <row r="71" spans="2:25" ht="15" x14ac:dyDescent="0.25">
      <c r="B71" s="149" t="str">
        <f>B58</f>
        <v xml:space="preserve">Residential </v>
      </c>
      <c r="C71" s="140"/>
      <c r="D71" s="166" t="s">
        <v>64</v>
      </c>
      <c r="E71" s="140">
        <f>E58</f>
        <v>290530788.22402573</v>
      </c>
      <c r="F71" s="170">
        <f>0.003+0.0004</f>
        <v>3.4000000000000002E-3</v>
      </c>
      <c r="G71" s="150">
        <f>(E71*F71)</f>
        <v>987804.67996168754</v>
      </c>
      <c r="J71" s="149" t="s">
        <v>1</v>
      </c>
      <c r="K71" s="140"/>
      <c r="L71" s="166" t="s">
        <v>64</v>
      </c>
      <c r="M71" s="140">
        <f>M19</f>
        <v>4825149.1427090447</v>
      </c>
      <c r="N71" s="201">
        <f>0.003+0.0004</f>
        <v>3.4000000000000002E-3</v>
      </c>
      <c r="O71" s="150">
        <f>N71*M71</f>
        <v>16405.507085210753</v>
      </c>
      <c r="R71" s="204" t="s">
        <v>297</v>
      </c>
      <c r="S71" s="185">
        <f>-(O71+G71+G78+O78)</f>
        <v>-1007339.7700903494</v>
      </c>
      <c r="X71" s="102" t="s">
        <v>111</v>
      </c>
      <c r="Y71" s="185">
        <f>O71+G71</f>
        <v>1004210.1870468983</v>
      </c>
    </row>
    <row r="72" spans="2:25" ht="15" x14ac:dyDescent="0.25">
      <c r="B72" s="149" t="str">
        <f>B59</f>
        <v>General Service &lt; 50 kW</v>
      </c>
      <c r="C72" s="140"/>
      <c r="D72" s="166" t="s">
        <v>64</v>
      </c>
      <c r="E72" s="140">
        <f>E59</f>
        <v>76998070.682683632</v>
      </c>
      <c r="F72" s="201">
        <f>$F$71</f>
        <v>3.4000000000000002E-3</v>
      </c>
      <c r="G72" s="150">
        <f t="shared" ref="G72:G79" si="32">(E72*F72)</f>
        <v>261793.44032112436</v>
      </c>
      <c r="J72" s="149" t="s">
        <v>105</v>
      </c>
      <c r="K72" s="140"/>
      <c r="L72" s="166" t="s">
        <v>64</v>
      </c>
      <c r="M72" s="140">
        <f t="shared" ref="M72:M79" si="33">M20</f>
        <v>13645806.008728044</v>
      </c>
      <c r="N72" s="201">
        <f>0.003+0.0004</f>
        <v>3.4000000000000002E-3</v>
      </c>
      <c r="O72" s="150">
        <f t="shared" ref="O72:O79" si="34">N72*M72</f>
        <v>46395.740429675352</v>
      </c>
      <c r="R72" s="204" t="s">
        <v>298</v>
      </c>
      <c r="S72" s="185">
        <f>-(G72+O72)</f>
        <v>-308189.18075079971</v>
      </c>
      <c r="X72" s="103" t="str">
        <f>J72</f>
        <v>General Service &lt; 50 kW</v>
      </c>
      <c r="Y72" s="185">
        <f>O72+G72</f>
        <v>308189.18075079971</v>
      </c>
    </row>
    <row r="73" spans="2:25" ht="15" x14ac:dyDescent="0.25">
      <c r="B73" s="149" t="str">
        <f>B60</f>
        <v>General Service &gt; 50 to 4999 kW</v>
      </c>
      <c r="C73" s="140"/>
      <c r="D73" s="166" t="s">
        <v>64</v>
      </c>
      <c r="E73" s="140">
        <f>E21</f>
        <v>44069171.726720184</v>
      </c>
      <c r="F73" s="201">
        <f>$F$71</f>
        <v>3.4000000000000002E-3</v>
      </c>
      <c r="G73" s="150">
        <f t="shared" si="32"/>
        <v>149835.18387084865</v>
      </c>
      <c r="J73" s="149" t="s">
        <v>229</v>
      </c>
      <c r="K73" s="140"/>
      <c r="L73" s="166" t="s">
        <v>64</v>
      </c>
      <c r="M73" s="140">
        <f t="shared" si="33"/>
        <v>197867804.97222766</v>
      </c>
      <c r="N73" s="201">
        <f>0.003+0.0004</f>
        <v>3.4000000000000002E-3</v>
      </c>
      <c r="O73" s="150">
        <f t="shared" si="34"/>
        <v>672750.53690557415</v>
      </c>
      <c r="R73" s="204" t="s">
        <v>299</v>
      </c>
      <c r="S73" s="185">
        <f>-(G73+O73)</f>
        <v>-822585.72077642276</v>
      </c>
      <c r="X73" s="103" t="str">
        <f t="shared" ref="X73:X80" si="35">J73</f>
        <v>General Service &gt; 50 to 4999 kW</v>
      </c>
      <c r="Y73" s="185">
        <f t="shared" ref="Y73:Y80" si="36">O73+G73</f>
        <v>822585.72077642276</v>
      </c>
    </row>
    <row r="74" spans="2:25" ht="15" x14ac:dyDescent="0.25">
      <c r="B74" s="149" t="str">
        <f>B61</f>
        <v>General Service &gt; 1000 to 4999 kW</v>
      </c>
      <c r="C74" s="140"/>
      <c r="D74" s="166" t="s">
        <v>64</v>
      </c>
      <c r="E74" s="140">
        <f>E22+M22</f>
        <v>0</v>
      </c>
      <c r="F74" s="201"/>
      <c r="G74" s="150">
        <f t="shared" si="32"/>
        <v>0</v>
      </c>
      <c r="J74" s="149" t="s">
        <v>230</v>
      </c>
      <c r="K74" s="140"/>
      <c r="L74" s="166" t="s">
        <v>64</v>
      </c>
      <c r="M74" s="140">
        <f t="shared" si="33"/>
        <v>0</v>
      </c>
      <c r="N74" s="201"/>
      <c r="O74" s="150">
        <f t="shared" si="34"/>
        <v>0</v>
      </c>
      <c r="R74" s="204" t="s">
        <v>300</v>
      </c>
      <c r="S74" s="185">
        <f>-(O77+G77)</f>
        <v>-8304.0513548651361</v>
      </c>
      <c r="X74" s="103" t="str">
        <f t="shared" si="35"/>
        <v>General Service &gt; 1000 to 4999 kW</v>
      </c>
      <c r="Y74" s="185">
        <f t="shared" si="36"/>
        <v>0</v>
      </c>
    </row>
    <row r="75" spans="2:25" ht="15" x14ac:dyDescent="0.25">
      <c r="B75" s="149" t="str">
        <f>B62</f>
        <v>Large User</v>
      </c>
      <c r="C75" s="140"/>
      <c r="D75" s="166" t="s">
        <v>64</v>
      </c>
      <c r="E75" s="140">
        <f>E23+M23</f>
        <v>0</v>
      </c>
      <c r="F75" s="201"/>
      <c r="G75" s="150">
        <f t="shared" si="32"/>
        <v>0</v>
      </c>
      <c r="J75" s="149" t="s">
        <v>231</v>
      </c>
      <c r="K75" s="140"/>
      <c r="L75" s="166" t="s">
        <v>64</v>
      </c>
      <c r="M75" s="140">
        <f t="shared" si="33"/>
        <v>0</v>
      </c>
      <c r="N75" s="201"/>
      <c r="O75" s="150">
        <f t="shared" si="34"/>
        <v>0</v>
      </c>
      <c r="R75" s="204" t="s">
        <v>301</v>
      </c>
      <c r="S75" s="185">
        <f>-(G76+O76)</f>
        <v>-707.95352087606284</v>
      </c>
      <c r="X75" s="103" t="str">
        <f t="shared" si="35"/>
        <v>Large User</v>
      </c>
      <c r="Y75" s="185">
        <f t="shared" si="36"/>
        <v>0</v>
      </c>
    </row>
    <row r="76" spans="2:25" x14ac:dyDescent="0.2">
      <c r="B76" s="149" t="s">
        <v>113</v>
      </c>
      <c r="C76" s="140"/>
      <c r="D76" s="166" t="s">
        <v>64</v>
      </c>
      <c r="E76" s="140">
        <f>E24</f>
        <v>208221.62378707729</v>
      </c>
      <c r="F76" s="201">
        <f>$F$71</f>
        <v>3.4000000000000002E-3</v>
      </c>
      <c r="G76" s="150">
        <f t="shared" si="32"/>
        <v>707.95352087606284</v>
      </c>
      <c r="J76" s="149" t="s">
        <v>113</v>
      </c>
      <c r="K76" s="140"/>
      <c r="L76" s="166" t="s">
        <v>64</v>
      </c>
      <c r="M76" s="140">
        <f t="shared" si="33"/>
        <v>0</v>
      </c>
      <c r="N76" s="201">
        <f>0.003+0.0004</f>
        <v>3.4000000000000002E-3</v>
      </c>
      <c r="O76" s="150">
        <f t="shared" si="34"/>
        <v>0</v>
      </c>
      <c r="X76" s="103" t="str">
        <f t="shared" si="35"/>
        <v>Sentinel Lights</v>
      </c>
      <c r="Y76" s="185">
        <f t="shared" si="36"/>
        <v>707.95352087606284</v>
      </c>
    </row>
    <row r="77" spans="2:25" x14ac:dyDescent="0.2">
      <c r="B77" s="149" t="str">
        <f>B64</f>
        <v>Street Lights</v>
      </c>
      <c r="C77" s="140"/>
      <c r="D77" s="166" t="s">
        <v>64</v>
      </c>
      <c r="E77" s="140">
        <v>0</v>
      </c>
      <c r="F77" s="201">
        <f>$F$71</f>
        <v>3.4000000000000002E-3</v>
      </c>
      <c r="G77" s="150">
        <f t="shared" si="32"/>
        <v>0</v>
      </c>
      <c r="J77" s="149" t="s">
        <v>61</v>
      </c>
      <c r="K77" s="140"/>
      <c r="L77" s="166" t="s">
        <v>64</v>
      </c>
      <c r="M77" s="140">
        <f t="shared" si="33"/>
        <v>2442368.0455485694</v>
      </c>
      <c r="N77" s="201">
        <f>0.003+0.0004</f>
        <v>3.4000000000000002E-3</v>
      </c>
      <c r="O77" s="150">
        <f t="shared" si="34"/>
        <v>8304.0513548651361</v>
      </c>
      <c r="X77" s="103" t="str">
        <f t="shared" si="35"/>
        <v>Street Lights</v>
      </c>
      <c r="Y77" s="185">
        <f t="shared" si="36"/>
        <v>8304.0513548651361</v>
      </c>
    </row>
    <row r="78" spans="2:25" x14ac:dyDescent="0.2">
      <c r="B78" s="149" t="str">
        <f>B65</f>
        <v xml:space="preserve">Unmetered Loads </v>
      </c>
      <c r="C78" s="140"/>
      <c r="D78" s="166" t="s">
        <v>64</v>
      </c>
      <c r="E78" s="140">
        <f>E26</f>
        <v>920465.60101501562</v>
      </c>
      <c r="F78" s="201">
        <f>$F$71</f>
        <v>3.4000000000000002E-3</v>
      </c>
      <c r="G78" s="150">
        <f t="shared" si="32"/>
        <v>3129.5830434510535</v>
      </c>
      <c r="J78" s="149" t="s">
        <v>2</v>
      </c>
      <c r="K78" s="140"/>
      <c r="L78" s="166" t="s">
        <v>64</v>
      </c>
      <c r="M78" s="140">
        <f t="shared" si="33"/>
        <v>0</v>
      </c>
      <c r="N78" s="201">
        <f>0.003+0.0004</f>
        <v>3.4000000000000002E-3</v>
      </c>
      <c r="O78" s="150">
        <f t="shared" si="34"/>
        <v>0</v>
      </c>
      <c r="X78" s="103" t="str">
        <f t="shared" si="35"/>
        <v xml:space="preserve">Unmetered Loads </v>
      </c>
      <c r="Y78" s="185">
        <f t="shared" si="36"/>
        <v>3129.5830434510535</v>
      </c>
    </row>
    <row r="79" spans="2:25" x14ac:dyDescent="0.2">
      <c r="B79" s="149" t="str">
        <f>B66</f>
        <v>Embedded Distributors - Hydro One</v>
      </c>
      <c r="C79" s="140"/>
      <c r="D79" s="166" t="s">
        <v>64</v>
      </c>
      <c r="E79" s="140">
        <f>E27+M27</f>
        <v>0</v>
      </c>
      <c r="F79" s="201"/>
      <c r="G79" s="150">
        <f t="shared" si="32"/>
        <v>0</v>
      </c>
      <c r="J79" s="149" t="s">
        <v>232</v>
      </c>
      <c r="K79" s="140"/>
      <c r="L79" s="166" t="s">
        <v>64</v>
      </c>
      <c r="M79" s="140">
        <f t="shared" si="33"/>
        <v>0</v>
      </c>
      <c r="N79" s="201"/>
      <c r="O79" s="150">
        <f t="shared" si="34"/>
        <v>0</v>
      </c>
      <c r="X79" s="103" t="str">
        <f t="shared" si="35"/>
        <v>Embedded Distributors - Hydro One</v>
      </c>
      <c r="Y79" s="185">
        <f t="shared" si="36"/>
        <v>0</v>
      </c>
    </row>
    <row r="80" spans="2:25" x14ac:dyDescent="0.2">
      <c r="B80" s="144" t="s">
        <v>66</v>
      </c>
      <c r="C80" s="145"/>
      <c r="D80" s="151"/>
      <c r="E80" s="145">
        <f>SUM(E71:E79)</f>
        <v>412726717.85823166</v>
      </c>
      <c r="F80" s="154"/>
      <c r="G80" s="153">
        <f>SUM(G71:G79)</f>
        <v>1403270.8407179876</v>
      </c>
      <c r="J80" s="144" t="s">
        <v>66</v>
      </c>
      <c r="K80" s="145"/>
      <c r="L80" s="151"/>
      <c r="M80" s="145">
        <v>58815621.440367483</v>
      </c>
      <c r="N80" s="154"/>
      <c r="O80" s="153">
        <f>SUM(O71:O78)</f>
        <v>743855.83577532531</v>
      </c>
      <c r="Q80" s="155">
        <f>O80+G80</f>
        <v>2147126.6764933132</v>
      </c>
      <c r="X80" s="103" t="str">
        <f t="shared" si="35"/>
        <v>TOTAL</v>
      </c>
      <c r="Y80" s="185">
        <f t="shared" si="36"/>
        <v>2147126.6764933132</v>
      </c>
    </row>
    <row r="81" spans="2:25" x14ac:dyDescent="0.2">
      <c r="Y81" s="185"/>
    </row>
    <row r="82" spans="2:25" x14ac:dyDescent="0.2">
      <c r="B82" s="163" t="s">
        <v>76</v>
      </c>
      <c r="C82" s="164"/>
      <c r="D82" s="168"/>
      <c r="E82" s="657">
        <f>E69</f>
        <v>2022</v>
      </c>
      <c r="F82" s="658"/>
      <c r="G82" s="659"/>
      <c r="J82" s="163" t="s">
        <v>76</v>
      </c>
      <c r="K82" s="164"/>
      <c r="L82" s="168"/>
      <c r="M82" s="657">
        <f>M69</f>
        <v>2022</v>
      </c>
      <c r="N82" s="658"/>
      <c r="O82" s="659"/>
    </row>
    <row r="83" spans="2:25" x14ac:dyDescent="0.2">
      <c r="B83" s="148" t="s">
        <v>70</v>
      </c>
      <c r="C83" s="162"/>
      <c r="D83" s="169"/>
      <c r="E83" s="660"/>
      <c r="F83" s="661"/>
      <c r="G83" s="662"/>
      <c r="J83" s="148" t="s">
        <v>70</v>
      </c>
      <c r="K83" s="162"/>
      <c r="L83" s="169"/>
      <c r="M83" s="660"/>
      <c r="N83" s="661"/>
      <c r="O83" s="662"/>
    </row>
    <row r="84" spans="2:25" x14ac:dyDescent="0.2">
      <c r="B84" s="149" t="str">
        <f>B71</f>
        <v xml:space="preserve">Residential </v>
      </c>
      <c r="C84" s="140"/>
      <c r="D84" s="166" t="str">
        <f t="shared" ref="D84:D88" si="37">D71</f>
        <v>kWh</v>
      </c>
      <c r="E84" s="140">
        <f>E19</f>
        <v>290530788.22402573</v>
      </c>
      <c r="F84" s="171">
        <v>5.0000000000000001E-4</v>
      </c>
      <c r="G84" s="150">
        <f>(E84*F84)</f>
        <v>145265.39411201287</v>
      </c>
      <c r="J84" s="149" t="s">
        <v>1</v>
      </c>
      <c r="K84" s="140"/>
      <c r="L84" s="166" t="s">
        <v>64</v>
      </c>
      <c r="M84" s="140">
        <f>M19</f>
        <v>4825149.1427090447</v>
      </c>
      <c r="N84" s="200">
        <f>$F$84</f>
        <v>5.0000000000000001E-4</v>
      </c>
      <c r="O84" s="150">
        <f>N84*M84</f>
        <v>2412.5745713545225</v>
      </c>
      <c r="X84" s="102" t="s">
        <v>111</v>
      </c>
      <c r="Y84" s="185">
        <f>O84+G84</f>
        <v>147677.96868336739</v>
      </c>
    </row>
    <row r="85" spans="2:25" x14ac:dyDescent="0.2">
      <c r="B85" s="149" t="str">
        <f>B72</f>
        <v>General Service &lt; 50 kW</v>
      </c>
      <c r="C85" s="140"/>
      <c r="D85" s="166" t="str">
        <f t="shared" si="37"/>
        <v>kWh</v>
      </c>
      <c r="E85" s="140">
        <f t="shared" ref="E85:E92" si="38">E20</f>
        <v>76998070.682683632</v>
      </c>
      <c r="F85" s="200">
        <f>$F$84</f>
        <v>5.0000000000000001E-4</v>
      </c>
      <c r="G85" s="150">
        <f t="shared" ref="G85:G92" si="39">(E85*F85)</f>
        <v>38499.03534134182</v>
      </c>
      <c r="J85" s="149" t="s">
        <v>105</v>
      </c>
      <c r="K85" s="140"/>
      <c r="L85" s="166" t="s">
        <v>64</v>
      </c>
      <c r="M85" s="140">
        <f t="shared" ref="M85:M92" si="40">M20</f>
        <v>13645806.008728044</v>
      </c>
      <c r="N85" s="200">
        <f>$F$84</f>
        <v>5.0000000000000001E-4</v>
      </c>
      <c r="O85" s="150">
        <f t="shared" ref="O85:O92" si="41">N85*M85</f>
        <v>6822.9030043640223</v>
      </c>
      <c r="X85" s="103" t="str">
        <f>J85</f>
        <v>General Service &lt; 50 kW</v>
      </c>
      <c r="Y85" s="185">
        <f>O85+G85</f>
        <v>45321.938345705843</v>
      </c>
    </row>
    <row r="86" spans="2:25" x14ac:dyDescent="0.2">
      <c r="B86" s="149" t="str">
        <f>B73</f>
        <v>General Service &gt; 50 to 4999 kW</v>
      </c>
      <c r="C86" s="140"/>
      <c r="D86" s="166" t="str">
        <f t="shared" si="37"/>
        <v>kWh</v>
      </c>
      <c r="E86" s="140">
        <f t="shared" si="38"/>
        <v>44069171.726720184</v>
      </c>
      <c r="F86" s="200">
        <f>$F$84</f>
        <v>5.0000000000000001E-4</v>
      </c>
      <c r="G86" s="150">
        <f t="shared" si="39"/>
        <v>22034.585863360091</v>
      </c>
      <c r="J86" s="149" t="s">
        <v>229</v>
      </c>
      <c r="K86" s="140"/>
      <c r="L86" s="166" t="s">
        <v>64</v>
      </c>
      <c r="M86" s="140">
        <f t="shared" si="40"/>
        <v>197867804.97222766</v>
      </c>
      <c r="N86" s="200">
        <f>$F$84</f>
        <v>5.0000000000000001E-4</v>
      </c>
      <c r="O86" s="150">
        <f t="shared" si="41"/>
        <v>98933.902486113831</v>
      </c>
      <c r="X86" s="103" t="str">
        <f t="shared" ref="X86:X93" si="42">J86</f>
        <v>General Service &gt; 50 to 4999 kW</v>
      </c>
      <c r="Y86" s="185">
        <f t="shared" ref="Y86:Y92" si="43">O86+G86</f>
        <v>120968.48834947392</v>
      </c>
    </row>
    <row r="87" spans="2:25" x14ac:dyDescent="0.2">
      <c r="B87" s="149" t="str">
        <f>B74</f>
        <v>General Service &gt; 1000 to 4999 kW</v>
      </c>
      <c r="C87" s="140"/>
      <c r="D87" s="166" t="str">
        <f t="shared" si="37"/>
        <v>kWh</v>
      </c>
      <c r="E87" s="140">
        <f t="shared" si="38"/>
        <v>0</v>
      </c>
      <c r="F87" s="200"/>
      <c r="G87" s="150">
        <f t="shared" si="39"/>
        <v>0</v>
      </c>
      <c r="J87" s="149" t="s">
        <v>230</v>
      </c>
      <c r="K87" s="140"/>
      <c r="L87" s="166" t="s">
        <v>64</v>
      </c>
      <c r="M87" s="140">
        <f t="shared" si="40"/>
        <v>0</v>
      </c>
      <c r="N87" s="200"/>
      <c r="O87" s="150">
        <f t="shared" si="41"/>
        <v>0</v>
      </c>
      <c r="X87" s="103" t="str">
        <f t="shared" si="42"/>
        <v>General Service &gt; 1000 to 4999 kW</v>
      </c>
      <c r="Y87" s="185">
        <f t="shared" si="43"/>
        <v>0</v>
      </c>
    </row>
    <row r="88" spans="2:25" x14ac:dyDescent="0.2">
      <c r="B88" s="149" t="str">
        <f>B75</f>
        <v>Large User</v>
      </c>
      <c r="C88" s="140"/>
      <c r="D88" s="166" t="str">
        <f t="shared" si="37"/>
        <v>kWh</v>
      </c>
      <c r="E88" s="140">
        <f t="shared" si="38"/>
        <v>0</v>
      </c>
      <c r="F88" s="200"/>
      <c r="G88" s="150">
        <f t="shared" si="39"/>
        <v>0</v>
      </c>
      <c r="J88" s="149" t="s">
        <v>231</v>
      </c>
      <c r="K88" s="140"/>
      <c r="L88" s="166" t="s">
        <v>64</v>
      </c>
      <c r="M88" s="140">
        <f t="shared" si="40"/>
        <v>0</v>
      </c>
      <c r="N88" s="200"/>
      <c r="O88" s="150">
        <f t="shared" si="41"/>
        <v>0</v>
      </c>
      <c r="X88" s="103" t="str">
        <f t="shared" si="42"/>
        <v>Large User</v>
      </c>
      <c r="Y88" s="185">
        <f t="shared" si="43"/>
        <v>0</v>
      </c>
    </row>
    <row r="89" spans="2:25" x14ac:dyDescent="0.2">
      <c r="B89" s="149" t="s">
        <v>113</v>
      </c>
      <c r="C89" s="140"/>
      <c r="D89" s="166" t="s">
        <v>64</v>
      </c>
      <c r="E89" s="140">
        <f t="shared" si="38"/>
        <v>208221.62378707729</v>
      </c>
      <c r="F89" s="200">
        <f>$F$84</f>
        <v>5.0000000000000001E-4</v>
      </c>
      <c r="G89" s="150">
        <f t="shared" si="39"/>
        <v>104.11081189353865</v>
      </c>
      <c r="J89" s="149" t="s">
        <v>113</v>
      </c>
      <c r="K89" s="140"/>
      <c r="L89" s="166" t="s">
        <v>64</v>
      </c>
      <c r="M89" s="140">
        <f t="shared" si="40"/>
        <v>0</v>
      </c>
      <c r="N89" s="200">
        <f>$F$84</f>
        <v>5.0000000000000001E-4</v>
      </c>
      <c r="O89" s="150">
        <f t="shared" si="41"/>
        <v>0</v>
      </c>
      <c r="X89" s="103" t="str">
        <f t="shared" si="42"/>
        <v>Sentinel Lights</v>
      </c>
      <c r="Y89" s="185">
        <f t="shared" si="43"/>
        <v>104.11081189353865</v>
      </c>
    </row>
    <row r="90" spans="2:25" x14ac:dyDescent="0.2">
      <c r="B90" s="149" t="str">
        <f t="shared" ref="B90:B92" si="44">B77</f>
        <v>Street Lights</v>
      </c>
      <c r="C90" s="140"/>
      <c r="D90" s="166" t="str">
        <f t="shared" ref="D90:D92" si="45">D77</f>
        <v>kWh</v>
      </c>
      <c r="E90" s="140">
        <f t="shared" si="38"/>
        <v>135952.16893943076</v>
      </c>
      <c r="F90" s="200">
        <f>$F$84</f>
        <v>5.0000000000000001E-4</v>
      </c>
      <c r="G90" s="150">
        <f t="shared" si="39"/>
        <v>67.976084469715389</v>
      </c>
      <c r="J90" s="149" t="s">
        <v>61</v>
      </c>
      <c r="K90" s="140"/>
      <c r="L90" s="166" t="s">
        <v>64</v>
      </c>
      <c r="M90" s="140">
        <f t="shared" si="40"/>
        <v>2442368.0455485694</v>
      </c>
      <c r="N90" s="200">
        <f>$F$84</f>
        <v>5.0000000000000001E-4</v>
      </c>
      <c r="O90" s="150">
        <f t="shared" si="41"/>
        <v>1221.1840227742848</v>
      </c>
      <c r="X90" s="103" t="str">
        <f t="shared" si="42"/>
        <v>Street Lights</v>
      </c>
      <c r="Y90" s="185">
        <f t="shared" si="43"/>
        <v>1289.1601072440003</v>
      </c>
    </row>
    <row r="91" spans="2:25" x14ac:dyDescent="0.2">
      <c r="B91" s="149" t="str">
        <f t="shared" si="44"/>
        <v xml:space="preserve">Unmetered Loads </v>
      </c>
      <c r="C91" s="140"/>
      <c r="D91" s="166" t="str">
        <f t="shared" si="45"/>
        <v>kWh</v>
      </c>
      <c r="E91" s="140">
        <f t="shared" si="38"/>
        <v>920465.60101501562</v>
      </c>
      <c r="F91" s="200">
        <f>$F$84</f>
        <v>5.0000000000000001E-4</v>
      </c>
      <c r="G91" s="150">
        <f t="shared" si="39"/>
        <v>460.23280050750782</v>
      </c>
      <c r="J91" s="149" t="s">
        <v>2</v>
      </c>
      <c r="K91" s="140"/>
      <c r="L91" s="166" t="s">
        <v>64</v>
      </c>
      <c r="M91" s="140">
        <f t="shared" si="40"/>
        <v>0</v>
      </c>
      <c r="N91" s="200">
        <f>$F$84</f>
        <v>5.0000000000000001E-4</v>
      </c>
      <c r="O91" s="150">
        <f t="shared" si="41"/>
        <v>0</v>
      </c>
      <c r="X91" s="103" t="str">
        <f t="shared" si="42"/>
        <v xml:space="preserve">Unmetered Loads </v>
      </c>
      <c r="Y91" s="185">
        <f t="shared" si="43"/>
        <v>460.23280050750782</v>
      </c>
    </row>
    <row r="92" spans="2:25" x14ac:dyDescent="0.2">
      <c r="B92" s="149" t="str">
        <f t="shared" si="44"/>
        <v>Embedded Distributors - Hydro One</v>
      </c>
      <c r="C92" s="140"/>
      <c r="D92" s="166" t="str">
        <f t="shared" si="45"/>
        <v>kWh</v>
      </c>
      <c r="E92" s="140">
        <f t="shared" si="38"/>
        <v>0</v>
      </c>
      <c r="F92" s="200"/>
      <c r="G92" s="150">
        <f t="shared" si="39"/>
        <v>0</v>
      </c>
      <c r="J92" s="149" t="s">
        <v>232</v>
      </c>
      <c r="K92" s="140"/>
      <c r="L92" s="166" t="s">
        <v>64</v>
      </c>
      <c r="M92" s="140">
        <f t="shared" si="40"/>
        <v>0</v>
      </c>
      <c r="N92" s="200"/>
      <c r="O92" s="150">
        <f t="shared" si="41"/>
        <v>0</v>
      </c>
      <c r="X92" s="103" t="str">
        <f t="shared" si="42"/>
        <v>Embedded Distributors - Hydro One</v>
      </c>
      <c r="Y92" s="185">
        <f t="shared" si="43"/>
        <v>0</v>
      </c>
    </row>
    <row r="93" spans="2:25" x14ac:dyDescent="0.2">
      <c r="B93" s="144" t="s">
        <v>66</v>
      </c>
      <c r="C93" s="145"/>
      <c r="D93" s="151"/>
      <c r="E93" s="145">
        <f>SUM(E84:E92)</f>
        <v>412862670.02717108</v>
      </c>
      <c r="F93" s="154"/>
      <c r="G93" s="153">
        <f>SUM(G84:G92)</f>
        <v>206431.33501358551</v>
      </c>
      <c r="J93" s="144" t="s">
        <v>66</v>
      </c>
      <c r="K93" s="145"/>
      <c r="L93" s="151"/>
      <c r="M93" s="145">
        <v>47025522.919936225</v>
      </c>
      <c r="N93" s="154"/>
      <c r="O93" s="153">
        <f>SUM(O84:O91)</f>
        <v>109390.56408460665</v>
      </c>
      <c r="Q93" s="155">
        <f>O93+G93</f>
        <v>315821.89909819217</v>
      </c>
      <c r="X93" s="103" t="str">
        <f t="shared" si="42"/>
        <v>TOTAL</v>
      </c>
      <c r="Y93" s="185">
        <f>SUM(Y84:Y92)</f>
        <v>315821.89909819217</v>
      </c>
    </row>
    <row r="94" spans="2:25" x14ac:dyDescent="0.2">
      <c r="Y94" s="185"/>
    </row>
    <row r="95" spans="2:25" x14ac:dyDescent="0.2">
      <c r="B95" s="163" t="s">
        <v>261</v>
      </c>
      <c r="C95" s="164"/>
      <c r="D95" s="168"/>
      <c r="E95" s="657">
        <f>E82</f>
        <v>2022</v>
      </c>
      <c r="F95" s="658"/>
      <c r="G95" s="659"/>
      <c r="J95" s="163" t="s">
        <v>234</v>
      </c>
      <c r="K95" s="164"/>
      <c r="L95" s="168"/>
      <c r="M95" s="657">
        <f>M82</f>
        <v>2022</v>
      </c>
      <c r="N95" s="658"/>
      <c r="O95" s="659"/>
    </row>
    <row r="96" spans="2:25" x14ac:dyDescent="0.2">
      <c r="B96" s="148" t="s">
        <v>70</v>
      </c>
      <c r="C96" s="162"/>
      <c r="D96" s="169"/>
      <c r="E96" s="660"/>
      <c r="F96" s="661"/>
      <c r="G96" s="662"/>
      <c r="J96" s="148" t="s">
        <v>70</v>
      </c>
      <c r="K96" s="162"/>
      <c r="L96" s="169"/>
      <c r="M96" s="660"/>
      <c r="N96" s="661"/>
      <c r="O96" s="662"/>
    </row>
    <row r="97" spans="2:25" x14ac:dyDescent="0.2">
      <c r="B97" s="149" t="str">
        <f>B84</f>
        <v xml:space="preserve">Residential </v>
      </c>
      <c r="C97" s="140"/>
      <c r="D97" s="166" t="str">
        <f>D84</f>
        <v>kWh</v>
      </c>
      <c r="E97" s="140">
        <f>C19</f>
        <v>277197584.4137255</v>
      </c>
      <c r="F97" s="171">
        <f>-0.0004</f>
        <v>-4.0000000000000002E-4</v>
      </c>
      <c r="G97" s="150">
        <f>(E97*F97)</f>
        <v>-110879.03376549021</v>
      </c>
      <c r="J97" s="149" t="s">
        <v>1</v>
      </c>
      <c r="K97" s="140"/>
      <c r="L97" s="166" t="s">
        <v>64</v>
      </c>
      <c r="M97" s="140">
        <f>K19</f>
        <v>4603710.6599647403</v>
      </c>
      <c r="N97" s="200">
        <f>F97</f>
        <v>-4.0000000000000002E-4</v>
      </c>
      <c r="O97" s="150">
        <f>N97*M97</f>
        <v>-1841.4842639858962</v>
      </c>
      <c r="X97" s="102" t="s">
        <v>111</v>
      </c>
      <c r="Y97" s="185">
        <f>O97+G97</f>
        <v>-112720.51802947611</v>
      </c>
    </row>
    <row r="98" spans="2:25" x14ac:dyDescent="0.2">
      <c r="B98" s="149" t="str">
        <f>B85</f>
        <v>General Service &lt; 50 kW</v>
      </c>
      <c r="C98" s="140"/>
      <c r="D98" s="166" t="str">
        <f>D85</f>
        <v>kWh</v>
      </c>
      <c r="E98" s="140">
        <f>C20</f>
        <v>73464431.526270047</v>
      </c>
      <c r="F98" s="200">
        <f t="shared" ref="F98:F105" si="46">$F$97</f>
        <v>-4.0000000000000002E-4</v>
      </c>
      <c r="G98" s="150">
        <f t="shared" ref="G98:G105" si="47">(E98*F98)</f>
        <v>-29385.772610508022</v>
      </c>
      <c r="J98" s="149" t="s">
        <v>105</v>
      </c>
      <c r="K98" s="140"/>
      <c r="L98" s="166" t="s">
        <v>64</v>
      </c>
      <c r="M98" s="140">
        <f>K20</f>
        <v>13019564.935338274</v>
      </c>
      <c r="N98" s="200">
        <f t="shared" ref="N98:N105" si="48">F98</f>
        <v>-4.0000000000000002E-4</v>
      </c>
      <c r="O98" s="150">
        <f t="shared" ref="O98:O105" si="49">N98*M98</f>
        <v>-5207.8259741353095</v>
      </c>
      <c r="X98" s="103" t="str">
        <f>J98</f>
        <v>General Service &lt; 50 kW</v>
      </c>
      <c r="Y98" s="185">
        <f>O98+G98</f>
        <v>-34593.598584643332</v>
      </c>
    </row>
    <row r="99" spans="2:25" x14ac:dyDescent="0.2">
      <c r="B99" s="149" t="str">
        <f>B86</f>
        <v>General Service &gt; 50 to 4999 kW</v>
      </c>
      <c r="C99" s="140"/>
      <c r="D99" s="166" t="s">
        <v>65</v>
      </c>
      <c r="E99" s="140">
        <v>0</v>
      </c>
      <c r="F99" s="200">
        <f t="shared" si="46"/>
        <v>-4.0000000000000002E-4</v>
      </c>
      <c r="G99" s="150">
        <f t="shared" si="47"/>
        <v>0</v>
      </c>
      <c r="J99" s="149" t="s">
        <v>229</v>
      </c>
      <c r="K99" s="140"/>
      <c r="L99" s="166" t="s">
        <v>65</v>
      </c>
      <c r="M99" s="140">
        <f>D7</f>
        <v>570894.43770666083</v>
      </c>
      <c r="N99" s="200">
        <f t="shared" si="48"/>
        <v>-4.0000000000000002E-4</v>
      </c>
      <c r="O99" s="150">
        <f t="shared" si="49"/>
        <v>-228.35777508266435</v>
      </c>
      <c r="X99" s="103" t="str">
        <f t="shared" ref="X99:X106" si="50">J99</f>
        <v>General Service &gt; 50 to 4999 kW</v>
      </c>
      <c r="Y99" s="185">
        <f t="shared" ref="Y99:Y105" si="51">O99+G99</f>
        <v>-228.35777508266435</v>
      </c>
    </row>
    <row r="100" spans="2:25" x14ac:dyDescent="0.2">
      <c r="B100" s="149" t="str">
        <f>B87</f>
        <v>General Service &gt; 1000 to 4999 kW</v>
      </c>
      <c r="C100" s="140"/>
      <c r="D100" s="166" t="str">
        <f>D87</f>
        <v>kWh</v>
      </c>
      <c r="E100" s="140">
        <f>E87</f>
        <v>0</v>
      </c>
      <c r="F100" s="200">
        <f t="shared" si="46"/>
        <v>-4.0000000000000002E-4</v>
      </c>
      <c r="G100" s="150">
        <f t="shared" si="47"/>
        <v>0</v>
      </c>
      <c r="J100" s="149" t="s">
        <v>230</v>
      </c>
      <c r="K100" s="140"/>
      <c r="L100" s="166" t="s">
        <v>64</v>
      </c>
      <c r="M100" s="140">
        <v>0</v>
      </c>
      <c r="N100" s="200">
        <f t="shared" si="48"/>
        <v>-4.0000000000000002E-4</v>
      </c>
      <c r="O100" s="150">
        <f t="shared" si="49"/>
        <v>0</v>
      </c>
      <c r="X100" s="103" t="str">
        <f t="shared" si="50"/>
        <v>General Service &gt; 1000 to 4999 kW</v>
      </c>
      <c r="Y100" s="185">
        <f t="shared" si="51"/>
        <v>0</v>
      </c>
    </row>
    <row r="101" spans="2:25" x14ac:dyDescent="0.2">
      <c r="B101" s="149" t="str">
        <f>B88</f>
        <v>Large User</v>
      </c>
      <c r="C101" s="140"/>
      <c r="D101" s="166" t="str">
        <f>D88</f>
        <v>kWh</v>
      </c>
      <c r="E101" s="140">
        <f>E88</f>
        <v>0</v>
      </c>
      <c r="F101" s="200">
        <f t="shared" si="46"/>
        <v>-4.0000000000000002E-4</v>
      </c>
      <c r="G101" s="150">
        <f t="shared" si="47"/>
        <v>0</v>
      </c>
      <c r="J101" s="149" t="s">
        <v>231</v>
      </c>
      <c r="K101" s="140"/>
      <c r="L101" s="166" t="s">
        <v>64</v>
      </c>
      <c r="M101" s="140">
        <v>0</v>
      </c>
      <c r="N101" s="200">
        <f t="shared" si="48"/>
        <v>-4.0000000000000002E-4</v>
      </c>
      <c r="O101" s="150">
        <f t="shared" si="49"/>
        <v>0</v>
      </c>
      <c r="X101" s="103" t="str">
        <f t="shared" si="50"/>
        <v>Large User</v>
      </c>
      <c r="Y101" s="185">
        <f t="shared" si="51"/>
        <v>0</v>
      </c>
    </row>
    <row r="102" spans="2:25" x14ac:dyDescent="0.2">
      <c r="B102" s="149" t="s">
        <v>113</v>
      </c>
      <c r="C102" s="140"/>
      <c r="D102" s="166" t="s">
        <v>65</v>
      </c>
      <c r="E102" s="140">
        <v>0</v>
      </c>
      <c r="F102" s="200">
        <f t="shared" si="46"/>
        <v>-4.0000000000000002E-4</v>
      </c>
      <c r="G102" s="150">
        <f t="shared" si="47"/>
        <v>0</v>
      </c>
      <c r="J102" s="149" t="s">
        <v>113</v>
      </c>
      <c r="K102" s="140"/>
      <c r="L102" s="166" t="s">
        <v>65</v>
      </c>
      <c r="M102" s="140">
        <f>D10</f>
        <v>580.3420126565635</v>
      </c>
      <c r="N102" s="200">
        <f t="shared" si="48"/>
        <v>-4.0000000000000002E-4</v>
      </c>
      <c r="O102" s="150">
        <f t="shared" si="49"/>
        <v>-0.23213680506262541</v>
      </c>
      <c r="X102" s="103" t="str">
        <f t="shared" si="50"/>
        <v>Sentinel Lights</v>
      </c>
      <c r="Y102" s="185">
        <f t="shared" si="51"/>
        <v>-0.23213680506262541</v>
      </c>
    </row>
    <row r="103" spans="2:25" x14ac:dyDescent="0.2">
      <c r="B103" s="149" t="str">
        <f t="shared" ref="B103:B105" si="52">B90</f>
        <v>Street Lights</v>
      </c>
      <c r="C103" s="140"/>
      <c r="D103" s="166" t="s">
        <v>65</v>
      </c>
      <c r="E103" s="140">
        <v>0</v>
      </c>
      <c r="F103" s="200">
        <f t="shared" si="46"/>
        <v>-4.0000000000000002E-4</v>
      </c>
      <c r="G103" s="150">
        <f t="shared" si="47"/>
        <v>0</v>
      </c>
      <c r="J103" s="149" t="s">
        <v>61</v>
      </c>
      <c r="K103" s="140"/>
      <c r="L103" s="166" t="s">
        <v>65</v>
      </c>
      <c r="M103" s="140">
        <f>D11</f>
        <v>7200.0649104265394</v>
      </c>
      <c r="N103" s="200">
        <f t="shared" si="48"/>
        <v>-4.0000000000000002E-4</v>
      </c>
      <c r="O103" s="150">
        <f t="shared" si="49"/>
        <v>-2.8800259641706161</v>
      </c>
      <c r="X103" s="103" t="str">
        <f t="shared" si="50"/>
        <v>Street Lights</v>
      </c>
      <c r="Y103" s="185">
        <f t="shared" si="51"/>
        <v>-2.8800259641706161</v>
      </c>
    </row>
    <row r="104" spans="2:25" x14ac:dyDescent="0.2">
      <c r="B104" s="149" t="str">
        <f t="shared" si="52"/>
        <v xml:space="preserve">Unmetered Loads </v>
      </c>
      <c r="C104" s="140"/>
      <c r="D104" s="166" t="str">
        <f>D91</f>
        <v>kWh</v>
      </c>
      <c r="E104" s="140">
        <f>C26</f>
        <v>878223.07128615165</v>
      </c>
      <c r="F104" s="200">
        <f t="shared" si="46"/>
        <v>-4.0000000000000002E-4</v>
      </c>
      <c r="G104" s="150">
        <f t="shared" si="47"/>
        <v>-351.28922851446066</v>
      </c>
      <c r="J104" s="149" t="s">
        <v>2</v>
      </c>
      <c r="K104" s="140"/>
      <c r="L104" s="166" t="s">
        <v>64</v>
      </c>
      <c r="M104" s="140">
        <f>K26</f>
        <v>0</v>
      </c>
      <c r="N104" s="200">
        <f t="shared" si="48"/>
        <v>-4.0000000000000002E-4</v>
      </c>
      <c r="O104" s="150">
        <f t="shared" si="49"/>
        <v>0</v>
      </c>
      <c r="X104" s="103" t="str">
        <f t="shared" si="50"/>
        <v xml:space="preserve">Unmetered Loads </v>
      </c>
      <c r="Y104" s="185">
        <f t="shared" si="51"/>
        <v>-351.28922851446066</v>
      </c>
    </row>
    <row r="105" spans="2:25" x14ac:dyDescent="0.2">
      <c r="B105" s="149" t="str">
        <f t="shared" si="52"/>
        <v>Embedded Distributors - Hydro One</v>
      </c>
      <c r="C105" s="140"/>
      <c r="D105" s="166" t="str">
        <f>D92</f>
        <v>kWh</v>
      </c>
      <c r="E105" s="140">
        <f>E92</f>
        <v>0</v>
      </c>
      <c r="F105" s="200">
        <f t="shared" si="46"/>
        <v>-4.0000000000000002E-4</v>
      </c>
      <c r="G105" s="150">
        <f t="shared" si="47"/>
        <v>0</v>
      </c>
      <c r="J105" s="149" t="s">
        <v>232</v>
      </c>
      <c r="K105" s="140"/>
      <c r="L105" s="166" t="s">
        <v>64</v>
      </c>
      <c r="M105" s="140">
        <v>0</v>
      </c>
      <c r="N105" s="200">
        <f t="shared" si="48"/>
        <v>-4.0000000000000002E-4</v>
      </c>
      <c r="O105" s="150">
        <f t="shared" si="49"/>
        <v>0</v>
      </c>
      <c r="X105" s="103" t="str">
        <f t="shared" si="50"/>
        <v>Embedded Distributors - Hydro One</v>
      </c>
      <c r="Y105" s="185">
        <f t="shared" si="51"/>
        <v>0</v>
      </c>
    </row>
    <row r="106" spans="2:25" x14ac:dyDescent="0.2">
      <c r="B106" s="144" t="s">
        <v>66</v>
      </c>
      <c r="C106" s="145"/>
      <c r="D106" s="151"/>
      <c r="E106" s="145">
        <f>SUM(E97:E105)</f>
        <v>351540239.01128167</v>
      </c>
      <c r="F106" s="154"/>
      <c r="G106" s="153">
        <f>SUM(G97:G105)</f>
        <v>-140616.09560451269</v>
      </c>
      <c r="J106" s="144" t="s">
        <v>66</v>
      </c>
      <c r="K106" s="145"/>
      <c r="L106" s="151"/>
      <c r="M106" s="145">
        <f>SUM(M97:M105)</f>
        <v>18201950.439932756</v>
      </c>
      <c r="N106" s="154"/>
      <c r="O106" s="153">
        <f>SUM(O97:O105)</f>
        <v>-7280.7801759731028</v>
      </c>
      <c r="Q106" s="155">
        <f>O106+G106</f>
        <v>-147896.8757804858</v>
      </c>
      <c r="X106" s="103" t="str">
        <f t="shared" si="50"/>
        <v>TOTAL</v>
      </c>
      <c r="Y106" s="185">
        <f>SUM(Y97:Y105)</f>
        <v>-147896.8757804858</v>
      </c>
    </row>
    <row r="107" spans="2:25" x14ac:dyDescent="0.2">
      <c r="B107" s="156"/>
      <c r="C107" s="157"/>
      <c r="D107" s="158"/>
      <c r="E107" s="157"/>
      <c r="F107" s="159"/>
      <c r="G107" s="155"/>
      <c r="Y107" s="185"/>
    </row>
    <row r="108" spans="2:25" x14ac:dyDescent="0.2">
      <c r="B108" s="163" t="s">
        <v>137</v>
      </c>
      <c r="C108" s="164"/>
      <c r="D108" s="165"/>
      <c r="E108" s="164"/>
      <c r="F108" s="667"/>
      <c r="G108" s="668"/>
    </row>
    <row r="109" spans="2:25" x14ac:dyDescent="0.2">
      <c r="B109" s="148" t="s">
        <v>70</v>
      </c>
      <c r="C109" s="162" t="s">
        <v>138</v>
      </c>
      <c r="D109" s="660">
        <f>E95</f>
        <v>2022</v>
      </c>
      <c r="E109" s="662"/>
    </row>
    <row r="110" spans="2:25" x14ac:dyDescent="0.2">
      <c r="B110" s="149" t="str">
        <f>B97</f>
        <v xml:space="preserve">Residential </v>
      </c>
      <c r="C110" s="140">
        <f>'Rate Class Customer Model'!B15</f>
        <v>30236.906716667905</v>
      </c>
      <c r="D110" s="171">
        <v>0.43</v>
      </c>
      <c r="E110" s="150">
        <f>(C110*D110*12)</f>
        <v>156022.43865800637</v>
      </c>
    </row>
    <row r="111" spans="2:25" x14ac:dyDescent="0.2">
      <c r="B111" s="149" t="str">
        <f>B98</f>
        <v>General Service &lt; 50 kW</v>
      </c>
      <c r="C111" s="140">
        <f>'Rate Class Customer Model'!C15</f>
        <v>3396.8127786141727</v>
      </c>
      <c r="D111" s="171">
        <v>0.43</v>
      </c>
      <c r="E111" s="150">
        <f t="shared" ref="E111:E118" si="53">(C111*D111*12)</f>
        <v>17527.553937649132</v>
      </c>
    </row>
    <row r="112" spans="2:25" x14ac:dyDescent="0.2">
      <c r="B112" s="149" t="str">
        <f>B99</f>
        <v>General Service &gt; 50 to 4999 kW</v>
      </c>
      <c r="C112" s="140">
        <f>'Rate Class Customer Model'!D15</f>
        <v>348.35469751603625</v>
      </c>
      <c r="D112" s="171">
        <v>0</v>
      </c>
      <c r="E112" s="150">
        <f t="shared" si="53"/>
        <v>0</v>
      </c>
    </row>
    <row r="113" spans="2:25" x14ac:dyDescent="0.2">
      <c r="B113" s="149" t="str">
        <f>B100</f>
        <v>General Service &gt; 1000 to 4999 kW</v>
      </c>
      <c r="C113" s="140">
        <v>0</v>
      </c>
      <c r="D113" s="171">
        <v>0</v>
      </c>
      <c r="E113" s="150">
        <f t="shared" si="53"/>
        <v>0</v>
      </c>
      <c r="X113" s="102" t="s">
        <v>111</v>
      </c>
      <c r="Y113" s="185">
        <f>Y97+Y84+Y71+Y58+Y45+Y32+Y19+E110</f>
        <v>34193389.117083602</v>
      </c>
    </row>
    <row r="114" spans="2:25" x14ac:dyDescent="0.2">
      <c r="B114" s="149" t="str">
        <f>B101</f>
        <v>Large User</v>
      </c>
      <c r="C114" s="140">
        <v>0</v>
      </c>
      <c r="D114" s="171"/>
      <c r="E114" s="150">
        <f t="shared" si="53"/>
        <v>0</v>
      </c>
      <c r="X114" s="103" t="str">
        <f>X98</f>
        <v>General Service &lt; 50 kW</v>
      </c>
      <c r="Y114" s="185">
        <f>Y98+Y85+Y72+Y59+Y46+Y33+Y20+E111</f>
        <v>10396823.26586419</v>
      </c>
    </row>
    <row r="115" spans="2:25" x14ac:dyDescent="0.2">
      <c r="B115" s="149" t="s">
        <v>113</v>
      </c>
      <c r="C115" s="140">
        <v>0</v>
      </c>
      <c r="D115" s="171"/>
      <c r="E115" s="150">
        <f t="shared" si="53"/>
        <v>0</v>
      </c>
      <c r="X115" s="103" t="str">
        <f t="shared" ref="X115:X122" si="54">X99</f>
        <v>General Service &gt; 50 to 4999 kW</v>
      </c>
      <c r="Y115" s="185">
        <f>Y99+Y86+Y73+Y60+Y47+Y34+Y21</f>
        <v>27556955.585482486</v>
      </c>
    </row>
    <row r="116" spans="2:25" x14ac:dyDescent="0.2">
      <c r="B116" s="149" t="str">
        <f t="shared" ref="B116:B118" si="55">B103</f>
        <v>Street Lights</v>
      </c>
      <c r="C116" s="140">
        <v>0</v>
      </c>
      <c r="D116" s="171"/>
      <c r="E116" s="150">
        <f t="shared" si="53"/>
        <v>0</v>
      </c>
      <c r="X116" s="103" t="str">
        <f t="shared" si="54"/>
        <v>General Service &gt; 1000 to 4999 kW</v>
      </c>
      <c r="Y116" s="185">
        <f t="shared" ref="Y116:Y118" si="56">Y100+Y87+Y74+Y61+Y48+Y35+Y22</f>
        <v>0</v>
      </c>
    </row>
    <row r="117" spans="2:25" x14ac:dyDescent="0.2">
      <c r="B117" s="149" t="str">
        <f t="shared" si="55"/>
        <v xml:space="preserve">Unmetered Loads </v>
      </c>
      <c r="C117" s="140">
        <v>0</v>
      </c>
      <c r="D117" s="171"/>
      <c r="E117" s="150">
        <f t="shared" si="53"/>
        <v>0</v>
      </c>
      <c r="X117" s="103" t="str">
        <f t="shared" si="54"/>
        <v>Large User</v>
      </c>
      <c r="Y117" s="185">
        <f t="shared" si="56"/>
        <v>0</v>
      </c>
    </row>
    <row r="118" spans="2:25" x14ac:dyDescent="0.2">
      <c r="B118" s="149" t="str">
        <f t="shared" si="55"/>
        <v>Embedded Distributors - Hydro One</v>
      </c>
      <c r="C118" s="140">
        <v>0</v>
      </c>
      <c r="D118" s="171"/>
      <c r="E118" s="150">
        <f t="shared" si="53"/>
        <v>0</v>
      </c>
      <c r="X118" s="103" t="str">
        <f t="shared" si="54"/>
        <v>Sentinel Lights</v>
      </c>
      <c r="Y118" s="185">
        <f t="shared" si="56"/>
        <v>23729.795842910065</v>
      </c>
    </row>
    <row r="119" spans="2:25" x14ac:dyDescent="0.2">
      <c r="B119" s="144" t="s">
        <v>66</v>
      </c>
      <c r="C119" s="145"/>
      <c r="D119" s="154"/>
      <c r="E119" s="153">
        <f>SUM(E110:E118)</f>
        <v>173549.99259565549</v>
      </c>
      <c r="X119" s="103" t="str">
        <f t="shared" si="54"/>
        <v>Street Lights</v>
      </c>
      <c r="Y119" s="185">
        <f>Y103+Y90+Y77+Y64+Y51+Y38+Y25</f>
        <v>290856.80594004912</v>
      </c>
    </row>
    <row r="120" spans="2:25" x14ac:dyDescent="0.2">
      <c r="B120" s="156"/>
      <c r="C120" s="157"/>
      <c r="D120" s="158"/>
      <c r="E120" s="157"/>
      <c r="F120" s="159"/>
      <c r="G120" s="155"/>
      <c r="X120" s="103" t="str">
        <f t="shared" si="54"/>
        <v xml:space="preserve">Unmetered Loads </v>
      </c>
      <c r="Y120" s="185">
        <f>Y104+Y91+Y78+Y65+Y52+Y39+Y26</f>
        <v>105633.94448410702</v>
      </c>
    </row>
    <row r="121" spans="2:25" x14ac:dyDescent="0.2">
      <c r="B121" s="172"/>
      <c r="C121" s="173">
        <f>D109</f>
        <v>2022</v>
      </c>
      <c r="X121" s="103" t="str">
        <f t="shared" si="54"/>
        <v>Embedded Distributors - Hydro One</v>
      </c>
      <c r="Y121" s="185">
        <f>Y105+Y92+Y79+Y66+Y53+Y40+Y27</f>
        <v>0</v>
      </c>
    </row>
    <row r="122" spans="2:25" x14ac:dyDescent="0.2">
      <c r="B122" s="174"/>
      <c r="C122" s="175"/>
      <c r="X122" s="103" t="str">
        <f t="shared" si="54"/>
        <v>TOTAL</v>
      </c>
      <c r="Y122" s="185">
        <f>SUM(Y113:Y121)</f>
        <v>72567388.514697343</v>
      </c>
    </row>
    <row r="123" spans="2:25" ht="15" x14ac:dyDescent="0.25">
      <c r="B123" s="176" t="s">
        <v>77</v>
      </c>
      <c r="C123" s="177">
        <f>G28+O28</f>
        <v>50131663.930324249</v>
      </c>
      <c r="J123" s="204" t="s">
        <v>287</v>
      </c>
      <c r="K123" s="192">
        <f>C123+C131</f>
        <v>42079618.985014297</v>
      </c>
      <c r="Y123" s="185"/>
    </row>
    <row r="124" spans="2:25" ht="15" x14ac:dyDescent="0.25">
      <c r="B124" s="176" t="s">
        <v>235</v>
      </c>
      <c r="C124" s="177">
        <f>O41</f>
        <v>15047765.99547849</v>
      </c>
      <c r="J124" s="204" t="s">
        <v>288</v>
      </c>
      <c r="K124" s="192">
        <f>C124</f>
        <v>15047765.99547849</v>
      </c>
    </row>
    <row r="125" spans="2:25" ht="15" x14ac:dyDescent="0.25">
      <c r="B125" s="176" t="s">
        <v>264</v>
      </c>
      <c r="C125" s="177">
        <f>G80+O80</f>
        <v>2147126.6764933132</v>
      </c>
      <c r="J125" s="204" t="s">
        <v>289</v>
      </c>
      <c r="K125" s="192">
        <f>C125</f>
        <v>2147126.6764933132</v>
      </c>
    </row>
    <row r="126" spans="2:25" ht="15" x14ac:dyDescent="0.25">
      <c r="B126" s="176" t="s">
        <v>78</v>
      </c>
      <c r="C126" s="177">
        <f>G54+O54</f>
        <v>4899356.8964879373</v>
      </c>
      <c r="J126" s="204" t="s">
        <v>290</v>
      </c>
      <c r="K126" s="192">
        <f>C126</f>
        <v>4899356.8964879373</v>
      </c>
    </row>
    <row r="127" spans="2:25" ht="15" x14ac:dyDescent="0.25">
      <c r="B127" s="176" t="s">
        <v>79</v>
      </c>
      <c r="C127" s="177">
        <f>G67+O67</f>
        <v>0</v>
      </c>
      <c r="J127" s="204" t="s">
        <v>291</v>
      </c>
      <c r="K127" s="192">
        <f>C128</f>
        <v>315821.89909819217</v>
      </c>
    </row>
    <row r="128" spans="2:25" x14ac:dyDescent="0.2">
      <c r="B128" s="176" t="s">
        <v>80</v>
      </c>
      <c r="C128" s="177">
        <f>G93+O93</f>
        <v>315821.89909819217</v>
      </c>
    </row>
    <row r="129" spans="2:11" x14ac:dyDescent="0.2">
      <c r="B129" s="176" t="s">
        <v>307</v>
      </c>
      <c r="C129" s="178">
        <f>G106+O106</f>
        <v>-147896.8757804858</v>
      </c>
      <c r="G129" s="192"/>
      <c r="H129" s="185"/>
    </row>
    <row r="130" spans="2:11" x14ac:dyDescent="0.2">
      <c r="B130" s="176" t="s">
        <v>104</v>
      </c>
      <c r="C130" s="178">
        <f>E119</f>
        <v>173549.99259565549</v>
      </c>
    </row>
    <row r="131" spans="2:11" x14ac:dyDescent="0.2">
      <c r="B131" s="176" t="s">
        <v>263</v>
      </c>
      <c r="C131" s="178">
        <f>-(E119+G106+G93+G80+G54+G28+G67)*H4</f>
        <v>-8052044.9453099538</v>
      </c>
    </row>
    <row r="132" spans="2:11" x14ac:dyDescent="0.2">
      <c r="B132" s="179" t="s">
        <v>66</v>
      </c>
      <c r="C132" s="180">
        <f>SUM(C123:C131)</f>
        <v>64515343.569387391</v>
      </c>
    </row>
    <row r="133" spans="2:11" x14ac:dyDescent="0.2">
      <c r="B133" s="174"/>
      <c r="C133" s="175"/>
    </row>
    <row r="134" spans="2:11" x14ac:dyDescent="0.2">
      <c r="B134" s="176"/>
      <c r="C134" s="181"/>
    </row>
    <row r="135" spans="2:11" x14ac:dyDescent="0.2">
      <c r="B135" s="172"/>
      <c r="C135" s="182" t="s">
        <v>236</v>
      </c>
      <c r="D135" s="182" t="s">
        <v>237</v>
      </c>
      <c r="E135" s="182" t="s">
        <v>12</v>
      </c>
      <c r="F135" s="182" t="s">
        <v>238</v>
      </c>
      <c r="G135" s="182" t="s">
        <v>262</v>
      </c>
      <c r="H135" s="183" t="s">
        <v>239</v>
      </c>
    </row>
    <row r="136" spans="2:11" ht="15" x14ac:dyDescent="0.25">
      <c r="B136" s="174" t="s">
        <v>240</v>
      </c>
      <c r="C136" s="184">
        <f>G19</f>
        <v>30081557.812715624</v>
      </c>
      <c r="D136" s="185">
        <f>O19+O32</f>
        <v>494722.54160195834</v>
      </c>
      <c r="E136" s="186">
        <f>C136+D136</f>
        <v>30576280.354317583</v>
      </c>
      <c r="F136" s="191">
        <f>E136/SUM($E$136:$E$140)</f>
        <v>0.46910935534606879</v>
      </c>
      <c r="G136" s="188">
        <f>F136*$C$131</f>
        <v>-3777289.6135119242</v>
      </c>
      <c r="H136" s="189">
        <f>E136+G136</f>
        <v>26798990.740805659</v>
      </c>
      <c r="J136" s="204" t="s">
        <v>292</v>
      </c>
      <c r="K136" s="188">
        <f>-H136</f>
        <v>-26798990.740805659</v>
      </c>
    </row>
    <row r="137" spans="2:11" ht="15" x14ac:dyDescent="0.25">
      <c r="B137" s="176" t="s">
        <v>241</v>
      </c>
      <c r="C137" s="184">
        <f>G25</f>
        <v>14076.48757198866</v>
      </c>
      <c r="D137" s="185">
        <f>O25+O38</f>
        <v>250415.99571009481</v>
      </c>
      <c r="E137" s="186">
        <f t="shared" ref="E137:E146" si="57">C137+D137</f>
        <v>264492.48328208347</v>
      </c>
      <c r="F137" s="191">
        <f t="shared" ref="F137:F140" si="58">E137/SUM($E$136:$E$140)</f>
        <v>4.0579134181316029E-3</v>
      </c>
      <c r="G137" s="188">
        <f t="shared" ref="G137:G140" si="59">F137*$C$131</f>
        <v>-32674.50122697201</v>
      </c>
      <c r="H137" s="189">
        <f t="shared" ref="H137:H146" si="60">E137+G137</f>
        <v>231817.98205511147</v>
      </c>
      <c r="J137" s="204" t="s">
        <v>293</v>
      </c>
      <c r="K137" s="188">
        <f t="shared" ref="K137:K146" si="61">-H137</f>
        <v>-231817.98205511147</v>
      </c>
    </row>
    <row r="138" spans="2:11" ht="15" x14ac:dyDescent="0.25">
      <c r="B138" s="176" t="s">
        <v>242</v>
      </c>
      <c r="C138" s="184">
        <f>G24</f>
        <v>21559.266926913981</v>
      </c>
      <c r="D138" s="185">
        <f>O24+O37</f>
        <v>0</v>
      </c>
      <c r="E138" s="186">
        <f t="shared" si="57"/>
        <v>21559.266926913981</v>
      </c>
      <c r="F138" s="191">
        <f t="shared" si="58"/>
        <v>3.3076795779674755E-4</v>
      </c>
      <c r="G138" s="188">
        <f t="shared" si="59"/>
        <v>-2663.3584626477973</v>
      </c>
      <c r="H138" s="189">
        <f t="shared" si="60"/>
        <v>18895.908464266184</v>
      </c>
      <c r="J138" s="204" t="s">
        <v>294</v>
      </c>
      <c r="K138" s="188">
        <f t="shared" si="61"/>
        <v>-18895.908464266184</v>
      </c>
    </row>
    <row r="139" spans="2:11" ht="15" x14ac:dyDescent="0.25">
      <c r="B139" s="176" t="s">
        <v>243</v>
      </c>
      <c r="C139" s="184">
        <f>G20+G21</f>
        <v>12535302.27906967</v>
      </c>
      <c r="D139" s="185">
        <f>O20+O21+O33+O34</f>
        <v>21686490.533877388</v>
      </c>
      <c r="E139" s="186">
        <f t="shared" si="57"/>
        <v>34221792.812947057</v>
      </c>
      <c r="F139" s="191">
        <f t="shared" si="58"/>
        <v>0.52503976871082758</v>
      </c>
      <c r="G139" s="188">
        <f t="shared" si="59"/>
        <v>-4227643.8157347264</v>
      </c>
      <c r="H139" s="189">
        <f t="shared" si="60"/>
        <v>29994148.997212332</v>
      </c>
      <c r="J139" s="204" t="s">
        <v>295</v>
      </c>
      <c r="K139" s="188">
        <f t="shared" si="61"/>
        <v>-29994148.997212332</v>
      </c>
    </row>
    <row r="140" spans="2:11" ht="15" x14ac:dyDescent="0.25">
      <c r="B140" s="176" t="s">
        <v>244</v>
      </c>
      <c r="C140" s="184">
        <f>G26</f>
        <v>95305.008329094708</v>
      </c>
      <c r="D140" s="185">
        <f>O26+O39</f>
        <v>0</v>
      </c>
      <c r="E140" s="186">
        <f t="shared" si="57"/>
        <v>95305.008329094708</v>
      </c>
      <c r="F140" s="191">
        <f t="shared" si="58"/>
        <v>1.4621945671753427E-3</v>
      </c>
      <c r="G140" s="188">
        <f t="shared" si="59"/>
        <v>-11773.656373683894</v>
      </c>
      <c r="H140" s="189">
        <f t="shared" si="60"/>
        <v>83531.351955410821</v>
      </c>
      <c r="J140" s="204" t="s">
        <v>296</v>
      </c>
      <c r="K140" s="188">
        <f t="shared" si="61"/>
        <v>-83531.351955410821</v>
      </c>
    </row>
    <row r="141" spans="2:11" x14ac:dyDescent="0.2">
      <c r="B141" s="176" t="s">
        <v>245</v>
      </c>
      <c r="C141" s="184">
        <f>G80</f>
        <v>1403270.8407179876</v>
      </c>
      <c r="D141" s="185">
        <f>O80</f>
        <v>743855.83577532531</v>
      </c>
      <c r="E141" s="186">
        <f t="shared" si="57"/>
        <v>2147126.6764933132</v>
      </c>
      <c r="F141" s="187"/>
      <c r="G141" s="188"/>
      <c r="H141" s="189">
        <f t="shared" si="60"/>
        <v>2147126.6764933132</v>
      </c>
      <c r="K141" s="188">
        <f t="shared" si="61"/>
        <v>-2147126.6764933132</v>
      </c>
    </row>
    <row r="142" spans="2:11" x14ac:dyDescent="0.2">
      <c r="B142" s="176" t="s">
        <v>246</v>
      </c>
      <c r="C142" s="184">
        <f>G54</f>
        <v>2974533.3391931206</v>
      </c>
      <c r="D142" s="185">
        <f>O54</f>
        <v>1924823.5572948169</v>
      </c>
      <c r="E142" s="186">
        <f t="shared" si="57"/>
        <v>4899356.8964879373</v>
      </c>
      <c r="H142" s="189">
        <f t="shared" si="60"/>
        <v>4899356.8964879373</v>
      </c>
      <c r="K142" s="188">
        <f t="shared" si="61"/>
        <v>-4899356.8964879373</v>
      </c>
    </row>
    <row r="143" spans="2:11" x14ac:dyDescent="0.2">
      <c r="B143" s="176" t="s">
        <v>247</v>
      </c>
      <c r="C143" s="184">
        <f>G67</f>
        <v>0</v>
      </c>
      <c r="D143" s="185">
        <f>O67</f>
        <v>0</v>
      </c>
      <c r="E143" s="186">
        <f t="shared" si="57"/>
        <v>0</v>
      </c>
      <c r="H143" s="189">
        <f t="shared" si="60"/>
        <v>0</v>
      </c>
      <c r="K143" s="188">
        <f t="shared" si="61"/>
        <v>0</v>
      </c>
    </row>
    <row r="144" spans="2:11" x14ac:dyDescent="0.2">
      <c r="B144" s="176" t="s">
        <v>307</v>
      </c>
      <c r="C144" s="184">
        <f>G106</f>
        <v>-140616.09560451269</v>
      </c>
      <c r="D144" s="185">
        <f>O106</f>
        <v>-7280.7801759731028</v>
      </c>
      <c r="E144" s="186">
        <f t="shared" si="57"/>
        <v>-147896.8757804858</v>
      </c>
      <c r="H144" s="189">
        <f t="shared" si="60"/>
        <v>-147896.8757804858</v>
      </c>
      <c r="K144" s="188">
        <f t="shared" si="61"/>
        <v>147896.8757804858</v>
      </c>
    </row>
    <row r="145" spans="2:11" x14ac:dyDescent="0.2">
      <c r="B145" s="176" t="s">
        <v>76</v>
      </c>
      <c r="C145" s="184">
        <f>G93</f>
        <v>206431.33501358551</v>
      </c>
      <c r="D145" s="185">
        <f>O93</f>
        <v>109390.56408460665</v>
      </c>
      <c r="E145" s="186">
        <f t="shared" si="57"/>
        <v>315821.89909819217</v>
      </c>
      <c r="H145" s="189">
        <f t="shared" si="60"/>
        <v>315821.89909819217</v>
      </c>
      <c r="K145" s="188">
        <f t="shared" si="61"/>
        <v>-315821.89909819217</v>
      </c>
    </row>
    <row r="146" spans="2:11" x14ac:dyDescent="0.2">
      <c r="B146" s="176" t="s">
        <v>248</v>
      </c>
      <c r="C146" s="184">
        <f>E119</f>
        <v>173549.99259565549</v>
      </c>
      <c r="D146" s="185"/>
      <c r="E146" s="186">
        <f t="shared" si="57"/>
        <v>173549.99259565549</v>
      </c>
      <c r="H146" s="189">
        <f t="shared" si="60"/>
        <v>173549.99259565549</v>
      </c>
      <c r="K146" s="188">
        <f t="shared" si="61"/>
        <v>-173549.99259565549</v>
      </c>
    </row>
    <row r="147" spans="2:11" x14ac:dyDescent="0.2">
      <c r="B147" s="179" t="s">
        <v>66</v>
      </c>
      <c r="C147" s="145">
        <f>SUM(C136:C146)</f>
        <v>47364970.266529128</v>
      </c>
      <c r="D147" s="145">
        <f>SUM(D136:D146)</f>
        <v>25202418.248168219</v>
      </c>
      <c r="E147" s="145">
        <f>SUM(E136:E146)</f>
        <v>72567388.514697328</v>
      </c>
      <c r="F147" s="145"/>
      <c r="G147" s="145">
        <f>SUM(G136:G146)</f>
        <v>-8052044.9453099547</v>
      </c>
      <c r="H147" s="190">
        <f>SUM(H136:H146)</f>
        <v>64515343.569387406</v>
      </c>
    </row>
  </sheetData>
  <mergeCells count="26">
    <mergeCell ref="D109:E109"/>
    <mergeCell ref="M17:O18"/>
    <mergeCell ref="F108:G108"/>
    <mergeCell ref="L17:L18"/>
    <mergeCell ref="L30:L31"/>
    <mergeCell ref="D30:D31"/>
    <mergeCell ref="M56:O57"/>
    <mergeCell ref="E56:G57"/>
    <mergeCell ref="E69:G70"/>
    <mergeCell ref="M69:O70"/>
    <mergeCell ref="E82:G83"/>
    <mergeCell ref="M82:O83"/>
    <mergeCell ref="E95:G96"/>
    <mergeCell ref="M95:O96"/>
    <mergeCell ref="M43:O44"/>
    <mergeCell ref="E43:G44"/>
    <mergeCell ref="G2:H2"/>
    <mergeCell ref="C30:C31"/>
    <mergeCell ref="K30:K31"/>
    <mergeCell ref="E30:G31"/>
    <mergeCell ref="M30:O31"/>
    <mergeCell ref="B3:E3"/>
    <mergeCell ref="C17:C18"/>
    <mergeCell ref="D17:D18"/>
    <mergeCell ref="E17:G18"/>
    <mergeCell ref="K17:K18"/>
  </mergeCells>
  <pageMargins left="0.7" right="0.7" top="0.75" bottom="0.75" header="0.3" footer="0.3"/>
  <pageSetup scale="31" orientation="portrait" r:id="rId1"/>
  <headerFooter>
    <oddFooter>&amp;Z&amp;F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A87-8EB3-46DB-9613-511A5FE34DFC}">
  <sheetPr codeName="Sheet11">
    <tabColor rgb="FF00FF00"/>
    <pageSetUpPr fitToPage="1"/>
  </sheetPr>
  <dimension ref="B2:Y148"/>
  <sheetViews>
    <sheetView topLeftCell="A23" zoomScale="70" zoomScaleNormal="70" workbookViewId="0">
      <selection activeCell="H128" sqref="H128"/>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37.7109375" style="102" bestFit="1"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4.5703125" style="102" customWidth="1"/>
    <col min="16" max="16" width="9.140625" style="102" customWidth="1"/>
    <col min="17" max="17" width="12.7109375" style="102" customWidth="1"/>
    <col min="18" max="18" width="23.42578125" style="102" customWidth="1"/>
    <col min="19" max="19" width="12.140625" style="102" customWidth="1"/>
    <col min="20" max="23" width="9.140625" style="102" customWidth="1"/>
    <col min="24" max="24" width="33" style="102" bestFit="1" customWidth="1"/>
    <col min="25" max="25" width="12.7109375" style="102" bestFit="1" customWidth="1"/>
    <col min="26" max="16384" width="9.140625" style="102"/>
  </cols>
  <sheetData>
    <row r="2" spans="2:11" ht="13.5" thickBot="1" x14ac:dyDescent="0.25">
      <c r="G2" s="654" t="s">
        <v>255</v>
      </c>
      <c r="H2" s="654"/>
    </row>
    <row r="3" spans="2:11" ht="13.5" thickBot="1" x14ac:dyDescent="0.25">
      <c r="B3" s="663" t="str">
        <f>"Cost of Power " &amp; H3</f>
        <v>Cost of Power 2023</v>
      </c>
      <c r="C3" s="664"/>
      <c r="D3" s="664"/>
      <c r="E3" s="665"/>
      <c r="G3" s="194" t="s">
        <v>115</v>
      </c>
      <c r="H3" s="194">
        <v>2023</v>
      </c>
    </row>
    <row r="4" spans="2:11" x14ac:dyDescent="0.2">
      <c r="B4" s="135" t="str">
        <f>H3&amp;" Load Forecast"</f>
        <v>2023 Load Forecast</v>
      </c>
      <c r="C4" s="136" t="s">
        <v>64</v>
      </c>
      <c r="D4" s="136" t="s">
        <v>65</v>
      </c>
      <c r="E4" s="137" t="s">
        <v>328</v>
      </c>
      <c r="G4" s="194" t="s">
        <v>256</v>
      </c>
      <c r="H4" s="575">
        <v>0.11700000000000001</v>
      </c>
      <c r="K4" s="138">
        <v>0.17</v>
      </c>
    </row>
    <row r="5" spans="2:11" x14ac:dyDescent="0.2">
      <c r="B5" s="139" t="s">
        <v>1</v>
      </c>
      <c r="C5" s="140">
        <f>'Rate Class Energy Model'!H64</f>
        <v>273629866.26848006</v>
      </c>
      <c r="D5" s="141"/>
      <c r="E5" s="80">
        <v>0.98775530088917807</v>
      </c>
      <c r="G5" s="194" t="s">
        <v>0</v>
      </c>
      <c r="H5" s="194">
        <v>1.0462</v>
      </c>
    </row>
    <row r="6" spans="2:11" x14ac:dyDescent="0.2">
      <c r="B6" s="139" t="s">
        <v>105</v>
      </c>
      <c r="C6" s="140">
        <f>'Rate Class Energy Model'!I64</f>
        <v>78837023.523271874</v>
      </c>
      <c r="D6" s="141"/>
      <c r="E6" s="80">
        <v>0.84735068301911554</v>
      </c>
      <c r="G6" s="194" t="s">
        <v>257</v>
      </c>
      <c r="H6" s="194">
        <v>9.3399999999999997E-2</v>
      </c>
    </row>
    <row r="7" spans="2:11" x14ac:dyDescent="0.2">
      <c r="B7" s="142" t="s">
        <v>229</v>
      </c>
      <c r="C7" s="140">
        <f>'Rate Class Energy Model'!J64</f>
        <v>219167959.43781471</v>
      </c>
      <c r="D7" s="57">
        <f>'Rate Class Load Model'!B14</f>
        <v>542042.50976088888</v>
      </c>
      <c r="E7" s="80">
        <v>0.18454259295317804</v>
      </c>
      <c r="G7" s="194" t="s">
        <v>258</v>
      </c>
      <c r="H7" s="194">
        <v>5.833E-2</v>
      </c>
    </row>
    <row r="8" spans="2:11" x14ac:dyDescent="0.2">
      <c r="B8" s="139" t="s">
        <v>230</v>
      </c>
      <c r="C8" s="143">
        <v>0</v>
      </c>
      <c r="D8" s="57">
        <v>0</v>
      </c>
      <c r="E8" s="80">
        <v>0</v>
      </c>
      <c r="G8" s="194" t="s">
        <v>259</v>
      </c>
      <c r="H8" s="194">
        <v>3.9039999999999998E-2</v>
      </c>
    </row>
    <row r="9" spans="2:11" x14ac:dyDescent="0.2">
      <c r="B9" s="139" t="s">
        <v>231</v>
      </c>
      <c r="C9" s="143">
        <v>0</v>
      </c>
      <c r="D9" s="57">
        <v>0</v>
      </c>
      <c r="E9" s="80">
        <v>0</v>
      </c>
      <c r="G9" s="196" t="s">
        <v>333</v>
      </c>
      <c r="H9" s="254">
        <v>5.5595450673550172E-2</v>
      </c>
    </row>
    <row r="10" spans="2:11" x14ac:dyDescent="0.2">
      <c r="B10" s="139" t="s">
        <v>113</v>
      </c>
      <c r="C10" s="140">
        <f>'Rate Class Energy Model'!K64</f>
        <v>193840.90419474596</v>
      </c>
      <c r="D10" s="57">
        <f>'Rate Class Load Model'!C14</f>
        <v>566.24754295926414</v>
      </c>
      <c r="E10" s="80">
        <v>1</v>
      </c>
      <c r="G10" s="196"/>
      <c r="H10" s="194"/>
    </row>
    <row r="11" spans="2:11" x14ac:dyDescent="0.2">
      <c r="B11" s="139" t="s">
        <v>61</v>
      </c>
      <c r="C11" s="140">
        <f>'Rate Class Energy Model'!L64</f>
        <v>2459994.48</v>
      </c>
      <c r="D11" s="57">
        <f>'Rate Class Load Model'!D14</f>
        <v>7200.0649104265394</v>
      </c>
      <c r="E11" s="80">
        <v>5.2728969883373465E-2</v>
      </c>
      <c r="G11" s="196"/>
      <c r="H11" s="194"/>
    </row>
    <row r="12" spans="2:11" x14ac:dyDescent="0.2">
      <c r="B12" s="139" t="s">
        <v>2</v>
      </c>
      <c r="C12" s="140">
        <f>'Rate Class Energy Model'!M64</f>
        <v>878528.2585897129</v>
      </c>
      <c r="D12" s="57"/>
      <c r="E12" s="80">
        <v>1</v>
      </c>
      <c r="G12" s="196"/>
      <c r="H12" s="194"/>
    </row>
    <row r="13" spans="2:11" x14ac:dyDescent="0.2">
      <c r="B13" s="139" t="s">
        <v>232</v>
      </c>
      <c r="C13" s="140"/>
      <c r="D13" s="57"/>
      <c r="E13" s="80">
        <v>0</v>
      </c>
      <c r="G13" s="196"/>
      <c r="H13" s="194"/>
    </row>
    <row r="14" spans="2:11" x14ac:dyDescent="0.2">
      <c r="B14" s="144" t="s">
        <v>66</v>
      </c>
      <c r="C14" s="145">
        <f>SUM(C5:C13)</f>
        <v>575167212.87235105</v>
      </c>
      <c r="D14" s="145">
        <f>SUM(D5:D13)</f>
        <v>549808.82221427467</v>
      </c>
      <c r="E14" s="146"/>
      <c r="G14" s="194"/>
      <c r="H14" s="194"/>
    </row>
    <row r="15" spans="2:11" x14ac:dyDescent="0.2">
      <c r="C15" s="103"/>
      <c r="D15" s="103"/>
    </row>
    <row r="17" spans="2:25" ht="12.75" customHeight="1" x14ac:dyDescent="0.2">
      <c r="B17" s="147" t="s">
        <v>67</v>
      </c>
      <c r="C17" s="655" t="str">
        <f>H3&amp;" Forecasted Metered kWhs"</f>
        <v>2023 Forecasted Metered kWhs</v>
      </c>
      <c r="D17" s="655" t="str">
        <f>H3&amp;" Loss Factor"</f>
        <v>2023 Loss Factor</v>
      </c>
      <c r="E17" s="657">
        <f>H3</f>
        <v>2023</v>
      </c>
      <c r="F17" s="658"/>
      <c r="G17" s="659"/>
      <c r="J17" s="147" t="s">
        <v>69</v>
      </c>
      <c r="K17" s="655" t="str">
        <f>$C$17</f>
        <v>2023 Forecasted Metered kWhs</v>
      </c>
      <c r="L17" s="655" t="str">
        <f>D17</f>
        <v>2023 Loss Factor</v>
      </c>
      <c r="M17" s="657">
        <f>E17</f>
        <v>2023</v>
      </c>
      <c r="N17" s="658"/>
      <c r="O17" s="659"/>
    </row>
    <row r="18" spans="2:25" x14ac:dyDescent="0.2">
      <c r="B18" s="148" t="s">
        <v>68</v>
      </c>
      <c r="C18" s="656"/>
      <c r="D18" s="666"/>
      <c r="E18" s="660"/>
      <c r="F18" s="661"/>
      <c r="G18" s="662"/>
      <c r="J18" s="148" t="s">
        <v>70</v>
      </c>
      <c r="K18" s="656"/>
      <c r="L18" s="666"/>
      <c r="M18" s="660"/>
      <c r="N18" s="661"/>
      <c r="O18" s="662"/>
    </row>
    <row r="19" spans="2:25" x14ac:dyDescent="0.2">
      <c r="B19" s="149" t="str">
        <f>B5</f>
        <v xml:space="preserve">Residential </v>
      </c>
      <c r="C19" s="140">
        <f t="shared" ref="C19:C27" si="0">C5*E5</f>
        <v>270279350.88828808</v>
      </c>
      <c r="D19" s="141">
        <f>H5</f>
        <v>1.0462</v>
      </c>
      <c r="E19" s="140">
        <f t="shared" ref="E19:E27" si="1">C19*D19</f>
        <v>282766256.89932698</v>
      </c>
      <c r="F19" s="197">
        <f>H6</f>
        <v>9.3399999999999997E-2</v>
      </c>
      <c r="G19" s="150">
        <f>(E19*F19)</f>
        <v>26410368.39439714</v>
      </c>
      <c r="J19" s="149" t="str">
        <f>B19</f>
        <v xml:space="preserve">Residential </v>
      </c>
      <c r="K19" s="140">
        <f t="shared" ref="K19:K27" si="2">C5-C19</f>
        <v>3350515.3801919818</v>
      </c>
      <c r="L19" s="141">
        <f t="shared" ref="L19:L27" si="3">D19</f>
        <v>1.0462</v>
      </c>
      <c r="M19" s="140">
        <f t="shared" ref="M19:M27" si="4">K19*L19</f>
        <v>3505309.1907568513</v>
      </c>
      <c r="N19" s="198">
        <f>H7</f>
        <v>5.833E-2</v>
      </c>
      <c r="O19" s="150">
        <f>(M19*N19)</f>
        <v>204464.68509684713</v>
      </c>
      <c r="X19" s="103" t="str">
        <f>J19</f>
        <v xml:space="preserve">Residential </v>
      </c>
      <c r="Y19" s="185">
        <f>O19+G19</f>
        <v>26614833.079493988</v>
      </c>
    </row>
    <row r="20" spans="2:25" x14ac:dyDescent="0.2">
      <c r="B20" s="149" t="str">
        <f>B6</f>
        <v>General Service &lt; 50 kW</v>
      </c>
      <c r="C20" s="140">
        <f t="shared" si="0"/>
        <v>66802605.729638502</v>
      </c>
      <c r="D20" s="141">
        <f>D19</f>
        <v>1.0462</v>
      </c>
      <c r="E20" s="140">
        <f t="shared" si="1"/>
        <v>69888886.114347801</v>
      </c>
      <c r="F20" s="197">
        <f>$F$19</f>
        <v>9.3399999999999997E-2</v>
      </c>
      <c r="G20" s="150">
        <f t="shared" ref="G20:G27" si="5">(E20*F20)</f>
        <v>6527621.963080084</v>
      </c>
      <c r="J20" s="149" t="str">
        <f>B20</f>
        <v>General Service &lt; 50 kW</v>
      </c>
      <c r="K20" s="140">
        <f t="shared" si="2"/>
        <v>12034417.793633372</v>
      </c>
      <c r="L20" s="141">
        <f t="shared" si="3"/>
        <v>1.0462</v>
      </c>
      <c r="M20" s="140">
        <f t="shared" si="4"/>
        <v>12590407.895699233</v>
      </c>
      <c r="N20" s="198">
        <f t="shared" ref="N20:N27" si="6">$N$19</f>
        <v>5.833E-2</v>
      </c>
      <c r="O20" s="150">
        <f t="shared" ref="O20:O27" si="7">(M20*N20)</f>
        <v>734398.49255613622</v>
      </c>
      <c r="X20" s="103" t="str">
        <f t="shared" ref="X20:X27" si="8">J20</f>
        <v>General Service &lt; 50 kW</v>
      </c>
      <c r="Y20" s="185">
        <f t="shared" ref="Y20:Y27" si="9">O20+G20</f>
        <v>7262020.4556362201</v>
      </c>
    </row>
    <row r="21" spans="2:25" x14ac:dyDescent="0.2">
      <c r="B21" s="149" t="str">
        <f>B7</f>
        <v>General Service &gt; 50 to 4999 kW</v>
      </c>
      <c r="C21" s="140">
        <f t="shared" si="0"/>
        <v>40445823.526911274</v>
      </c>
      <c r="D21" s="141">
        <f t="shared" ref="D21:D27" si="10">D20</f>
        <v>1.0462</v>
      </c>
      <c r="E21" s="140">
        <f t="shared" si="1"/>
        <v>42314420.573854573</v>
      </c>
      <c r="F21" s="197">
        <f t="shared" ref="F21:F27" si="11">$F$19</f>
        <v>9.3399999999999997E-2</v>
      </c>
      <c r="G21" s="150">
        <f t="shared" si="5"/>
        <v>3952166.8815980172</v>
      </c>
      <c r="J21" s="149" t="str">
        <f>B21</f>
        <v>General Service &gt; 50 to 4999 kW</v>
      </c>
      <c r="K21" s="140">
        <f t="shared" si="2"/>
        <v>178722135.91090345</v>
      </c>
      <c r="L21" s="141">
        <f t="shared" si="3"/>
        <v>1.0462</v>
      </c>
      <c r="M21" s="140">
        <f t="shared" si="4"/>
        <v>186979098.58998719</v>
      </c>
      <c r="N21" s="198">
        <f t="shared" si="6"/>
        <v>5.833E-2</v>
      </c>
      <c r="O21" s="150">
        <f t="shared" si="7"/>
        <v>10906490.820753952</v>
      </c>
      <c r="X21" s="103" t="str">
        <f t="shared" si="8"/>
        <v>General Service &gt; 50 to 4999 kW</v>
      </c>
      <c r="Y21" s="185">
        <f t="shared" si="9"/>
        <v>14858657.702351969</v>
      </c>
    </row>
    <row r="22" spans="2:25" x14ac:dyDescent="0.2">
      <c r="B22" s="149" t="str">
        <f>B8</f>
        <v>General Service &gt; 1000 to 4999 kW</v>
      </c>
      <c r="C22" s="140">
        <f t="shared" si="0"/>
        <v>0</v>
      </c>
      <c r="D22" s="141">
        <f t="shared" si="10"/>
        <v>1.0462</v>
      </c>
      <c r="E22" s="140">
        <f t="shared" si="1"/>
        <v>0</v>
      </c>
      <c r="F22" s="197">
        <f t="shared" si="11"/>
        <v>9.3399999999999997E-2</v>
      </c>
      <c r="G22" s="150">
        <f t="shared" si="5"/>
        <v>0</v>
      </c>
      <c r="J22" s="149" t="str">
        <f>B22</f>
        <v>General Service &gt; 1000 to 4999 kW</v>
      </c>
      <c r="K22" s="140">
        <f t="shared" si="2"/>
        <v>0</v>
      </c>
      <c r="L22" s="141">
        <f t="shared" si="3"/>
        <v>1.0462</v>
      </c>
      <c r="M22" s="140">
        <f t="shared" si="4"/>
        <v>0</v>
      </c>
      <c r="N22" s="198">
        <f t="shared" si="6"/>
        <v>5.833E-2</v>
      </c>
      <c r="O22" s="150">
        <f t="shared" si="7"/>
        <v>0</v>
      </c>
      <c r="X22" s="103" t="str">
        <f t="shared" si="8"/>
        <v>General Service &gt; 1000 to 4999 kW</v>
      </c>
      <c r="Y22" s="185">
        <f t="shared" si="9"/>
        <v>0</v>
      </c>
    </row>
    <row r="23" spans="2:25" x14ac:dyDescent="0.2">
      <c r="B23" s="149" t="str">
        <f>B9</f>
        <v>Large User</v>
      </c>
      <c r="C23" s="140">
        <f t="shared" si="0"/>
        <v>0</v>
      </c>
      <c r="D23" s="141">
        <f t="shared" si="10"/>
        <v>1.0462</v>
      </c>
      <c r="E23" s="140">
        <f t="shared" si="1"/>
        <v>0</v>
      </c>
      <c r="F23" s="197">
        <f t="shared" si="11"/>
        <v>9.3399999999999997E-2</v>
      </c>
      <c r="G23" s="150">
        <f t="shared" si="5"/>
        <v>0</v>
      </c>
      <c r="J23" s="149" t="str">
        <f>B23</f>
        <v>Large User</v>
      </c>
      <c r="K23" s="140">
        <f t="shared" si="2"/>
        <v>0</v>
      </c>
      <c r="L23" s="141">
        <f t="shared" si="3"/>
        <v>1.0462</v>
      </c>
      <c r="M23" s="140">
        <f t="shared" si="4"/>
        <v>0</v>
      </c>
      <c r="N23" s="198">
        <f t="shared" si="6"/>
        <v>5.833E-2</v>
      </c>
      <c r="O23" s="150">
        <f t="shared" si="7"/>
        <v>0</v>
      </c>
      <c r="X23" s="103" t="str">
        <f t="shared" si="8"/>
        <v>Large User</v>
      </c>
      <c r="Y23" s="185">
        <f t="shared" si="9"/>
        <v>0</v>
      </c>
    </row>
    <row r="24" spans="2:25" x14ac:dyDescent="0.2">
      <c r="B24" s="149" t="s">
        <v>113</v>
      </c>
      <c r="C24" s="140">
        <f t="shared" si="0"/>
        <v>193840.90419474596</v>
      </c>
      <c r="D24" s="141">
        <f t="shared" si="10"/>
        <v>1.0462</v>
      </c>
      <c r="E24" s="140">
        <f t="shared" si="1"/>
        <v>202796.35396854323</v>
      </c>
      <c r="F24" s="197">
        <f t="shared" si="11"/>
        <v>9.3399999999999997E-2</v>
      </c>
      <c r="G24" s="150">
        <f t="shared" si="5"/>
        <v>18941.179460661937</v>
      </c>
      <c r="J24" s="149" t="s">
        <v>113</v>
      </c>
      <c r="K24" s="140">
        <f t="shared" si="2"/>
        <v>0</v>
      </c>
      <c r="L24" s="141">
        <f t="shared" si="3"/>
        <v>1.0462</v>
      </c>
      <c r="M24" s="140">
        <f t="shared" si="4"/>
        <v>0</v>
      </c>
      <c r="N24" s="198">
        <f t="shared" si="6"/>
        <v>5.833E-2</v>
      </c>
      <c r="O24" s="150">
        <f t="shared" si="7"/>
        <v>0</v>
      </c>
      <c r="X24" s="103" t="str">
        <f t="shared" si="8"/>
        <v>Sentinel Lights</v>
      </c>
      <c r="Y24" s="185">
        <f t="shared" si="9"/>
        <v>18941.179460661937</v>
      </c>
    </row>
    <row r="25" spans="2:25" x14ac:dyDescent="0.2">
      <c r="B25" s="149" t="str">
        <f>B11</f>
        <v>Street Lights</v>
      </c>
      <c r="C25" s="140">
        <f t="shared" si="0"/>
        <v>129712.97484918496</v>
      </c>
      <c r="D25" s="141">
        <f t="shared" si="10"/>
        <v>1.0462</v>
      </c>
      <c r="E25" s="140">
        <f t="shared" si="1"/>
        <v>135705.7142872173</v>
      </c>
      <c r="F25" s="197">
        <f t="shared" si="11"/>
        <v>9.3399999999999997E-2</v>
      </c>
      <c r="G25" s="150">
        <f t="shared" si="5"/>
        <v>12674.913714426095</v>
      </c>
      <c r="J25" s="149" t="str">
        <f>B25</f>
        <v>Street Lights</v>
      </c>
      <c r="K25" s="140">
        <f t="shared" si="2"/>
        <v>2330281.505150815</v>
      </c>
      <c r="L25" s="141">
        <f t="shared" si="3"/>
        <v>1.0462</v>
      </c>
      <c r="M25" s="140">
        <f t="shared" si="4"/>
        <v>2437940.5106887827</v>
      </c>
      <c r="N25" s="198">
        <f t="shared" si="6"/>
        <v>5.833E-2</v>
      </c>
      <c r="O25" s="150">
        <f t="shared" si="7"/>
        <v>142205.06998847669</v>
      </c>
      <c r="X25" s="103" t="str">
        <f t="shared" si="8"/>
        <v>Street Lights</v>
      </c>
      <c r="Y25" s="185">
        <f t="shared" si="9"/>
        <v>154879.9837029028</v>
      </c>
    </row>
    <row r="26" spans="2:25" x14ac:dyDescent="0.2">
      <c r="B26" s="149" t="str">
        <f>B12</f>
        <v xml:space="preserve">Unmetered Loads </v>
      </c>
      <c r="C26" s="140">
        <f t="shared" si="0"/>
        <v>878528.2585897129</v>
      </c>
      <c r="D26" s="141">
        <f t="shared" si="10"/>
        <v>1.0462</v>
      </c>
      <c r="E26" s="140">
        <f t="shared" si="1"/>
        <v>919116.2641365577</v>
      </c>
      <c r="F26" s="197">
        <f t="shared" si="11"/>
        <v>9.3399999999999997E-2</v>
      </c>
      <c r="G26" s="150">
        <f t="shared" si="5"/>
        <v>85845.459070354482</v>
      </c>
      <c r="J26" s="149" t="str">
        <f>B26</f>
        <v xml:space="preserve">Unmetered Loads </v>
      </c>
      <c r="K26" s="140">
        <f t="shared" si="2"/>
        <v>0</v>
      </c>
      <c r="L26" s="141">
        <f t="shared" si="3"/>
        <v>1.0462</v>
      </c>
      <c r="M26" s="140">
        <f t="shared" si="4"/>
        <v>0</v>
      </c>
      <c r="N26" s="198">
        <f t="shared" si="6"/>
        <v>5.833E-2</v>
      </c>
      <c r="O26" s="150">
        <f t="shared" si="7"/>
        <v>0</v>
      </c>
      <c r="X26" s="103" t="str">
        <f t="shared" si="8"/>
        <v xml:space="preserve">Unmetered Loads </v>
      </c>
      <c r="Y26" s="185">
        <f t="shared" si="9"/>
        <v>85845.459070354482</v>
      </c>
    </row>
    <row r="27" spans="2:25" x14ac:dyDescent="0.2">
      <c r="B27" s="149" t="str">
        <f>B13</f>
        <v>Embedded Distributors - Hydro One</v>
      </c>
      <c r="C27" s="140">
        <f t="shared" si="0"/>
        <v>0</v>
      </c>
      <c r="D27" s="141">
        <f t="shared" si="10"/>
        <v>1.0462</v>
      </c>
      <c r="E27" s="140">
        <f t="shared" si="1"/>
        <v>0</v>
      </c>
      <c r="F27" s="197">
        <f t="shared" si="11"/>
        <v>9.3399999999999997E-2</v>
      </c>
      <c r="G27" s="150">
        <f t="shared" si="5"/>
        <v>0</v>
      </c>
      <c r="J27" s="149" t="str">
        <f>B27</f>
        <v>Embedded Distributors - Hydro One</v>
      </c>
      <c r="K27" s="140">
        <f t="shared" si="2"/>
        <v>0</v>
      </c>
      <c r="L27" s="141">
        <f t="shared" si="3"/>
        <v>1.0462</v>
      </c>
      <c r="M27" s="140">
        <f t="shared" si="4"/>
        <v>0</v>
      </c>
      <c r="N27" s="198">
        <f t="shared" si="6"/>
        <v>5.833E-2</v>
      </c>
      <c r="O27" s="150">
        <f t="shared" si="7"/>
        <v>0</v>
      </c>
      <c r="X27" s="103" t="str">
        <f t="shared" si="8"/>
        <v>Embedded Distributors - Hydro One</v>
      </c>
      <c r="Y27" s="185">
        <f t="shared" si="9"/>
        <v>0</v>
      </c>
    </row>
    <row r="28" spans="2:25" x14ac:dyDescent="0.2">
      <c r="B28" s="144" t="s">
        <v>66</v>
      </c>
      <c r="C28" s="145">
        <f>SUM(C19:C27)</f>
        <v>378729862.28247148</v>
      </c>
      <c r="D28" s="151"/>
      <c r="E28" s="145">
        <f>SUM(E19:E27)</f>
        <v>396227181.9199217</v>
      </c>
      <c r="F28" s="152"/>
      <c r="G28" s="153">
        <f>SUM(G19:G27)</f>
        <v>37007618.791320682</v>
      </c>
      <c r="J28" s="144" t="s">
        <v>66</v>
      </c>
      <c r="K28" s="145">
        <f>SUM(K19:K27)</f>
        <v>196437350.58987963</v>
      </c>
      <c r="L28" s="151"/>
      <c r="M28" s="145">
        <f>SUM(M19:M27)</f>
        <v>205512756.18713206</v>
      </c>
      <c r="N28" s="154"/>
      <c r="O28" s="153">
        <f>SUM(O19:O27)</f>
        <v>11987559.068395412</v>
      </c>
      <c r="Q28" s="155">
        <f>O28+G28</f>
        <v>48995177.859716095</v>
      </c>
      <c r="Y28" s="185">
        <f>SUM(Y19:Y27)</f>
        <v>48995177.859716095</v>
      </c>
    </row>
    <row r="29" spans="2:25" x14ac:dyDescent="0.2">
      <c r="B29" s="156"/>
      <c r="C29" s="157"/>
      <c r="D29" s="158"/>
      <c r="E29" s="157"/>
      <c r="F29" s="159"/>
      <c r="G29" s="155"/>
    </row>
    <row r="30" spans="2:25" ht="12.75" customHeight="1" x14ac:dyDescent="0.2">
      <c r="B30" s="147" t="s">
        <v>233</v>
      </c>
      <c r="C30" s="655" t="str">
        <f>$C$17</f>
        <v>2023 Forecasted Metered kWhs</v>
      </c>
      <c r="D30" s="655" t="str">
        <f>D17</f>
        <v>2023 Loss Factor</v>
      </c>
      <c r="E30" s="657">
        <f>H3</f>
        <v>2023</v>
      </c>
      <c r="F30" s="658"/>
      <c r="G30" s="659"/>
      <c r="J30" s="147" t="s">
        <v>233</v>
      </c>
      <c r="K30" s="655" t="str">
        <f>$C$17</f>
        <v>2023 Forecasted Metered kWhs</v>
      </c>
      <c r="L30" s="655" t="str">
        <f>D30</f>
        <v>2023 Loss Factor</v>
      </c>
      <c r="M30" s="657">
        <f>H3</f>
        <v>2023</v>
      </c>
      <c r="N30" s="658"/>
      <c r="O30" s="659"/>
    </row>
    <row r="31" spans="2:25" x14ac:dyDescent="0.2">
      <c r="B31" s="148" t="s">
        <v>68</v>
      </c>
      <c r="C31" s="656"/>
      <c r="D31" s="666"/>
      <c r="E31" s="660"/>
      <c r="F31" s="661"/>
      <c r="G31" s="662"/>
      <c r="J31" s="148" t="s">
        <v>68</v>
      </c>
      <c r="K31" s="656"/>
      <c r="L31" s="666"/>
      <c r="M31" s="660"/>
      <c r="N31" s="661"/>
      <c r="O31" s="662"/>
    </row>
    <row r="32" spans="2:25" x14ac:dyDescent="0.2">
      <c r="B32" s="149" t="s">
        <v>1</v>
      </c>
      <c r="C32" s="140">
        <v>0</v>
      </c>
      <c r="D32" s="141">
        <f>D19</f>
        <v>1.0462</v>
      </c>
      <c r="E32" s="140">
        <v>0</v>
      </c>
      <c r="F32" s="197">
        <f>$H$8</f>
        <v>3.9039999999999998E-2</v>
      </c>
      <c r="G32" s="150">
        <v>0</v>
      </c>
      <c r="J32" s="149" t="s">
        <v>1</v>
      </c>
      <c r="K32" s="140">
        <f>M32/L32</f>
        <v>3350515.3801919818</v>
      </c>
      <c r="L32" s="141">
        <f>L19</f>
        <v>1.0462</v>
      </c>
      <c r="M32" s="140">
        <f>M19</f>
        <v>3505309.1907568513</v>
      </c>
      <c r="N32" s="197">
        <f>$H$8</f>
        <v>3.9039999999999998E-2</v>
      </c>
      <c r="O32" s="150">
        <f>M32*N32</f>
        <v>136847.27080714746</v>
      </c>
      <c r="X32" s="103" t="str">
        <f>J32</f>
        <v xml:space="preserve">Residential </v>
      </c>
      <c r="Y32" s="185">
        <f>O32+G32</f>
        <v>136847.27080714746</v>
      </c>
    </row>
    <row r="33" spans="2:25" x14ac:dyDescent="0.2">
      <c r="B33" s="149" t="s">
        <v>105</v>
      </c>
      <c r="C33" s="140">
        <v>0</v>
      </c>
      <c r="D33" s="141">
        <f t="shared" ref="D33:D35" si="12">D20</f>
        <v>1.0462</v>
      </c>
      <c r="E33" s="140">
        <v>0</v>
      </c>
      <c r="F33" s="197">
        <f t="shared" ref="F33:F41" si="13">$H$8</f>
        <v>3.9039999999999998E-2</v>
      </c>
      <c r="G33" s="150">
        <v>0</v>
      </c>
      <c r="J33" s="149" t="s">
        <v>105</v>
      </c>
      <c r="K33" s="140">
        <f t="shared" ref="K33:K41" si="14">M33/L33</f>
        <v>12034417.793633372</v>
      </c>
      <c r="L33" s="141">
        <f t="shared" ref="L33:L35" si="15">L20</f>
        <v>1.0462</v>
      </c>
      <c r="M33" s="140">
        <f>M20</f>
        <v>12590407.895699233</v>
      </c>
      <c r="N33" s="197">
        <f t="shared" ref="N33:N41" si="16">$H$8</f>
        <v>3.9039999999999998E-2</v>
      </c>
      <c r="O33" s="150">
        <f t="shared" ref="O33:O41" si="17">M33*N33</f>
        <v>491529.52424809802</v>
      </c>
      <c r="X33" s="103" t="str">
        <f t="shared" ref="X33:X40" si="18">J33</f>
        <v>General Service &lt; 50 kW</v>
      </c>
      <c r="Y33" s="185">
        <f t="shared" ref="Y33:Y40" si="19">O33+G33</f>
        <v>491529.52424809802</v>
      </c>
    </row>
    <row r="34" spans="2:25" x14ac:dyDescent="0.2">
      <c r="B34" s="149" t="s">
        <v>229</v>
      </c>
      <c r="C34" s="140">
        <v>0</v>
      </c>
      <c r="D34" s="141">
        <f t="shared" si="12"/>
        <v>1.0462</v>
      </c>
      <c r="E34" s="140">
        <v>0</v>
      </c>
      <c r="F34" s="197">
        <f t="shared" si="13"/>
        <v>3.9039999999999998E-2</v>
      </c>
      <c r="G34" s="150">
        <v>0</v>
      </c>
      <c r="J34" s="149" t="s">
        <v>229</v>
      </c>
      <c r="K34" s="140">
        <f t="shared" si="14"/>
        <v>140905684.75229275</v>
      </c>
      <c r="L34" s="141">
        <f t="shared" si="15"/>
        <v>1.0462</v>
      </c>
      <c r="M34" s="140">
        <f>M21-M36</f>
        <v>147415527.38784868</v>
      </c>
      <c r="N34" s="197">
        <f t="shared" si="16"/>
        <v>3.9039999999999998E-2</v>
      </c>
      <c r="O34" s="150">
        <f t="shared" si="17"/>
        <v>5755102.1892216122</v>
      </c>
      <c r="X34" s="103" t="str">
        <f t="shared" si="18"/>
        <v>General Service &gt; 50 to 4999 kW</v>
      </c>
      <c r="Y34" s="185">
        <f t="shared" si="19"/>
        <v>5755102.1892216122</v>
      </c>
    </row>
    <row r="35" spans="2:25" x14ac:dyDescent="0.2">
      <c r="B35" s="149" t="s">
        <v>230</v>
      </c>
      <c r="C35" s="140">
        <v>0</v>
      </c>
      <c r="D35" s="141">
        <f t="shared" si="12"/>
        <v>1.0462</v>
      </c>
      <c r="E35" s="140">
        <v>0</v>
      </c>
      <c r="F35" s="197">
        <f t="shared" si="13"/>
        <v>3.9039999999999998E-2</v>
      </c>
      <c r="G35" s="150">
        <v>0</v>
      </c>
      <c r="J35" s="149" t="s">
        <v>230</v>
      </c>
      <c r="K35" s="140">
        <f t="shared" si="14"/>
        <v>0</v>
      </c>
      <c r="L35" s="141">
        <f t="shared" si="15"/>
        <v>1.0462</v>
      </c>
      <c r="M35" s="140">
        <v>0</v>
      </c>
      <c r="N35" s="197">
        <f t="shared" si="16"/>
        <v>3.9039999999999998E-2</v>
      </c>
      <c r="O35" s="150">
        <f t="shared" si="17"/>
        <v>0</v>
      </c>
      <c r="X35" s="103" t="str">
        <f t="shared" si="18"/>
        <v>General Service &gt; 1000 to 4999 kW</v>
      </c>
      <c r="Y35" s="185">
        <f t="shared" si="19"/>
        <v>0</v>
      </c>
    </row>
    <row r="36" spans="2:25" x14ac:dyDescent="0.2">
      <c r="B36" s="149" t="s">
        <v>332</v>
      </c>
      <c r="C36" s="140"/>
      <c r="D36" s="141"/>
      <c r="E36" s="140"/>
      <c r="F36" s="197"/>
      <c r="G36" s="150"/>
      <c r="J36" s="149"/>
      <c r="K36" s="140"/>
      <c r="L36" s="141"/>
      <c r="M36" s="140">
        <v>39563571.202138513</v>
      </c>
      <c r="N36" s="197">
        <f>H9</f>
        <v>5.5595450673550172E-2</v>
      </c>
      <c r="O36" s="150">
        <f t="shared" si="17"/>
        <v>2199554.5712379818</v>
      </c>
      <c r="X36" s="103" t="str">
        <f>X34</f>
        <v>General Service &gt; 50 to 4999 kW</v>
      </c>
      <c r="Y36" s="185">
        <f t="shared" si="19"/>
        <v>2199554.5712379818</v>
      </c>
    </row>
    <row r="37" spans="2:25" x14ac:dyDescent="0.2">
      <c r="B37" s="149" t="s">
        <v>231</v>
      </c>
      <c r="C37" s="140">
        <v>0</v>
      </c>
      <c r="D37" s="141">
        <f>D23</f>
        <v>1.0462</v>
      </c>
      <c r="E37" s="140">
        <v>0</v>
      </c>
      <c r="F37" s="197">
        <f t="shared" si="13"/>
        <v>3.9039999999999998E-2</v>
      </c>
      <c r="G37" s="150">
        <v>0</v>
      </c>
      <c r="J37" s="149" t="s">
        <v>231</v>
      </c>
      <c r="K37" s="140">
        <f t="shared" si="14"/>
        <v>0</v>
      </c>
      <c r="L37" s="141">
        <f>L23</f>
        <v>1.0462</v>
      </c>
      <c r="M37" s="140">
        <v>0</v>
      </c>
      <c r="N37" s="197">
        <f t="shared" si="16"/>
        <v>3.9039999999999998E-2</v>
      </c>
      <c r="O37" s="150">
        <f t="shared" si="17"/>
        <v>0</v>
      </c>
      <c r="X37" s="103" t="str">
        <f t="shared" si="18"/>
        <v>Large User</v>
      </c>
      <c r="Y37" s="185">
        <f t="shared" si="19"/>
        <v>0</v>
      </c>
    </row>
    <row r="38" spans="2:25" x14ac:dyDescent="0.2">
      <c r="B38" s="149" t="s">
        <v>113</v>
      </c>
      <c r="C38" s="140">
        <v>0</v>
      </c>
      <c r="D38" s="141">
        <f>D24</f>
        <v>1.0462</v>
      </c>
      <c r="E38" s="140">
        <v>0</v>
      </c>
      <c r="F38" s="197">
        <f t="shared" si="13"/>
        <v>3.9039999999999998E-2</v>
      </c>
      <c r="G38" s="150">
        <v>0</v>
      </c>
      <c r="J38" s="149" t="s">
        <v>113</v>
      </c>
      <c r="K38" s="140">
        <f t="shared" si="14"/>
        <v>0</v>
      </c>
      <c r="L38" s="141">
        <f>L24</f>
        <v>1.0462</v>
      </c>
      <c r="M38" s="140">
        <f>M24</f>
        <v>0</v>
      </c>
      <c r="N38" s="197">
        <f t="shared" si="16"/>
        <v>3.9039999999999998E-2</v>
      </c>
      <c r="O38" s="150">
        <f t="shared" si="17"/>
        <v>0</v>
      </c>
      <c r="X38" s="103" t="str">
        <f t="shared" si="18"/>
        <v>Sentinel Lights</v>
      </c>
      <c r="Y38" s="185">
        <f t="shared" si="19"/>
        <v>0</v>
      </c>
    </row>
    <row r="39" spans="2:25" x14ac:dyDescent="0.2">
      <c r="B39" s="149" t="s">
        <v>61</v>
      </c>
      <c r="C39" s="140">
        <v>0</v>
      </c>
      <c r="D39" s="141">
        <f>D25</f>
        <v>1.0462</v>
      </c>
      <c r="E39" s="140">
        <v>0</v>
      </c>
      <c r="F39" s="197">
        <f t="shared" si="13"/>
        <v>3.9039999999999998E-2</v>
      </c>
      <c r="G39" s="150">
        <v>0</v>
      </c>
      <c r="J39" s="149" t="s">
        <v>61</v>
      </c>
      <c r="K39" s="140">
        <f t="shared" si="14"/>
        <v>2330281.505150815</v>
      </c>
      <c r="L39" s="141">
        <f>L25</f>
        <v>1.0462</v>
      </c>
      <c r="M39" s="140">
        <f>M25</f>
        <v>2437940.5106887827</v>
      </c>
      <c r="N39" s="197">
        <f t="shared" si="16"/>
        <v>3.9039999999999998E-2</v>
      </c>
      <c r="O39" s="150">
        <f t="shared" si="17"/>
        <v>95177.197537290078</v>
      </c>
      <c r="X39" s="103" t="str">
        <f t="shared" si="18"/>
        <v>Street Lights</v>
      </c>
      <c r="Y39" s="185">
        <f t="shared" si="19"/>
        <v>95177.197537290078</v>
      </c>
    </row>
    <row r="40" spans="2:25" x14ac:dyDescent="0.2">
      <c r="B40" s="149" t="s">
        <v>2</v>
      </c>
      <c r="C40" s="140">
        <v>0</v>
      </c>
      <c r="D40" s="141">
        <f>D26</f>
        <v>1.0462</v>
      </c>
      <c r="E40" s="140">
        <v>0</v>
      </c>
      <c r="F40" s="197">
        <f t="shared" si="13"/>
        <v>3.9039999999999998E-2</v>
      </c>
      <c r="G40" s="150">
        <v>0</v>
      </c>
      <c r="J40" s="149" t="s">
        <v>2</v>
      </c>
      <c r="K40" s="140">
        <f t="shared" si="14"/>
        <v>0</v>
      </c>
      <c r="L40" s="141">
        <f>L26</f>
        <v>1.0462</v>
      </c>
      <c r="M40" s="140">
        <v>0</v>
      </c>
      <c r="N40" s="197">
        <f t="shared" si="16"/>
        <v>3.9039999999999998E-2</v>
      </c>
      <c r="O40" s="150">
        <f t="shared" si="17"/>
        <v>0</v>
      </c>
      <c r="X40" s="103" t="str">
        <f t="shared" si="18"/>
        <v xml:space="preserve">Unmetered Loads </v>
      </c>
      <c r="Y40" s="185">
        <f t="shared" si="19"/>
        <v>0</v>
      </c>
    </row>
    <row r="41" spans="2:25" x14ac:dyDescent="0.2">
      <c r="B41" s="149" t="s">
        <v>232</v>
      </c>
      <c r="C41" s="140">
        <v>0</v>
      </c>
      <c r="D41" s="141">
        <f>D27</f>
        <v>1.0462</v>
      </c>
      <c r="E41" s="140">
        <v>0</v>
      </c>
      <c r="F41" s="197">
        <f t="shared" si="13"/>
        <v>3.9039999999999998E-2</v>
      </c>
      <c r="G41" s="150">
        <v>0</v>
      </c>
      <c r="J41" s="149" t="s">
        <v>232</v>
      </c>
      <c r="K41" s="140">
        <f t="shared" si="14"/>
        <v>0</v>
      </c>
      <c r="L41" s="141">
        <f>L27</f>
        <v>1.0462</v>
      </c>
      <c r="M41" s="140">
        <v>0</v>
      </c>
      <c r="N41" s="197">
        <f t="shared" si="16"/>
        <v>3.9039999999999998E-2</v>
      </c>
      <c r="O41" s="150">
        <f t="shared" si="17"/>
        <v>0</v>
      </c>
      <c r="Y41" s="185">
        <f>SUM(Y32:Y40)</f>
        <v>8678210.7530521285</v>
      </c>
    </row>
    <row r="42" spans="2:25" x14ac:dyDescent="0.2">
      <c r="B42" s="144" t="s">
        <v>66</v>
      </c>
      <c r="C42" s="145">
        <v>0</v>
      </c>
      <c r="D42" s="151"/>
      <c r="E42" s="145">
        <v>0</v>
      </c>
      <c r="F42" s="152"/>
      <c r="G42" s="153">
        <v>0</v>
      </c>
      <c r="J42" s="144" t="s">
        <v>66</v>
      </c>
      <c r="K42" s="145">
        <v>12568429.530834196</v>
      </c>
      <c r="L42" s="151"/>
      <c r="M42" s="145">
        <v>13360240.59127675</v>
      </c>
      <c r="N42" s="152"/>
      <c r="O42" s="153">
        <f>SUM(O32:O41)</f>
        <v>8678210.7530521285</v>
      </c>
      <c r="Q42" s="155">
        <f>O42+G42</f>
        <v>8678210.7530521285</v>
      </c>
    </row>
    <row r="44" spans="2:25" x14ac:dyDescent="0.2">
      <c r="B44" s="163" t="s">
        <v>71</v>
      </c>
      <c r="C44" s="164"/>
      <c r="D44" s="160" t="s">
        <v>72</v>
      </c>
      <c r="E44" s="657">
        <f>H3</f>
        <v>2023</v>
      </c>
      <c r="F44" s="658"/>
      <c r="G44" s="659"/>
      <c r="J44" s="163" t="s">
        <v>71</v>
      </c>
      <c r="K44" s="164"/>
      <c r="L44" s="160" t="s">
        <v>72</v>
      </c>
      <c r="M44" s="657">
        <f>H3</f>
        <v>2023</v>
      </c>
      <c r="N44" s="658"/>
      <c r="O44" s="659"/>
    </row>
    <row r="45" spans="2:25" x14ac:dyDescent="0.2">
      <c r="B45" s="148" t="s">
        <v>70</v>
      </c>
      <c r="C45" s="162"/>
      <c r="D45" s="161" t="s">
        <v>73</v>
      </c>
      <c r="E45" s="660"/>
      <c r="F45" s="661"/>
      <c r="G45" s="662"/>
      <c r="J45" s="148" t="s">
        <v>70</v>
      </c>
      <c r="K45" s="162"/>
      <c r="L45" s="161" t="s">
        <v>73</v>
      </c>
      <c r="M45" s="660"/>
      <c r="N45" s="661"/>
      <c r="O45" s="662"/>
    </row>
    <row r="46" spans="2:25" ht="15" x14ac:dyDescent="0.25">
      <c r="B46" s="149" t="str">
        <f>J19</f>
        <v xml:space="preserve">Residential </v>
      </c>
      <c r="C46" s="140"/>
      <c r="D46" s="166" t="s">
        <v>64</v>
      </c>
      <c r="E46" s="140">
        <f>E19</f>
        <v>282766256.89932698</v>
      </c>
      <c r="F46" s="199">
        <v>8.9999999999999993E-3</v>
      </c>
      <c r="G46" s="150">
        <f>(E46*F46)</f>
        <v>2544896.3120939424</v>
      </c>
      <c r="J46" s="149" t="s">
        <v>1</v>
      </c>
      <c r="K46" s="140"/>
      <c r="L46" s="166" t="s">
        <v>64</v>
      </c>
      <c r="M46" s="140">
        <f>M32</f>
        <v>3505309.1907568513</v>
      </c>
      <c r="N46" s="193">
        <f>F46</f>
        <v>8.9999999999999993E-3</v>
      </c>
      <c r="O46" s="150">
        <f>M46*N46</f>
        <v>31547.78271681166</v>
      </c>
      <c r="R46" s="204" t="s">
        <v>302</v>
      </c>
      <c r="S46" s="185">
        <f>-(O46+G46+G53+O53)</f>
        <v>-2584072.7598030875</v>
      </c>
      <c r="X46" s="103" t="str">
        <f>J46</f>
        <v xml:space="preserve">Residential </v>
      </c>
      <c r="Y46" s="185">
        <f>O46+G46</f>
        <v>2576444.0948107541</v>
      </c>
    </row>
    <row r="47" spans="2:25" ht="15" x14ac:dyDescent="0.25">
      <c r="B47" s="149" t="str">
        <f>J20</f>
        <v>General Service &lt; 50 kW</v>
      </c>
      <c r="C47" s="140"/>
      <c r="D47" s="166" t="s">
        <v>64</v>
      </c>
      <c r="E47" s="140">
        <f>E20</f>
        <v>69888886.114347801</v>
      </c>
      <c r="F47" s="199">
        <v>8.3000000000000001E-3</v>
      </c>
      <c r="G47" s="150">
        <f t="shared" ref="G47:G54" si="20">E47*F47</f>
        <v>580077.7547490868</v>
      </c>
      <c r="J47" s="149" t="s">
        <v>105</v>
      </c>
      <c r="K47" s="140"/>
      <c r="L47" s="166" t="s">
        <v>64</v>
      </c>
      <c r="M47" s="140">
        <f>M33</f>
        <v>12590407.895699233</v>
      </c>
      <c r="N47" s="193">
        <f t="shared" ref="N47:N54" si="21">F47</f>
        <v>8.3000000000000001E-3</v>
      </c>
      <c r="O47" s="150">
        <f t="shared" ref="O47:O54" si="22">M47*N47</f>
        <v>104500.38553430363</v>
      </c>
      <c r="R47" s="204" t="s">
        <v>303</v>
      </c>
      <c r="S47" s="185">
        <f>-(G47+O47)</f>
        <v>-684578.14028339041</v>
      </c>
      <c r="X47" s="103" t="str">
        <f t="shared" ref="X47:X54" si="23">J47</f>
        <v>General Service &lt; 50 kW</v>
      </c>
      <c r="Y47" s="185">
        <f t="shared" ref="Y47:Y54" si="24">O47+G47</f>
        <v>684578.14028339041</v>
      </c>
    </row>
    <row r="48" spans="2:25" ht="15" x14ac:dyDescent="0.25">
      <c r="B48" s="149" t="str">
        <f>J21</f>
        <v>General Service &gt; 50 to 4999 kW</v>
      </c>
      <c r="C48" s="140"/>
      <c r="D48" s="166" t="s">
        <v>65</v>
      </c>
      <c r="E48" s="140">
        <f>D7*E7</f>
        <v>100029.93024212275</v>
      </c>
      <c r="F48" s="199">
        <v>3.3696999999999999</v>
      </c>
      <c r="G48" s="150">
        <f t="shared" si="20"/>
        <v>337070.85593688104</v>
      </c>
      <c r="J48" s="149" t="s">
        <v>229</v>
      </c>
      <c r="K48" s="140"/>
      <c r="L48" s="166" t="s">
        <v>65</v>
      </c>
      <c r="M48" s="140">
        <f>($D$7-$E$48)*0.25</f>
        <v>110503.14487969154</v>
      </c>
      <c r="N48" s="193">
        <f t="shared" si="21"/>
        <v>3.3696999999999999</v>
      </c>
      <c r="O48" s="150">
        <f t="shared" si="22"/>
        <v>372362.44730109657</v>
      </c>
      <c r="R48" s="204" t="s">
        <v>304</v>
      </c>
      <c r="S48" s="185">
        <f>-(G48+O48+O49)</f>
        <v>-2114635.4947860874</v>
      </c>
      <c r="X48" s="103" t="str">
        <f t="shared" si="23"/>
        <v>General Service &gt; 50 to 4999 kW</v>
      </c>
      <c r="Y48" s="185">
        <f t="shared" si="24"/>
        <v>709433.30323797767</v>
      </c>
    </row>
    <row r="49" spans="2:25" ht="15" x14ac:dyDescent="0.25">
      <c r="B49" s="149" t="s">
        <v>327</v>
      </c>
      <c r="C49" s="140"/>
      <c r="D49" s="166" t="s">
        <v>65</v>
      </c>
      <c r="E49" s="140">
        <f>D8</f>
        <v>0</v>
      </c>
      <c r="F49" s="199">
        <v>4.2388000000000003</v>
      </c>
      <c r="G49" s="150">
        <f t="shared" si="20"/>
        <v>0</v>
      </c>
      <c r="J49" s="149" t="s">
        <v>230</v>
      </c>
      <c r="K49" s="140"/>
      <c r="L49" s="166" t="s">
        <v>65</v>
      </c>
      <c r="M49" s="140">
        <f>($D$7-$E$48)*0.75</f>
        <v>331509.43463907461</v>
      </c>
      <c r="N49" s="193">
        <f t="shared" si="21"/>
        <v>4.2388000000000003</v>
      </c>
      <c r="O49" s="150">
        <f t="shared" si="22"/>
        <v>1405202.1915481095</v>
      </c>
      <c r="R49" s="204" t="s">
        <v>305</v>
      </c>
      <c r="S49" s="185">
        <f>-(O52+G52)</f>
        <v>-18304.005015286344</v>
      </c>
      <c r="X49" s="103" t="str">
        <f t="shared" si="23"/>
        <v>General Service &gt; 1000 to 4999 kW</v>
      </c>
      <c r="Y49" s="185">
        <f t="shared" si="24"/>
        <v>1405202.1915481095</v>
      </c>
    </row>
    <row r="50" spans="2:25" ht="15" x14ac:dyDescent="0.25">
      <c r="B50" s="149" t="str">
        <f>J23</f>
        <v>Large User</v>
      </c>
      <c r="C50" s="140"/>
      <c r="D50" s="166" t="s">
        <v>65</v>
      </c>
      <c r="E50" s="140">
        <f>D9</f>
        <v>0</v>
      </c>
      <c r="F50" s="199">
        <v>0</v>
      </c>
      <c r="G50" s="150">
        <f t="shared" si="20"/>
        <v>0</v>
      </c>
      <c r="J50" s="149" t="s">
        <v>231</v>
      </c>
      <c r="K50" s="140"/>
      <c r="L50" s="166" t="s">
        <v>65</v>
      </c>
      <c r="M50" s="140">
        <v>0</v>
      </c>
      <c r="N50" s="193">
        <f t="shared" si="21"/>
        <v>0</v>
      </c>
      <c r="O50" s="150">
        <f t="shared" si="22"/>
        <v>0</v>
      </c>
      <c r="R50" s="204" t="s">
        <v>306</v>
      </c>
      <c r="S50" s="185">
        <f>-(G51+O51)</f>
        <v>-1446.592597998032</v>
      </c>
      <c r="X50" s="103" t="str">
        <f t="shared" si="23"/>
        <v>Large User</v>
      </c>
      <c r="Y50" s="185">
        <f t="shared" si="24"/>
        <v>0</v>
      </c>
    </row>
    <row r="51" spans="2:25" x14ac:dyDescent="0.2">
      <c r="B51" s="149" t="s">
        <v>113</v>
      </c>
      <c r="C51" s="140"/>
      <c r="D51" s="166" t="s">
        <v>65</v>
      </c>
      <c r="E51" s="140">
        <f>D10*E10</f>
        <v>566.24754295926414</v>
      </c>
      <c r="F51" s="199">
        <v>2.5547</v>
      </c>
      <c r="G51" s="150">
        <f t="shared" si="20"/>
        <v>1446.592597998032</v>
      </c>
      <c r="J51" s="149" t="s">
        <v>113</v>
      </c>
      <c r="K51" s="140"/>
      <c r="L51" s="166" t="s">
        <v>65</v>
      </c>
      <c r="M51" s="140">
        <f>D10-E51</f>
        <v>0</v>
      </c>
      <c r="N51" s="193">
        <f t="shared" si="21"/>
        <v>2.5547</v>
      </c>
      <c r="O51" s="150">
        <f t="shared" si="22"/>
        <v>0</v>
      </c>
      <c r="X51" s="103" t="str">
        <f t="shared" si="23"/>
        <v>Sentinel Lights</v>
      </c>
      <c r="Y51" s="185">
        <f t="shared" si="24"/>
        <v>1446.592597998032</v>
      </c>
    </row>
    <row r="52" spans="2:25" x14ac:dyDescent="0.2">
      <c r="B52" s="149" t="str">
        <f>J25</f>
        <v>Street Lights</v>
      </c>
      <c r="C52" s="140"/>
      <c r="D52" s="166" t="s">
        <v>65</v>
      </c>
      <c r="E52" s="140">
        <f>D11*E11</f>
        <v>379.65200582021504</v>
      </c>
      <c r="F52" s="199">
        <v>2.5421999999999998</v>
      </c>
      <c r="G52" s="150">
        <f t="shared" si="20"/>
        <v>965.15132919615064</v>
      </c>
      <c r="J52" s="149" t="s">
        <v>61</v>
      </c>
      <c r="K52" s="140"/>
      <c r="L52" s="166" t="s">
        <v>65</v>
      </c>
      <c r="M52" s="140">
        <f>D11-E52</f>
        <v>6820.4129046063244</v>
      </c>
      <c r="N52" s="193">
        <f t="shared" si="21"/>
        <v>2.5421999999999998</v>
      </c>
      <c r="O52" s="150">
        <f t="shared" si="22"/>
        <v>17338.853686090195</v>
      </c>
      <c r="X52" s="103" t="str">
        <f t="shared" si="23"/>
        <v>Street Lights</v>
      </c>
      <c r="Y52" s="185">
        <f t="shared" si="24"/>
        <v>18304.005015286344</v>
      </c>
    </row>
    <row r="53" spans="2:25" x14ac:dyDescent="0.2">
      <c r="B53" s="149" t="str">
        <f>J26</f>
        <v xml:space="preserve">Unmetered Loads </v>
      </c>
      <c r="C53" s="140"/>
      <c r="D53" s="166" t="s">
        <v>64</v>
      </c>
      <c r="E53" s="140">
        <f>E26</f>
        <v>919116.2641365577</v>
      </c>
      <c r="F53" s="199">
        <v>8.3000000000000001E-3</v>
      </c>
      <c r="G53" s="150">
        <f t="shared" si="20"/>
        <v>7628.6649923334289</v>
      </c>
      <c r="J53" s="149" t="s">
        <v>2</v>
      </c>
      <c r="K53" s="140"/>
      <c r="L53" s="166" t="s">
        <v>64</v>
      </c>
      <c r="M53" s="140">
        <f>E26-E53</f>
        <v>0</v>
      </c>
      <c r="N53" s="193">
        <f t="shared" si="21"/>
        <v>8.3000000000000001E-3</v>
      </c>
      <c r="O53" s="150">
        <f t="shared" si="22"/>
        <v>0</v>
      </c>
      <c r="X53" s="103" t="str">
        <f t="shared" si="23"/>
        <v xml:space="preserve">Unmetered Loads </v>
      </c>
      <c r="Y53" s="185">
        <f t="shared" si="24"/>
        <v>7628.6649923334289</v>
      </c>
    </row>
    <row r="54" spans="2:25" x14ac:dyDescent="0.2">
      <c r="B54" s="149" t="str">
        <f>J27</f>
        <v>Embedded Distributors - Hydro One</v>
      </c>
      <c r="C54" s="140"/>
      <c r="D54" s="166" t="s">
        <v>65</v>
      </c>
      <c r="E54" s="140">
        <f>D13</f>
        <v>0</v>
      </c>
      <c r="F54" s="193"/>
      <c r="G54" s="150">
        <f t="shared" si="20"/>
        <v>0</v>
      </c>
      <c r="J54" s="149" t="s">
        <v>232</v>
      </c>
      <c r="K54" s="140"/>
      <c r="L54" s="166" t="s">
        <v>65</v>
      </c>
      <c r="M54" s="140">
        <v>0</v>
      </c>
      <c r="N54" s="193">
        <f t="shared" si="21"/>
        <v>0</v>
      </c>
      <c r="O54" s="150">
        <f t="shared" si="22"/>
        <v>0</v>
      </c>
      <c r="X54" s="103" t="str">
        <f t="shared" si="23"/>
        <v>Embedded Distributors - Hydro One</v>
      </c>
      <c r="Y54" s="185">
        <f t="shared" si="24"/>
        <v>0</v>
      </c>
    </row>
    <row r="55" spans="2:25" x14ac:dyDescent="0.2">
      <c r="B55" s="144" t="s">
        <v>66</v>
      </c>
      <c r="C55" s="145"/>
      <c r="D55" s="151"/>
      <c r="E55" s="145">
        <f>SUM(E46:E54)</f>
        <v>353675235.10760224</v>
      </c>
      <c r="F55" s="154"/>
      <c r="G55" s="153">
        <f>SUM(G46:G54)</f>
        <v>3472085.3316994379</v>
      </c>
      <c r="J55" s="144" t="s">
        <v>66</v>
      </c>
      <c r="K55" s="145"/>
      <c r="L55" s="151"/>
      <c r="M55" s="145">
        <v>1811490.6734615513</v>
      </c>
      <c r="N55" s="154"/>
      <c r="O55" s="153">
        <f>SUM(O46:O54)</f>
        <v>1930951.6607864115</v>
      </c>
      <c r="Q55" s="155">
        <f>O55+G55</f>
        <v>5403036.9924858492</v>
      </c>
      <c r="Y55" s="185">
        <f>SUM(Y46:Y54)</f>
        <v>5403036.9924858501</v>
      </c>
    </row>
    <row r="57" spans="2:25" x14ac:dyDescent="0.2">
      <c r="B57" s="163" t="s">
        <v>74</v>
      </c>
      <c r="C57" s="164"/>
      <c r="D57" s="168" t="s">
        <v>72</v>
      </c>
      <c r="E57" s="657">
        <f>H3</f>
        <v>2023</v>
      </c>
      <c r="F57" s="658"/>
      <c r="G57" s="659"/>
      <c r="J57" s="163" t="s">
        <v>74</v>
      </c>
      <c r="K57" s="164"/>
      <c r="L57" s="160" t="s">
        <v>72</v>
      </c>
      <c r="M57" s="657">
        <f>H3</f>
        <v>2023</v>
      </c>
      <c r="N57" s="658"/>
      <c r="O57" s="659"/>
    </row>
    <row r="58" spans="2:25" x14ac:dyDescent="0.2">
      <c r="B58" s="148" t="s">
        <v>70</v>
      </c>
      <c r="C58" s="162"/>
      <c r="D58" s="169" t="s">
        <v>73</v>
      </c>
      <c r="E58" s="660"/>
      <c r="F58" s="661"/>
      <c r="G58" s="662"/>
      <c r="J58" s="148" t="s">
        <v>70</v>
      </c>
      <c r="K58" s="162"/>
      <c r="L58" s="161" t="s">
        <v>73</v>
      </c>
      <c r="M58" s="660"/>
      <c r="N58" s="661"/>
      <c r="O58" s="662"/>
    </row>
    <row r="59" spans="2:25" x14ac:dyDescent="0.2">
      <c r="B59" s="149" t="str">
        <f>B46</f>
        <v xml:space="preserve">Residential </v>
      </c>
      <c r="C59" s="140"/>
      <c r="D59" s="166" t="str">
        <f t="shared" ref="D59:E63" si="25">D46</f>
        <v>kWh</v>
      </c>
      <c r="E59" s="140">
        <f t="shared" si="25"/>
        <v>282766256.89932698</v>
      </c>
      <c r="F59" s="167">
        <v>0</v>
      </c>
      <c r="G59" s="150">
        <f>(E59*F59)</f>
        <v>0</v>
      </c>
      <c r="J59" s="149" t="s">
        <v>1</v>
      </c>
      <c r="K59" s="140"/>
      <c r="L59" s="166" t="s">
        <v>64</v>
      </c>
      <c r="M59" s="140">
        <f>M46</f>
        <v>3505309.1907568513</v>
      </c>
      <c r="N59" s="167">
        <f>F59</f>
        <v>0</v>
      </c>
      <c r="O59" s="150">
        <f>M59*N59</f>
        <v>0</v>
      </c>
      <c r="X59" s="103" t="str">
        <f>J59</f>
        <v xml:space="preserve">Residential </v>
      </c>
      <c r="Y59" s="185">
        <f>O59+G59</f>
        <v>0</v>
      </c>
    </row>
    <row r="60" spans="2:25" x14ac:dyDescent="0.2">
      <c r="B60" s="149" t="str">
        <f>B47</f>
        <v>General Service &lt; 50 kW</v>
      </c>
      <c r="C60" s="140"/>
      <c r="D60" s="166" t="str">
        <f t="shared" si="25"/>
        <v>kWh</v>
      </c>
      <c r="E60" s="140">
        <f t="shared" si="25"/>
        <v>69888886.114347801</v>
      </c>
      <c r="F60" s="193">
        <f>F59</f>
        <v>0</v>
      </c>
      <c r="G60" s="150">
        <f t="shared" ref="G60:G67" si="26">(E60*F60)</f>
        <v>0</v>
      </c>
      <c r="J60" s="149" t="s">
        <v>105</v>
      </c>
      <c r="K60" s="140"/>
      <c r="L60" s="166" t="s">
        <v>64</v>
      </c>
      <c r="M60" s="140">
        <f t="shared" ref="M60:M67" si="27">M47</f>
        <v>12590407.895699233</v>
      </c>
      <c r="N60" s="193">
        <f t="shared" ref="N60:N66" si="28">F60</f>
        <v>0</v>
      </c>
      <c r="O60" s="150">
        <f t="shared" ref="O60:O67" si="29">M60*N60</f>
        <v>0</v>
      </c>
      <c r="X60" s="103" t="str">
        <f t="shared" ref="X60:X67" si="30">J60</f>
        <v>General Service &lt; 50 kW</v>
      </c>
      <c r="Y60" s="185">
        <f t="shared" ref="Y60:Y67" si="31">O60+G60</f>
        <v>0</v>
      </c>
    </row>
    <row r="61" spans="2:25" x14ac:dyDescent="0.2">
      <c r="B61" s="149" t="str">
        <f>B48</f>
        <v>General Service &gt; 50 to 4999 kW</v>
      </c>
      <c r="C61" s="140"/>
      <c r="D61" s="166" t="str">
        <f t="shared" si="25"/>
        <v>kW</v>
      </c>
      <c r="E61" s="140">
        <f>D7*E7</f>
        <v>100029.93024212275</v>
      </c>
      <c r="F61" s="193">
        <f t="shared" ref="F61:F66" si="32">F60</f>
        <v>0</v>
      </c>
      <c r="G61" s="150">
        <f t="shared" si="26"/>
        <v>0</v>
      </c>
      <c r="J61" s="149" t="s">
        <v>229</v>
      </c>
      <c r="K61" s="140"/>
      <c r="L61" s="166" t="s">
        <v>65</v>
      </c>
      <c r="M61" s="140">
        <f t="shared" si="27"/>
        <v>110503.14487969154</v>
      </c>
      <c r="N61" s="193">
        <f t="shared" si="28"/>
        <v>0</v>
      </c>
      <c r="O61" s="150">
        <f t="shared" si="29"/>
        <v>0</v>
      </c>
      <c r="X61" s="103" t="str">
        <f t="shared" si="30"/>
        <v>General Service &gt; 50 to 4999 kW</v>
      </c>
      <c r="Y61" s="185">
        <f t="shared" si="31"/>
        <v>0</v>
      </c>
    </row>
    <row r="62" spans="2:25" x14ac:dyDescent="0.2">
      <c r="B62" s="149" t="str">
        <f>B49</f>
        <v>General Service &gt; 50 to 4999 kW Interval</v>
      </c>
      <c r="C62" s="140"/>
      <c r="D62" s="166" t="str">
        <f t="shared" si="25"/>
        <v>kW</v>
      </c>
      <c r="E62" s="140">
        <f t="shared" si="25"/>
        <v>0</v>
      </c>
      <c r="F62" s="193">
        <f t="shared" si="32"/>
        <v>0</v>
      </c>
      <c r="G62" s="150">
        <f t="shared" si="26"/>
        <v>0</v>
      </c>
      <c r="J62" s="149" t="s">
        <v>230</v>
      </c>
      <c r="K62" s="140"/>
      <c r="L62" s="166" t="s">
        <v>65</v>
      </c>
      <c r="M62" s="140">
        <f t="shared" si="27"/>
        <v>331509.43463907461</v>
      </c>
      <c r="N62" s="193">
        <f t="shared" si="28"/>
        <v>0</v>
      </c>
      <c r="O62" s="150">
        <f t="shared" si="29"/>
        <v>0</v>
      </c>
      <c r="X62" s="103" t="str">
        <f t="shared" si="30"/>
        <v>General Service &gt; 1000 to 4999 kW</v>
      </c>
      <c r="Y62" s="185">
        <f t="shared" si="31"/>
        <v>0</v>
      </c>
    </row>
    <row r="63" spans="2:25" x14ac:dyDescent="0.2">
      <c r="B63" s="149" t="str">
        <f>B50</f>
        <v>Large User</v>
      </c>
      <c r="C63" s="140"/>
      <c r="D63" s="166" t="str">
        <f t="shared" si="25"/>
        <v>kW</v>
      </c>
      <c r="E63" s="140">
        <f t="shared" si="25"/>
        <v>0</v>
      </c>
      <c r="F63" s="193">
        <f t="shared" si="32"/>
        <v>0</v>
      </c>
      <c r="G63" s="150">
        <f t="shared" si="26"/>
        <v>0</v>
      </c>
      <c r="J63" s="149" t="s">
        <v>231</v>
      </c>
      <c r="K63" s="140"/>
      <c r="L63" s="166" t="s">
        <v>65</v>
      </c>
      <c r="M63" s="140">
        <f t="shared" si="27"/>
        <v>0</v>
      </c>
      <c r="N63" s="193">
        <f t="shared" si="28"/>
        <v>0</v>
      </c>
      <c r="O63" s="150">
        <f t="shared" si="29"/>
        <v>0</v>
      </c>
      <c r="X63" s="103" t="str">
        <f t="shared" si="30"/>
        <v>Large User</v>
      </c>
      <c r="Y63" s="185">
        <f t="shared" si="31"/>
        <v>0</v>
      </c>
    </row>
    <row r="64" spans="2:25" x14ac:dyDescent="0.2">
      <c r="B64" s="149" t="s">
        <v>113</v>
      </c>
      <c r="C64" s="140"/>
      <c r="D64" s="166" t="str">
        <f>D51</f>
        <v>kW</v>
      </c>
      <c r="E64" s="140">
        <v>570</v>
      </c>
      <c r="F64" s="193">
        <f t="shared" si="32"/>
        <v>0</v>
      </c>
      <c r="G64" s="150">
        <f t="shared" si="26"/>
        <v>0</v>
      </c>
      <c r="J64" s="149" t="s">
        <v>113</v>
      </c>
      <c r="K64" s="140"/>
      <c r="L64" s="166" t="s">
        <v>65</v>
      </c>
      <c r="M64" s="140">
        <f t="shared" si="27"/>
        <v>0</v>
      </c>
      <c r="N64" s="193">
        <f t="shared" si="28"/>
        <v>0</v>
      </c>
      <c r="O64" s="150">
        <f t="shared" si="29"/>
        <v>0</v>
      </c>
      <c r="X64" s="103" t="str">
        <f t="shared" si="30"/>
        <v>Sentinel Lights</v>
      </c>
      <c r="Y64" s="185">
        <f t="shared" si="31"/>
        <v>0</v>
      </c>
    </row>
    <row r="65" spans="2:25" x14ac:dyDescent="0.2">
      <c r="B65" s="149" t="str">
        <f>B52</f>
        <v>Street Lights</v>
      </c>
      <c r="C65" s="140"/>
      <c r="D65" s="166" t="str">
        <f>D52</f>
        <v>kW</v>
      </c>
      <c r="E65" s="140">
        <f>E52</f>
        <v>379.65200582021504</v>
      </c>
      <c r="F65" s="193">
        <f t="shared" si="32"/>
        <v>0</v>
      </c>
      <c r="G65" s="150">
        <f t="shared" si="26"/>
        <v>0</v>
      </c>
      <c r="J65" s="149" t="s">
        <v>61</v>
      </c>
      <c r="K65" s="140"/>
      <c r="L65" s="166" t="s">
        <v>65</v>
      </c>
      <c r="M65" s="140">
        <f t="shared" si="27"/>
        <v>6820.4129046063244</v>
      </c>
      <c r="N65" s="193">
        <f t="shared" si="28"/>
        <v>0</v>
      </c>
      <c r="O65" s="150">
        <f t="shared" si="29"/>
        <v>0</v>
      </c>
      <c r="X65" s="103" t="str">
        <f t="shared" si="30"/>
        <v>Street Lights</v>
      </c>
      <c r="Y65" s="185">
        <f t="shared" si="31"/>
        <v>0</v>
      </c>
    </row>
    <row r="66" spans="2:25" x14ac:dyDescent="0.2">
      <c r="B66" s="149" t="str">
        <f>B53</f>
        <v xml:space="preserve">Unmetered Loads </v>
      </c>
      <c r="C66" s="140"/>
      <c r="D66" s="166" t="str">
        <f>D53</f>
        <v>kWh</v>
      </c>
      <c r="E66" s="140">
        <f>E53</f>
        <v>919116.2641365577</v>
      </c>
      <c r="F66" s="193">
        <f t="shared" si="32"/>
        <v>0</v>
      </c>
      <c r="G66" s="150">
        <f t="shared" si="26"/>
        <v>0</v>
      </c>
      <c r="J66" s="149" t="s">
        <v>2</v>
      </c>
      <c r="K66" s="140"/>
      <c r="L66" s="166" t="s">
        <v>64</v>
      </c>
      <c r="M66" s="140">
        <f t="shared" si="27"/>
        <v>0</v>
      </c>
      <c r="N66" s="193">
        <f t="shared" si="28"/>
        <v>0</v>
      </c>
      <c r="O66" s="150">
        <f t="shared" si="29"/>
        <v>0</v>
      </c>
      <c r="X66" s="103" t="str">
        <f t="shared" si="30"/>
        <v xml:space="preserve">Unmetered Loads </v>
      </c>
      <c r="Y66" s="185">
        <f t="shared" si="31"/>
        <v>0</v>
      </c>
    </row>
    <row r="67" spans="2:25" x14ac:dyDescent="0.2">
      <c r="B67" s="149" t="str">
        <f>B54</f>
        <v>Embedded Distributors - Hydro One</v>
      </c>
      <c r="C67" s="140"/>
      <c r="D67" s="166" t="str">
        <f>D54</f>
        <v>kW</v>
      </c>
      <c r="E67" s="140">
        <f>E54</f>
        <v>0</v>
      </c>
      <c r="F67" s="193"/>
      <c r="G67" s="150">
        <f t="shared" si="26"/>
        <v>0</v>
      </c>
      <c r="J67" s="149" t="s">
        <v>232</v>
      </c>
      <c r="K67" s="140"/>
      <c r="L67" s="166" t="s">
        <v>65</v>
      </c>
      <c r="M67" s="140">
        <f t="shared" si="27"/>
        <v>0</v>
      </c>
      <c r="N67" s="193"/>
      <c r="O67" s="150">
        <f t="shared" si="29"/>
        <v>0</v>
      </c>
      <c r="X67" s="103" t="str">
        <f t="shared" si="30"/>
        <v>Embedded Distributors - Hydro One</v>
      </c>
      <c r="Y67" s="185">
        <f t="shared" si="31"/>
        <v>0</v>
      </c>
    </row>
    <row r="68" spans="2:25" x14ac:dyDescent="0.2">
      <c r="B68" s="144" t="s">
        <v>66</v>
      </c>
      <c r="C68" s="145"/>
      <c r="D68" s="151"/>
      <c r="E68" s="145">
        <f>SUM(E59:E67)</f>
        <v>353675238.86005926</v>
      </c>
      <c r="F68" s="154"/>
      <c r="G68" s="153">
        <f>SUM(G59:G67)</f>
        <v>0</v>
      </c>
      <c r="J68" s="144" t="s">
        <v>66</v>
      </c>
      <c r="K68" s="145"/>
      <c r="L68" s="151"/>
      <c r="M68" s="145">
        <v>43887404.8571916</v>
      </c>
      <c r="N68" s="154"/>
      <c r="O68" s="153">
        <f>SUM(O59:O67)</f>
        <v>0</v>
      </c>
      <c r="Q68" s="155">
        <f>O68+G68</f>
        <v>0</v>
      </c>
      <c r="Y68" s="185">
        <f>SUM(Y59:Y67)</f>
        <v>0</v>
      </c>
    </row>
    <row r="70" spans="2:25" x14ac:dyDescent="0.2">
      <c r="B70" s="163" t="s">
        <v>260</v>
      </c>
      <c r="C70" s="164"/>
      <c r="D70" s="168"/>
      <c r="E70" s="657">
        <f>H3</f>
        <v>2023</v>
      </c>
      <c r="F70" s="658"/>
      <c r="G70" s="659"/>
      <c r="J70" s="163" t="s">
        <v>75</v>
      </c>
      <c r="K70" s="164"/>
      <c r="L70" s="168"/>
      <c r="M70" s="657">
        <f>H3</f>
        <v>2023</v>
      </c>
      <c r="N70" s="658"/>
      <c r="O70" s="659"/>
    </row>
    <row r="71" spans="2:25" x14ac:dyDescent="0.2">
      <c r="B71" s="148" t="s">
        <v>70</v>
      </c>
      <c r="C71" s="162"/>
      <c r="D71" s="169"/>
      <c r="E71" s="660"/>
      <c r="F71" s="661"/>
      <c r="G71" s="662"/>
      <c r="J71" s="148" t="s">
        <v>70</v>
      </c>
      <c r="K71" s="162"/>
      <c r="L71" s="169"/>
      <c r="M71" s="660"/>
      <c r="N71" s="661"/>
      <c r="O71" s="662"/>
    </row>
    <row r="72" spans="2:25" ht="15" x14ac:dyDescent="0.25">
      <c r="B72" s="149" t="str">
        <f>B59</f>
        <v xml:space="preserve">Residential </v>
      </c>
      <c r="C72" s="140"/>
      <c r="D72" s="166" t="s">
        <v>64</v>
      </c>
      <c r="E72" s="140">
        <f>E59</f>
        <v>282766256.89932698</v>
      </c>
      <c r="F72" s="170">
        <f>0.003+0.0004</f>
        <v>3.4000000000000002E-3</v>
      </c>
      <c r="G72" s="150">
        <f>(E72*F72)</f>
        <v>961405.2734577118</v>
      </c>
      <c r="J72" s="149" t="s">
        <v>1</v>
      </c>
      <c r="K72" s="140"/>
      <c r="L72" s="166" t="s">
        <v>64</v>
      </c>
      <c r="M72" s="140">
        <f t="shared" ref="M72:M80" si="33">M19</f>
        <v>3505309.1907568513</v>
      </c>
      <c r="N72" s="201">
        <f>0.003+0.0004</f>
        <v>3.4000000000000002E-3</v>
      </c>
      <c r="O72" s="150">
        <f>N72*M72</f>
        <v>11918.051248573296</v>
      </c>
      <c r="R72" s="204" t="s">
        <v>297</v>
      </c>
      <c r="S72" s="185">
        <f>-(O72+G72+G79+O79+O85+G85+G92+O92+G98+O98+G105+O105)</f>
        <v>-982789.46391792467</v>
      </c>
      <c r="X72" s="103" t="str">
        <f>J72</f>
        <v xml:space="preserve">Residential </v>
      </c>
      <c r="Y72" s="185">
        <f>O72+G72</f>
        <v>973323.32470628514</v>
      </c>
    </row>
    <row r="73" spans="2:25" ht="15" x14ac:dyDescent="0.25">
      <c r="B73" s="149" t="str">
        <f>B60</f>
        <v>General Service &lt; 50 kW</v>
      </c>
      <c r="C73" s="140"/>
      <c r="D73" s="166" t="s">
        <v>64</v>
      </c>
      <c r="E73" s="140">
        <f>E60</f>
        <v>69888886.114347801</v>
      </c>
      <c r="F73" s="201">
        <f>$F$72</f>
        <v>3.4000000000000002E-3</v>
      </c>
      <c r="G73" s="150">
        <f t="shared" ref="G73:G80" si="34">(E73*F73)</f>
        <v>237622.21278878255</v>
      </c>
      <c r="J73" s="149" t="s">
        <v>105</v>
      </c>
      <c r="K73" s="140"/>
      <c r="L73" s="166" t="s">
        <v>64</v>
      </c>
      <c r="M73" s="140">
        <f t="shared" si="33"/>
        <v>12590407.895699233</v>
      </c>
      <c r="N73" s="201">
        <f>0.003+0.0004</f>
        <v>3.4000000000000002E-3</v>
      </c>
      <c r="O73" s="150">
        <f t="shared" ref="O73:O80" si="35">N73*M73</f>
        <v>42807.386845377398</v>
      </c>
      <c r="R73" s="204" t="s">
        <v>298</v>
      </c>
      <c r="S73" s="185">
        <f>-(G73+O73+O86+O99+G99+G86)</f>
        <v>-282250.73487754754</v>
      </c>
      <c r="X73" s="103" t="str">
        <f t="shared" ref="X73:X80" si="36">J73</f>
        <v>General Service &lt; 50 kW</v>
      </c>
      <c r="Y73" s="185">
        <f t="shared" ref="Y73:Y80" si="37">O73+G73</f>
        <v>280429.59963415994</v>
      </c>
    </row>
    <row r="74" spans="2:25" ht="15" x14ac:dyDescent="0.25">
      <c r="B74" s="149" t="str">
        <f>B61</f>
        <v>General Service &gt; 50 to 4999 kW</v>
      </c>
      <c r="C74" s="140"/>
      <c r="D74" s="166" t="s">
        <v>64</v>
      </c>
      <c r="E74" s="140">
        <f>E21</f>
        <v>42314420.573854573</v>
      </c>
      <c r="F74" s="201">
        <f>$F$72</f>
        <v>3.4000000000000002E-3</v>
      </c>
      <c r="G74" s="150">
        <f t="shared" si="34"/>
        <v>143869.02995110556</v>
      </c>
      <c r="J74" s="149" t="s">
        <v>229</v>
      </c>
      <c r="K74" s="140"/>
      <c r="L74" s="166" t="s">
        <v>64</v>
      </c>
      <c r="M74" s="140">
        <f t="shared" si="33"/>
        <v>186979098.58998719</v>
      </c>
      <c r="N74" s="201">
        <f>0.003+0.0004</f>
        <v>3.4000000000000002E-3</v>
      </c>
      <c r="O74" s="150">
        <f t="shared" si="35"/>
        <v>635728.93520595646</v>
      </c>
      <c r="R74" s="204" t="s">
        <v>299</v>
      </c>
      <c r="S74" s="185">
        <f>-(G74+O74+O87+G87+O100+G100)</f>
        <v>-784660.74502007558</v>
      </c>
      <c r="X74" s="103" t="str">
        <f t="shared" si="36"/>
        <v>General Service &gt; 50 to 4999 kW</v>
      </c>
      <c r="Y74" s="185">
        <f t="shared" si="37"/>
        <v>779597.96515706205</v>
      </c>
    </row>
    <row r="75" spans="2:25" ht="15" x14ac:dyDescent="0.25">
      <c r="B75" s="149" t="str">
        <f>B62</f>
        <v>General Service &gt; 50 to 4999 kW Interval</v>
      </c>
      <c r="C75" s="140"/>
      <c r="D75" s="166" t="s">
        <v>64</v>
      </c>
      <c r="E75" s="140">
        <f>E22+M22</f>
        <v>0</v>
      </c>
      <c r="F75" s="201"/>
      <c r="G75" s="150">
        <f t="shared" si="34"/>
        <v>0</v>
      </c>
      <c r="J75" s="149" t="s">
        <v>230</v>
      </c>
      <c r="K75" s="140"/>
      <c r="L75" s="166" t="s">
        <v>64</v>
      </c>
      <c r="M75" s="140">
        <f t="shared" si="33"/>
        <v>0</v>
      </c>
      <c r="N75" s="201"/>
      <c r="O75" s="150">
        <f t="shared" si="35"/>
        <v>0</v>
      </c>
      <c r="R75" s="204" t="s">
        <v>300</v>
      </c>
      <c r="S75" s="185">
        <f>-(O78+G78+O91+G91+O104+G104)</f>
        <v>-8807.2230374064002</v>
      </c>
      <c r="X75" s="103" t="str">
        <f t="shared" si="36"/>
        <v>General Service &gt; 1000 to 4999 kW</v>
      </c>
      <c r="Y75" s="185">
        <f t="shared" si="37"/>
        <v>0</v>
      </c>
    </row>
    <row r="76" spans="2:25" ht="15" x14ac:dyDescent="0.25">
      <c r="B76" s="149" t="str">
        <f>B63</f>
        <v>Large User</v>
      </c>
      <c r="C76" s="140"/>
      <c r="D76" s="166" t="s">
        <v>64</v>
      </c>
      <c r="E76" s="140">
        <f>E23+M23</f>
        <v>0</v>
      </c>
      <c r="F76" s="201"/>
      <c r="G76" s="150">
        <f t="shared" si="34"/>
        <v>0</v>
      </c>
      <c r="J76" s="149" t="s">
        <v>231</v>
      </c>
      <c r="K76" s="140"/>
      <c r="L76" s="166" t="s">
        <v>64</v>
      </c>
      <c r="M76" s="140">
        <f t="shared" si="33"/>
        <v>0</v>
      </c>
      <c r="N76" s="201"/>
      <c r="O76" s="150">
        <f t="shared" si="35"/>
        <v>0</v>
      </c>
      <c r="R76" s="204" t="s">
        <v>301</v>
      </c>
      <c r="S76" s="185">
        <f>-(G77+O77+O90+G90+G103+O103)</f>
        <v>-693.98532837994571</v>
      </c>
      <c r="X76" s="103" t="str">
        <f t="shared" si="36"/>
        <v>Large User</v>
      </c>
      <c r="Y76" s="185">
        <f t="shared" si="37"/>
        <v>0</v>
      </c>
    </row>
    <row r="77" spans="2:25" x14ac:dyDescent="0.2">
      <c r="B77" s="149" t="s">
        <v>113</v>
      </c>
      <c r="C77" s="140"/>
      <c r="D77" s="166" t="s">
        <v>64</v>
      </c>
      <c r="E77" s="140">
        <f>E24</f>
        <v>202796.35396854323</v>
      </c>
      <c r="F77" s="201">
        <f>$F$72</f>
        <v>3.4000000000000002E-3</v>
      </c>
      <c r="G77" s="150">
        <f t="shared" si="34"/>
        <v>689.5076034930471</v>
      </c>
      <c r="J77" s="149" t="s">
        <v>113</v>
      </c>
      <c r="K77" s="140"/>
      <c r="L77" s="166" t="s">
        <v>64</v>
      </c>
      <c r="M77" s="140">
        <f t="shared" si="33"/>
        <v>0</v>
      </c>
      <c r="N77" s="201">
        <f>0.003+0.0004</f>
        <v>3.4000000000000002E-3</v>
      </c>
      <c r="O77" s="150">
        <f t="shared" si="35"/>
        <v>0</v>
      </c>
      <c r="S77" s="185">
        <f>SUM(S72:S76)</f>
        <v>-2059202.1521813343</v>
      </c>
      <c r="X77" s="103" t="str">
        <f t="shared" si="36"/>
        <v>Sentinel Lights</v>
      </c>
      <c r="Y77" s="185">
        <f t="shared" si="37"/>
        <v>689.5076034930471</v>
      </c>
    </row>
    <row r="78" spans="2:25" x14ac:dyDescent="0.2">
      <c r="B78" s="149" t="str">
        <f>B65</f>
        <v>Street Lights</v>
      </c>
      <c r="C78" s="140"/>
      <c r="D78" s="166" t="s">
        <v>64</v>
      </c>
      <c r="E78" s="140">
        <f>E25</f>
        <v>135705.7142872173</v>
      </c>
      <c r="F78" s="201">
        <f>$F$72</f>
        <v>3.4000000000000002E-3</v>
      </c>
      <c r="G78" s="150">
        <f t="shared" si="34"/>
        <v>461.39942857653887</v>
      </c>
      <c r="J78" s="149" t="s">
        <v>61</v>
      </c>
      <c r="K78" s="140"/>
      <c r="L78" s="166" t="s">
        <v>64</v>
      </c>
      <c r="M78" s="140">
        <f t="shared" si="33"/>
        <v>2437940.5106887827</v>
      </c>
      <c r="N78" s="201">
        <f>0.003+0.0004</f>
        <v>3.4000000000000002E-3</v>
      </c>
      <c r="O78" s="150">
        <f t="shared" si="35"/>
        <v>8288.997736341862</v>
      </c>
      <c r="X78" s="103" t="str">
        <f t="shared" si="36"/>
        <v>Street Lights</v>
      </c>
      <c r="Y78" s="185">
        <f t="shared" si="37"/>
        <v>8750.3971649184004</v>
      </c>
    </row>
    <row r="79" spans="2:25" x14ac:dyDescent="0.2">
      <c r="B79" s="149" t="str">
        <f>B66</f>
        <v xml:space="preserve">Unmetered Loads </v>
      </c>
      <c r="C79" s="140"/>
      <c r="D79" s="166" t="s">
        <v>64</v>
      </c>
      <c r="E79" s="140">
        <f>E26</f>
        <v>919116.2641365577</v>
      </c>
      <c r="F79" s="201">
        <f>$F$72</f>
        <v>3.4000000000000002E-3</v>
      </c>
      <c r="G79" s="150">
        <f t="shared" si="34"/>
        <v>3124.9952980642965</v>
      </c>
      <c r="J79" s="149" t="s">
        <v>2</v>
      </c>
      <c r="K79" s="140"/>
      <c r="L79" s="166" t="s">
        <v>64</v>
      </c>
      <c r="M79" s="140">
        <f t="shared" si="33"/>
        <v>0</v>
      </c>
      <c r="N79" s="201">
        <f>0.003+0.0004</f>
        <v>3.4000000000000002E-3</v>
      </c>
      <c r="O79" s="150">
        <f t="shared" si="35"/>
        <v>0</v>
      </c>
      <c r="X79" s="103" t="str">
        <f t="shared" si="36"/>
        <v xml:space="preserve">Unmetered Loads </v>
      </c>
      <c r="Y79" s="185">
        <f t="shared" si="37"/>
        <v>3124.9952980642965</v>
      </c>
    </row>
    <row r="80" spans="2:25" x14ac:dyDescent="0.2">
      <c r="B80" s="149" t="str">
        <f>B67</f>
        <v>Embedded Distributors - Hydro One</v>
      </c>
      <c r="C80" s="140"/>
      <c r="D80" s="166" t="s">
        <v>64</v>
      </c>
      <c r="E80" s="140">
        <f>E27+M27</f>
        <v>0</v>
      </c>
      <c r="F80" s="201"/>
      <c r="G80" s="150">
        <f t="shared" si="34"/>
        <v>0</v>
      </c>
      <c r="J80" s="149" t="s">
        <v>232</v>
      </c>
      <c r="K80" s="140"/>
      <c r="L80" s="166" t="s">
        <v>64</v>
      </c>
      <c r="M80" s="140">
        <f t="shared" si="33"/>
        <v>0</v>
      </c>
      <c r="N80" s="201"/>
      <c r="O80" s="150">
        <f t="shared" si="35"/>
        <v>0</v>
      </c>
      <c r="X80" s="103" t="str">
        <f t="shared" si="36"/>
        <v>Embedded Distributors - Hydro One</v>
      </c>
      <c r="Y80" s="185">
        <f t="shared" si="37"/>
        <v>0</v>
      </c>
    </row>
    <row r="81" spans="2:25" x14ac:dyDescent="0.2">
      <c r="B81" s="144" t="s">
        <v>66</v>
      </c>
      <c r="C81" s="145"/>
      <c r="D81" s="151"/>
      <c r="E81" s="145">
        <f>SUM(E72:E80)</f>
        <v>396227181.9199217</v>
      </c>
      <c r="F81" s="154"/>
      <c r="G81" s="153">
        <f>SUM(G72:G80)</f>
        <v>1347172.4185277338</v>
      </c>
      <c r="J81" s="144" t="s">
        <v>66</v>
      </c>
      <c r="K81" s="145"/>
      <c r="L81" s="151"/>
      <c r="M81" s="145">
        <v>58815621.440367483</v>
      </c>
      <c r="N81" s="154"/>
      <c r="O81" s="153">
        <f>SUM(O72:O79)</f>
        <v>698743.3710362491</v>
      </c>
      <c r="Q81" s="155">
        <f>O81+G81</f>
        <v>2045915.7895639827</v>
      </c>
      <c r="Y81" s="185">
        <f>SUM(Y72:Y80)</f>
        <v>2045915.789563983</v>
      </c>
    </row>
    <row r="83" spans="2:25" x14ac:dyDescent="0.2">
      <c r="B83" s="163" t="s">
        <v>76</v>
      </c>
      <c r="C83" s="164"/>
      <c r="D83" s="168"/>
      <c r="E83" s="657">
        <f>E70</f>
        <v>2023</v>
      </c>
      <c r="F83" s="658"/>
      <c r="G83" s="659"/>
      <c r="J83" s="163" t="s">
        <v>76</v>
      </c>
      <c r="K83" s="164"/>
      <c r="L83" s="168"/>
      <c r="M83" s="657">
        <f>M70</f>
        <v>2023</v>
      </c>
      <c r="N83" s="658"/>
      <c r="O83" s="659"/>
    </row>
    <row r="84" spans="2:25" x14ac:dyDescent="0.2">
      <c r="B84" s="148" t="s">
        <v>70</v>
      </c>
      <c r="C84" s="162"/>
      <c r="D84" s="169"/>
      <c r="E84" s="660"/>
      <c r="F84" s="661"/>
      <c r="G84" s="662"/>
      <c r="J84" s="148" t="s">
        <v>70</v>
      </c>
      <c r="K84" s="162"/>
      <c r="L84" s="169"/>
      <c r="M84" s="660"/>
      <c r="N84" s="661"/>
      <c r="O84" s="662"/>
    </row>
    <row r="85" spans="2:25" x14ac:dyDescent="0.2">
      <c r="B85" s="149" t="str">
        <f>B72</f>
        <v xml:space="preserve">Residential </v>
      </c>
      <c r="C85" s="140"/>
      <c r="D85" s="166" t="str">
        <f t="shared" ref="D85:D89" si="38">D72</f>
        <v>kWh</v>
      </c>
      <c r="E85" s="140">
        <f t="shared" ref="E85:E93" si="39">E19</f>
        <v>282766256.89932698</v>
      </c>
      <c r="F85" s="171">
        <v>5.0000000000000001E-4</v>
      </c>
      <c r="G85" s="150">
        <f>(E85*F85)</f>
        <v>141383.12844966349</v>
      </c>
      <c r="J85" s="149" t="s">
        <v>1</v>
      </c>
      <c r="K85" s="140"/>
      <c r="L85" s="166" t="s">
        <v>64</v>
      </c>
      <c r="M85" s="140">
        <f t="shared" ref="M85:M93" si="40">M19</f>
        <v>3505309.1907568513</v>
      </c>
      <c r="N85" s="200">
        <f>$F$85</f>
        <v>5.0000000000000001E-4</v>
      </c>
      <c r="O85" s="150">
        <f>N85*M85</f>
        <v>1752.6545953784257</v>
      </c>
      <c r="X85" s="103" t="str">
        <f>J85</f>
        <v xml:space="preserve">Residential </v>
      </c>
      <c r="Y85" s="185">
        <f>O85+G85</f>
        <v>143135.78304504193</v>
      </c>
    </row>
    <row r="86" spans="2:25" x14ac:dyDescent="0.2">
      <c r="B86" s="149" t="str">
        <f>B73</f>
        <v>General Service &lt; 50 kW</v>
      </c>
      <c r="C86" s="140"/>
      <c r="D86" s="166" t="str">
        <f t="shared" si="38"/>
        <v>kWh</v>
      </c>
      <c r="E86" s="140">
        <f t="shared" si="39"/>
        <v>69888886.114347801</v>
      </c>
      <c r="F86" s="200">
        <f>$F$85</f>
        <v>5.0000000000000001E-4</v>
      </c>
      <c r="G86" s="150">
        <f t="shared" ref="G86:G93" si="41">(E86*F86)</f>
        <v>34944.443057173899</v>
      </c>
      <c r="J86" s="149" t="s">
        <v>105</v>
      </c>
      <c r="K86" s="140"/>
      <c r="L86" s="166" t="s">
        <v>64</v>
      </c>
      <c r="M86" s="140">
        <f t="shared" si="40"/>
        <v>12590407.895699233</v>
      </c>
      <c r="N86" s="200">
        <f>$F$85</f>
        <v>5.0000000000000001E-4</v>
      </c>
      <c r="O86" s="150">
        <f t="shared" ref="O86:O93" si="42">N86*M86</f>
        <v>6295.2039478496163</v>
      </c>
      <c r="X86" s="103" t="str">
        <f t="shared" ref="X86:X93" si="43">J86</f>
        <v>General Service &lt; 50 kW</v>
      </c>
      <c r="Y86" s="185">
        <f t="shared" ref="Y86:Y93" si="44">O86+G86</f>
        <v>41239.647005023515</v>
      </c>
    </row>
    <row r="87" spans="2:25" x14ac:dyDescent="0.2">
      <c r="B87" s="149" t="str">
        <f>B74</f>
        <v>General Service &gt; 50 to 4999 kW</v>
      </c>
      <c r="C87" s="140"/>
      <c r="D87" s="166" t="str">
        <f t="shared" si="38"/>
        <v>kWh</v>
      </c>
      <c r="E87" s="140">
        <f t="shared" si="39"/>
        <v>42314420.573854573</v>
      </c>
      <c r="F87" s="200">
        <f>$F$85</f>
        <v>5.0000000000000001E-4</v>
      </c>
      <c r="G87" s="150">
        <f t="shared" si="41"/>
        <v>21157.210286927286</v>
      </c>
      <c r="J87" s="149" t="s">
        <v>229</v>
      </c>
      <c r="K87" s="140"/>
      <c r="L87" s="166" t="s">
        <v>64</v>
      </c>
      <c r="M87" s="140">
        <f t="shared" si="40"/>
        <v>186979098.58998719</v>
      </c>
      <c r="N87" s="200">
        <f>$F$85</f>
        <v>5.0000000000000001E-4</v>
      </c>
      <c r="O87" s="150">
        <f t="shared" si="42"/>
        <v>93489.549294993602</v>
      </c>
      <c r="X87" s="103" t="str">
        <f t="shared" si="43"/>
        <v>General Service &gt; 50 to 4999 kW</v>
      </c>
      <c r="Y87" s="185">
        <f t="shared" si="44"/>
        <v>114646.75958192089</v>
      </c>
    </row>
    <row r="88" spans="2:25" x14ac:dyDescent="0.2">
      <c r="B88" s="149" t="str">
        <f>B75</f>
        <v>General Service &gt; 50 to 4999 kW Interval</v>
      </c>
      <c r="C88" s="140"/>
      <c r="D88" s="166" t="str">
        <f t="shared" si="38"/>
        <v>kWh</v>
      </c>
      <c r="E88" s="140">
        <f t="shared" si="39"/>
        <v>0</v>
      </c>
      <c r="F88" s="200"/>
      <c r="G88" s="150">
        <f t="shared" si="41"/>
        <v>0</v>
      </c>
      <c r="J88" s="149" t="s">
        <v>230</v>
      </c>
      <c r="K88" s="140"/>
      <c r="L88" s="166" t="s">
        <v>64</v>
      </c>
      <c r="M88" s="140">
        <f t="shared" si="40"/>
        <v>0</v>
      </c>
      <c r="N88" s="200"/>
      <c r="O88" s="150">
        <f t="shared" si="42"/>
        <v>0</v>
      </c>
      <c r="X88" s="103" t="str">
        <f t="shared" si="43"/>
        <v>General Service &gt; 1000 to 4999 kW</v>
      </c>
      <c r="Y88" s="185">
        <f t="shared" si="44"/>
        <v>0</v>
      </c>
    </row>
    <row r="89" spans="2:25" x14ac:dyDescent="0.2">
      <c r="B89" s="149" t="str">
        <f>B76</f>
        <v>Large User</v>
      </c>
      <c r="C89" s="140"/>
      <c r="D89" s="166" t="str">
        <f t="shared" si="38"/>
        <v>kWh</v>
      </c>
      <c r="E89" s="140">
        <f t="shared" si="39"/>
        <v>0</v>
      </c>
      <c r="F89" s="200"/>
      <c r="G89" s="150">
        <f t="shared" si="41"/>
        <v>0</v>
      </c>
      <c r="J89" s="149" t="s">
        <v>231</v>
      </c>
      <c r="K89" s="140"/>
      <c r="L89" s="166" t="s">
        <v>64</v>
      </c>
      <c r="M89" s="140">
        <f t="shared" si="40"/>
        <v>0</v>
      </c>
      <c r="N89" s="200"/>
      <c r="O89" s="150">
        <f t="shared" si="42"/>
        <v>0</v>
      </c>
      <c r="X89" s="103" t="str">
        <f t="shared" si="43"/>
        <v>Large User</v>
      </c>
      <c r="Y89" s="185">
        <f t="shared" si="44"/>
        <v>0</v>
      </c>
    </row>
    <row r="90" spans="2:25" x14ac:dyDescent="0.2">
      <c r="B90" s="149" t="s">
        <v>113</v>
      </c>
      <c r="C90" s="140"/>
      <c r="D90" s="166" t="s">
        <v>64</v>
      </c>
      <c r="E90" s="140">
        <f t="shared" si="39"/>
        <v>202796.35396854323</v>
      </c>
      <c r="F90" s="200">
        <f>$F$85</f>
        <v>5.0000000000000001E-4</v>
      </c>
      <c r="G90" s="150">
        <f t="shared" si="41"/>
        <v>101.39817698427161</v>
      </c>
      <c r="J90" s="149" t="s">
        <v>113</v>
      </c>
      <c r="K90" s="140"/>
      <c r="L90" s="166" t="s">
        <v>64</v>
      </c>
      <c r="M90" s="140">
        <f t="shared" si="40"/>
        <v>0</v>
      </c>
      <c r="N90" s="200">
        <f>$F$85</f>
        <v>5.0000000000000001E-4</v>
      </c>
      <c r="O90" s="150">
        <f t="shared" si="42"/>
        <v>0</v>
      </c>
      <c r="X90" s="103" t="str">
        <f t="shared" si="43"/>
        <v>Sentinel Lights</v>
      </c>
      <c r="Y90" s="185">
        <f t="shared" si="44"/>
        <v>101.39817698427161</v>
      </c>
    </row>
    <row r="91" spans="2:25" x14ac:dyDescent="0.2">
      <c r="B91" s="149" t="str">
        <f t="shared" ref="B91:B93" si="45">B78</f>
        <v>Street Lights</v>
      </c>
      <c r="C91" s="140"/>
      <c r="D91" s="166" t="str">
        <f t="shared" ref="D91:D93" si="46">D78</f>
        <v>kWh</v>
      </c>
      <c r="E91" s="140">
        <f t="shared" si="39"/>
        <v>135705.7142872173</v>
      </c>
      <c r="F91" s="200">
        <f>$F$85</f>
        <v>5.0000000000000001E-4</v>
      </c>
      <c r="G91" s="150">
        <f t="shared" si="41"/>
        <v>67.852857143608645</v>
      </c>
      <c r="J91" s="149" t="s">
        <v>61</v>
      </c>
      <c r="K91" s="140"/>
      <c r="L91" s="166" t="s">
        <v>64</v>
      </c>
      <c r="M91" s="140">
        <f t="shared" si="40"/>
        <v>2437940.5106887827</v>
      </c>
      <c r="N91" s="200">
        <f>$F$85</f>
        <v>5.0000000000000001E-4</v>
      </c>
      <c r="O91" s="150">
        <f t="shared" si="42"/>
        <v>1218.9702553443913</v>
      </c>
      <c r="X91" s="103" t="str">
        <f t="shared" si="43"/>
        <v>Street Lights</v>
      </c>
      <c r="Y91" s="185">
        <f t="shared" si="44"/>
        <v>1286.8231124879999</v>
      </c>
    </row>
    <row r="92" spans="2:25" x14ac:dyDescent="0.2">
      <c r="B92" s="149" t="str">
        <f t="shared" si="45"/>
        <v xml:space="preserve">Unmetered Loads </v>
      </c>
      <c r="C92" s="140"/>
      <c r="D92" s="166" t="str">
        <f t="shared" si="46"/>
        <v>kWh</v>
      </c>
      <c r="E92" s="140">
        <f t="shared" si="39"/>
        <v>919116.2641365577</v>
      </c>
      <c r="F92" s="200">
        <f>$F$85</f>
        <v>5.0000000000000001E-4</v>
      </c>
      <c r="G92" s="150">
        <f t="shared" si="41"/>
        <v>459.55813206827884</v>
      </c>
      <c r="J92" s="149" t="s">
        <v>2</v>
      </c>
      <c r="K92" s="140"/>
      <c r="L92" s="166" t="s">
        <v>64</v>
      </c>
      <c r="M92" s="140">
        <f t="shared" si="40"/>
        <v>0</v>
      </c>
      <c r="N92" s="200">
        <f>$F$85</f>
        <v>5.0000000000000001E-4</v>
      </c>
      <c r="O92" s="150">
        <f t="shared" si="42"/>
        <v>0</v>
      </c>
      <c r="X92" s="103" t="str">
        <f t="shared" si="43"/>
        <v xml:space="preserve">Unmetered Loads </v>
      </c>
      <c r="Y92" s="185">
        <f t="shared" si="44"/>
        <v>459.55813206827884</v>
      </c>
    </row>
    <row r="93" spans="2:25" x14ac:dyDescent="0.2">
      <c r="B93" s="149" t="str">
        <f t="shared" si="45"/>
        <v>Embedded Distributors - Hydro One</v>
      </c>
      <c r="C93" s="140"/>
      <c r="D93" s="166" t="str">
        <f t="shared" si="46"/>
        <v>kWh</v>
      </c>
      <c r="E93" s="140">
        <f t="shared" si="39"/>
        <v>0</v>
      </c>
      <c r="F93" s="200"/>
      <c r="G93" s="150">
        <f t="shared" si="41"/>
        <v>0</v>
      </c>
      <c r="J93" s="149" t="s">
        <v>232</v>
      </c>
      <c r="K93" s="140"/>
      <c r="L93" s="166" t="s">
        <v>64</v>
      </c>
      <c r="M93" s="140">
        <f t="shared" si="40"/>
        <v>0</v>
      </c>
      <c r="N93" s="200"/>
      <c r="O93" s="150">
        <f t="shared" si="42"/>
        <v>0</v>
      </c>
      <c r="X93" s="103" t="str">
        <f t="shared" si="43"/>
        <v>Embedded Distributors - Hydro One</v>
      </c>
      <c r="Y93" s="185">
        <f t="shared" si="44"/>
        <v>0</v>
      </c>
    </row>
    <row r="94" spans="2:25" x14ac:dyDescent="0.2">
      <c r="B94" s="144" t="s">
        <v>66</v>
      </c>
      <c r="C94" s="145"/>
      <c r="D94" s="151"/>
      <c r="E94" s="145">
        <f>SUM(E85:E93)</f>
        <v>396227181.9199217</v>
      </c>
      <c r="F94" s="154"/>
      <c r="G94" s="153">
        <f>SUM(G85:G93)</f>
        <v>198113.59095996086</v>
      </c>
      <c r="J94" s="144" t="s">
        <v>66</v>
      </c>
      <c r="K94" s="145"/>
      <c r="L94" s="151"/>
      <c r="M94" s="145">
        <v>47025522.919936225</v>
      </c>
      <c r="N94" s="154"/>
      <c r="O94" s="153">
        <f>SUM(O85:O92)</f>
        <v>102756.37809356603</v>
      </c>
      <c r="Q94" s="155">
        <f>O94+G94</f>
        <v>300869.96905352687</v>
      </c>
      <c r="Y94" s="185">
        <f>SUM(Y85:Y93)</f>
        <v>300869.96905352687</v>
      </c>
    </row>
    <row r="96" spans="2:25" x14ac:dyDescent="0.2">
      <c r="B96" s="163" t="s">
        <v>261</v>
      </c>
      <c r="C96" s="164"/>
      <c r="D96" s="168"/>
      <c r="E96" s="657">
        <f>E83</f>
        <v>2023</v>
      </c>
      <c r="F96" s="658"/>
      <c r="G96" s="659"/>
      <c r="J96" s="163" t="s">
        <v>261</v>
      </c>
      <c r="K96" s="164"/>
      <c r="L96" s="168"/>
      <c r="M96" s="657">
        <f>M70</f>
        <v>2023</v>
      </c>
      <c r="N96" s="658"/>
      <c r="O96" s="659"/>
    </row>
    <row r="97" spans="2:25" x14ac:dyDescent="0.2">
      <c r="B97" s="148" t="s">
        <v>70</v>
      </c>
      <c r="C97" s="162"/>
      <c r="D97" s="169"/>
      <c r="E97" s="660"/>
      <c r="F97" s="661"/>
      <c r="G97" s="662"/>
      <c r="J97" s="148" t="s">
        <v>70</v>
      </c>
      <c r="K97" s="162"/>
      <c r="L97" s="169"/>
      <c r="M97" s="660"/>
      <c r="N97" s="661"/>
      <c r="O97" s="662"/>
    </row>
    <row r="98" spans="2:25" x14ac:dyDescent="0.2">
      <c r="B98" s="149" t="str">
        <f>B85</f>
        <v xml:space="preserve">Residential </v>
      </c>
      <c r="C98" s="140"/>
      <c r="D98" s="166" t="str">
        <f>D85</f>
        <v>kWh</v>
      </c>
      <c r="E98" s="140">
        <f>C19</f>
        <v>270279350.88828808</v>
      </c>
      <c r="F98" s="171">
        <f>-0.0005</f>
        <v>-5.0000000000000001E-4</v>
      </c>
      <c r="G98" s="150">
        <f>(E98*F98)</f>
        <v>-135139.67544414406</v>
      </c>
      <c r="J98" s="149" t="s">
        <v>1</v>
      </c>
      <c r="K98" s="140"/>
      <c r="L98" s="166" t="s">
        <v>64</v>
      </c>
      <c r="M98" s="140">
        <f>K19</f>
        <v>3350515.3801919818</v>
      </c>
      <c r="N98" s="200">
        <f>F98</f>
        <v>-5.0000000000000001E-4</v>
      </c>
      <c r="O98" s="150">
        <f>N98*M98</f>
        <v>-1675.2576900959909</v>
      </c>
      <c r="X98" s="103" t="str">
        <f>J98</f>
        <v xml:space="preserve">Residential </v>
      </c>
      <c r="Y98" s="185">
        <f>O98+G98</f>
        <v>-136814.93313424004</v>
      </c>
    </row>
    <row r="99" spans="2:25" x14ac:dyDescent="0.2">
      <c r="B99" s="149" t="str">
        <f>B86</f>
        <v>General Service &lt; 50 kW</v>
      </c>
      <c r="C99" s="140"/>
      <c r="D99" s="166" t="str">
        <f>D86</f>
        <v>kWh</v>
      </c>
      <c r="E99" s="140">
        <f>C20</f>
        <v>66802605.729638502</v>
      </c>
      <c r="F99" s="200">
        <f t="shared" ref="F99:F106" si="47">$F$98</f>
        <v>-5.0000000000000001E-4</v>
      </c>
      <c r="G99" s="150">
        <f t="shared" ref="G99:G106" si="48">(E99*F99)</f>
        <v>-33401.302864819248</v>
      </c>
      <c r="J99" s="149" t="s">
        <v>105</v>
      </c>
      <c r="K99" s="140"/>
      <c r="L99" s="166" t="s">
        <v>64</v>
      </c>
      <c r="M99" s="140">
        <f>K20</f>
        <v>12034417.793633372</v>
      </c>
      <c r="N99" s="200">
        <f t="shared" ref="N99:N106" si="49">F99</f>
        <v>-5.0000000000000001E-4</v>
      </c>
      <c r="O99" s="150">
        <f t="shared" ref="O99:O106" si="50">N99*M99</f>
        <v>-6017.2088968166863</v>
      </c>
      <c r="X99" s="103" t="str">
        <f t="shared" ref="X99:X106" si="51">J99</f>
        <v>General Service &lt; 50 kW</v>
      </c>
      <c r="Y99" s="185">
        <f t="shared" ref="Y99:Y106" si="52">O99+G99</f>
        <v>-39418.511761635935</v>
      </c>
    </row>
    <row r="100" spans="2:25" x14ac:dyDescent="0.2">
      <c r="B100" s="149" t="str">
        <f>B87</f>
        <v>General Service &gt; 50 to 4999 kW</v>
      </c>
      <c r="C100" s="140"/>
      <c r="D100" s="166" t="s">
        <v>65</v>
      </c>
      <c r="E100" s="140">
        <f>C21</f>
        <v>40445823.526911274</v>
      </c>
      <c r="F100" s="200">
        <f t="shared" si="47"/>
        <v>-5.0000000000000001E-4</v>
      </c>
      <c r="G100" s="150">
        <f t="shared" si="48"/>
        <v>-20222.911763455639</v>
      </c>
      <c r="J100" s="149" t="s">
        <v>229</v>
      </c>
      <c r="K100" s="140"/>
      <c r="L100" s="166" t="s">
        <v>65</v>
      </c>
      <c r="M100" s="140">
        <f>K21</f>
        <v>178722135.91090345</v>
      </c>
      <c r="N100" s="200">
        <f t="shared" si="49"/>
        <v>-5.0000000000000001E-4</v>
      </c>
      <c r="O100" s="150">
        <f t="shared" si="50"/>
        <v>-89361.067955451726</v>
      </c>
      <c r="X100" s="103" t="str">
        <f t="shared" si="51"/>
        <v>General Service &gt; 50 to 4999 kW</v>
      </c>
      <c r="Y100" s="185">
        <f t="shared" si="52"/>
        <v>-109583.97971890736</v>
      </c>
    </row>
    <row r="101" spans="2:25" x14ac:dyDescent="0.2">
      <c r="B101" s="149" t="str">
        <f>B88</f>
        <v>General Service &gt; 50 to 4999 kW Interval</v>
      </c>
      <c r="C101" s="140"/>
      <c r="D101" s="166" t="str">
        <f>D88</f>
        <v>kWh</v>
      </c>
      <c r="E101" s="140">
        <f>E88</f>
        <v>0</v>
      </c>
      <c r="F101" s="200">
        <f t="shared" si="47"/>
        <v>-5.0000000000000001E-4</v>
      </c>
      <c r="G101" s="150">
        <f t="shared" si="48"/>
        <v>0</v>
      </c>
      <c r="J101" s="149" t="s">
        <v>230</v>
      </c>
      <c r="K101" s="140"/>
      <c r="L101" s="166" t="s">
        <v>64</v>
      </c>
      <c r="M101" s="140">
        <f t="shared" ref="M101:M103" si="53">M88</f>
        <v>0</v>
      </c>
      <c r="N101" s="200">
        <f t="shared" si="49"/>
        <v>-5.0000000000000001E-4</v>
      </c>
      <c r="O101" s="150">
        <f t="shared" si="50"/>
        <v>0</v>
      </c>
      <c r="X101" s="103" t="str">
        <f t="shared" si="51"/>
        <v>General Service &gt; 1000 to 4999 kW</v>
      </c>
      <c r="Y101" s="185">
        <f t="shared" si="52"/>
        <v>0</v>
      </c>
    </row>
    <row r="102" spans="2:25" x14ac:dyDescent="0.2">
      <c r="B102" s="149" t="str">
        <f>B89</f>
        <v>Large User</v>
      </c>
      <c r="C102" s="140"/>
      <c r="D102" s="166" t="str">
        <f>D89</f>
        <v>kWh</v>
      </c>
      <c r="E102" s="140">
        <f>E89</f>
        <v>0</v>
      </c>
      <c r="F102" s="200">
        <f t="shared" si="47"/>
        <v>-5.0000000000000001E-4</v>
      </c>
      <c r="G102" s="150">
        <f t="shared" si="48"/>
        <v>0</v>
      </c>
      <c r="J102" s="149" t="s">
        <v>231</v>
      </c>
      <c r="K102" s="140"/>
      <c r="L102" s="166" t="s">
        <v>64</v>
      </c>
      <c r="M102" s="140">
        <f t="shared" si="53"/>
        <v>0</v>
      </c>
      <c r="N102" s="200">
        <f t="shared" si="49"/>
        <v>-5.0000000000000001E-4</v>
      </c>
      <c r="O102" s="150">
        <f t="shared" si="50"/>
        <v>0</v>
      </c>
      <c r="X102" s="103" t="str">
        <f t="shared" si="51"/>
        <v>Large User</v>
      </c>
      <c r="Y102" s="185">
        <f t="shared" si="52"/>
        <v>0</v>
      </c>
    </row>
    <row r="103" spans="2:25" x14ac:dyDescent="0.2">
      <c r="B103" s="149" t="s">
        <v>113</v>
      </c>
      <c r="C103" s="140"/>
      <c r="D103" s="166" t="s">
        <v>65</v>
      </c>
      <c r="E103" s="140">
        <f>C24</f>
        <v>193840.90419474596</v>
      </c>
      <c r="F103" s="200">
        <f t="shared" si="47"/>
        <v>-5.0000000000000001E-4</v>
      </c>
      <c r="G103" s="150">
        <f t="shared" si="48"/>
        <v>-96.920452097372987</v>
      </c>
      <c r="J103" s="149" t="s">
        <v>113</v>
      </c>
      <c r="K103" s="140"/>
      <c r="L103" s="166" t="s">
        <v>65</v>
      </c>
      <c r="M103" s="140">
        <f t="shared" si="53"/>
        <v>0</v>
      </c>
      <c r="N103" s="200">
        <f t="shared" si="49"/>
        <v>-5.0000000000000001E-4</v>
      </c>
      <c r="O103" s="150">
        <f t="shared" si="50"/>
        <v>0</v>
      </c>
      <c r="X103" s="103" t="str">
        <f t="shared" si="51"/>
        <v>Sentinel Lights</v>
      </c>
      <c r="Y103" s="185">
        <f t="shared" si="52"/>
        <v>-96.920452097372987</v>
      </c>
    </row>
    <row r="104" spans="2:25" x14ac:dyDescent="0.2">
      <c r="B104" s="149" t="str">
        <f t="shared" ref="B104:B106" si="54">B91</f>
        <v>Street Lights</v>
      </c>
      <c r="C104" s="140"/>
      <c r="D104" s="166" t="s">
        <v>65</v>
      </c>
      <c r="E104" s="140">
        <f t="shared" ref="E104:E105" si="55">C25</f>
        <v>129712.97484918496</v>
      </c>
      <c r="F104" s="200">
        <f t="shared" si="47"/>
        <v>-5.0000000000000001E-4</v>
      </c>
      <c r="G104" s="150">
        <f t="shared" si="48"/>
        <v>-64.856487424592487</v>
      </c>
      <c r="J104" s="149" t="s">
        <v>61</v>
      </c>
      <c r="K104" s="140"/>
      <c r="L104" s="166" t="s">
        <v>65</v>
      </c>
      <c r="M104" s="140">
        <f>K25</f>
        <v>2330281.505150815</v>
      </c>
      <c r="N104" s="200">
        <f t="shared" si="49"/>
        <v>-5.0000000000000001E-4</v>
      </c>
      <c r="O104" s="150">
        <f t="shared" si="50"/>
        <v>-1165.1407525754075</v>
      </c>
      <c r="X104" s="103" t="str">
        <f t="shared" si="51"/>
        <v>Street Lights</v>
      </c>
      <c r="Y104" s="185">
        <f t="shared" si="52"/>
        <v>-1229.9972399999999</v>
      </c>
    </row>
    <row r="105" spans="2:25" x14ac:dyDescent="0.2">
      <c r="B105" s="149" t="str">
        <f t="shared" si="54"/>
        <v xml:space="preserve">Unmetered Loads </v>
      </c>
      <c r="C105" s="140"/>
      <c r="D105" s="166" t="str">
        <f>D92</f>
        <v>kWh</v>
      </c>
      <c r="E105" s="140">
        <f t="shared" si="55"/>
        <v>878528.2585897129</v>
      </c>
      <c r="F105" s="200">
        <f t="shared" si="47"/>
        <v>-5.0000000000000001E-4</v>
      </c>
      <c r="G105" s="150">
        <f t="shared" si="48"/>
        <v>-439.26412929485645</v>
      </c>
      <c r="J105" s="149" t="s">
        <v>2</v>
      </c>
      <c r="K105" s="140"/>
      <c r="L105" s="166" t="s">
        <v>64</v>
      </c>
      <c r="M105" s="140">
        <f>M92</f>
        <v>0</v>
      </c>
      <c r="N105" s="200">
        <f t="shared" si="49"/>
        <v>-5.0000000000000001E-4</v>
      </c>
      <c r="O105" s="150">
        <f t="shared" si="50"/>
        <v>0</v>
      </c>
      <c r="X105" s="103" t="str">
        <f t="shared" si="51"/>
        <v xml:space="preserve">Unmetered Loads </v>
      </c>
      <c r="Y105" s="185">
        <f t="shared" si="52"/>
        <v>-439.26412929485645</v>
      </c>
    </row>
    <row r="106" spans="2:25" x14ac:dyDescent="0.2">
      <c r="B106" s="149" t="str">
        <f t="shared" si="54"/>
        <v>Embedded Distributors - Hydro One</v>
      </c>
      <c r="C106" s="140"/>
      <c r="D106" s="166" t="str">
        <f>D93</f>
        <v>kWh</v>
      </c>
      <c r="E106" s="140">
        <f>E93</f>
        <v>0</v>
      </c>
      <c r="F106" s="200">
        <f t="shared" si="47"/>
        <v>-5.0000000000000001E-4</v>
      </c>
      <c r="G106" s="150">
        <f t="shared" si="48"/>
        <v>0</v>
      </c>
      <c r="J106" s="149" t="s">
        <v>232</v>
      </c>
      <c r="K106" s="140"/>
      <c r="L106" s="166" t="s">
        <v>64</v>
      </c>
      <c r="M106" s="140">
        <f>M93</f>
        <v>0</v>
      </c>
      <c r="N106" s="200">
        <f t="shared" si="49"/>
        <v>-5.0000000000000001E-4</v>
      </c>
      <c r="O106" s="150">
        <f t="shared" si="50"/>
        <v>0</v>
      </c>
      <c r="X106" s="103" t="str">
        <f t="shared" si="51"/>
        <v>Embedded Distributors - Hydro One</v>
      </c>
      <c r="Y106" s="185">
        <f t="shared" si="52"/>
        <v>0</v>
      </c>
    </row>
    <row r="107" spans="2:25" x14ac:dyDescent="0.2">
      <c r="B107" s="144" t="s">
        <v>66</v>
      </c>
      <c r="C107" s="145"/>
      <c r="D107" s="151"/>
      <c r="E107" s="145">
        <f>SUM(E98:E106)</f>
        <v>378729862.28247148</v>
      </c>
      <c r="F107" s="154"/>
      <c r="G107" s="153">
        <f>SUM(G98:G106)</f>
        <v>-189364.93114123575</v>
      </c>
      <c r="J107" s="144" t="s">
        <v>66</v>
      </c>
      <c r="K107" s="145"/>
      <c r="L107" s="151"/>
      <c r="M107" s="145">
        <f>SUM(M98:M106)</f>
        <v>196437350.58987963</v>
      </c>
      <c r="N107" s="154"/>
      <c r="O107" s="153">
        <f>SUM(O98:O106)</f>
        <v>-98218.675294939807</v>
      </c>
      <c r="Q107" s="155">
        <f>O107+G107</f>
        <v>-287583.60643617553</v>
      </c>
      <c r="Y107" s="185">
        <f>SUM(Y98:Y106)</f>
        <v>-287583.60643617559</v>
      </c>
    </row>
    <row r="108" spans="2:25" x14ac:dyDescent="0.2">
      <c r="B108" s="156"/>
      <c r="C108" s="157"/>
      <c r="D108" s="158"/>
      <c r="E108" s="157"/>
      <c r="F108" s="159"/>
      <c r="G108" s="155"/>
    </row>
    <row r="109" spans="2:25" x14ac:dyDescent="0.2">
      <c r="B109" s="163" t="s">
        <v>137</v>
      </c>
      <c r="C109" s="164"/>
      <c r="D109" s="165"/>
      <c r="E109" s="164"/>
      <c r="F109" s="667"/>
      <c r="G109" s="668"/>
    </row>
    <row r="110" spans="2:25" x14ac:dyDescent="0.2">
      <c r="B110" s="148" t="s">
        <v>70</v>
      </c>
      <c r="C110" s="162" t="s">
        <v>138</v>
      </c>
      <c r="D110" s="660">
        <f>E96</f>
        <v>2023</v>
      </c>
      <c r="E110" s="662"/>
    </row>
    <row r="111" spans="2:25" x14ac:dyDescent="0.2">
      <c r="B111" s="149" t="str">
        <f>B98</f>
        <v xml:space="preserve">Residential </v>
      </c>
      <c r="C111" s="140">
        <f>Summary!O12</f>
        <v>30340</v>
      </c>
      <c r="D111" s="171">
        <v>0.42</v>
      </c>
      <c r="E111" s="150">
        <f>(C111*D111*12)</f>
        <v>152913.59999999998</v>
      </c>
    </row>
    <row r="112" spans="2:25" x14ac:dyDescent="0.2">
      <c r="B112" s="149" t="str">
        <f>B99</f>
        <v>General Service &lt; 50 kW</v>
      </c>
      <c r="C112" s="140">
        <f>Summary!O17</f>
        <v>3400</v>
      </c>
      <c r="D112" s="171">
        <v>0.42</v>
      </c>
      <c r="E112" s="150">
        <f t="shared" ref="E112:E119" si="56">(C112*D112*12)</f>
        <v>17136</v>
      </c>
    </row>
    <row r="113" spans="2:25" x14ac:dyDescent="0.2">
      <c r="B113" s="149" t="str">
        <f>B100</f>
        <v>General Service &gt; 50 to 4999 kW</v>
      </c>
      <c r="C113" s="140">
        <v>0</v>
      </c>
      <c r="D113" s="171">
        <v>0</v>
      </c>
      <c r="E113" s="150">
        <f t="shared" si="56"/>
        <v>0</v>
      </c>
    </row>
    <row r="114" spans="2:25" x14ac:dyDescent="0.2">
      <c r="B114" s="149" t="str">
        <f>B101</f>
        <v>General Service &gt; 50 to 4999 kW Interval</v>
      </c>
      <c r="C114" s="140">
        <v>0</v>
      </c>
      <c r="D114" s="171">
        <v>0</v>
      </c>
      <c r="E114" s="150">
        <f t="shared" si="56"/>
        <v>0</v>
      </c>
      <c r="X114" s="103" t="str">
        <f>X98</f>
        <v xml:space="preserve">Residential </v>
      </c>
      <c r="Y114" s="185">
        <f>SUMIF($X$19:$X$107,X114,$Y$19:$Y$107)+E111</f>
        <v>30460682.21972898</v>
      </c>
    </row>
    <row r="115" spans="2:25" x14ac:dyDescent="0.2">
      <c r="B115" s="149" t="str">
        <f>B102</f>
        <v>Large User</v>
      </c>
      <c r="C115" s="140">
        <v>0</v>
      </c>
      <c r="D115" s="171"/>
      <c r="E115" s="150">
        <f t="shared" si="56"/>
        <v>0</v>
      </c>
      <c r="X115" s="103" t="str">
        <f t="shared" ref="X115:X122" si="57">X99</f>
        <v>General Service &lt; 50 kW</v>
      </c>
      <c r="Y115" s="185">
        <f>SUMIF($X$19:$X$107,X115,$Y$19:$Y$107)+E112</f>
        <v>8737514.8550452553</v>
      </c>
    </row>
    <row r="116" spans="2:25" x14ac:dyDescent="0.2">
      <c r="B116" s="149" t="s">
        <v>113</v>
      </c>
      <c r="C116" s="140">
        <v>0</v>
      </c>
      <c r="D116" s="171"/>
      <c r="E116" s="150">
        <f t="shared" si="56"/>
        <v>0</v>
      </c>
      <c r="X116" s="103" t="str">
        <f t="shared" si="57"/>
        <v>General Service &gt; 50 to 4999 kW</v>
      </c>
      <c r="Y116" s="185">
        <f t="shared" ref="Y116:Y122" si="58">SUMIF($X$19:$X$107,X116,$Y$19:$Y$107)</f>
        <v>24307408.511069614</v>
      </c>
    </row>
    <row r="117" spans="2:25" x14ac:dyDescent="0.2">
      <c r="B117" s="149" t="str">
        <f t="shared" ref="B117:B119" si="59">B104</f>
        <v>Street Lights</v>
      </c>
      <c r="C117" s="140">
        <v>0</v>
      </c>
      <c r="D117" s="171"/>
      <c r="E117" s="150">
        <f t="shared" si="56"/>
        <v>0</v>
      </c>
      <c r="X117" s="103" t="str">
        <f t="shared" si="57"/>
        <v>General Service &gt; 1000 to 4999 kW</v>
      </c>
      <c r="Y117" s="185">
        <f t="shared" si="58"/>
        <v>1405202.1915481095</v>
      </c>
    </row>
    <row r="118" spans="2:25" x14ac:dyDescent="0.2">
      <c r="B118" s="149" t="str">
        <f t="shared" si="59"/>
        <v xml:space="preserve">Unmetered Loads </v>
      </c>
      <c r="C118" s="140">
        <v>0</v>
      </c>
      <c r="D118" s="171"/>
      <c r="E118" s="150">
        <f t="shared" si="56"/>
        <v>0</v>
      </c>
      <c r="X118" s="103" t="str">
        <f t="shared" si="57"/>
        <v>Large User</v>
      </c>
      <c r="Y118" s="185">
        <f t="shared" si="58"/>
        <v>0</v>
      </c>
    </row>
    <row r="119" spans="2:25" x14ac:dyDescent="0.2">
      <c r="B119" s="149" t="str">
        <f t="shared" si="59"/>
        <v>Embedded Distributors - Hydro One</v>
      </c>
      <c r="C119" s="140">
        <v>0</v>
      </c>
      <c r="D119" s="171"/>
      <c r="E119" s="150">
        <f t="shared" si="56"/>
        <v>0</v>
      </c>
      <c r="X119" s="103" t="str">
        <f t="shared" si="57"/>
        <v>Sentinel Lights</v>
      </c>
      <c r="Y119" s="185">
        <f t="shared" si="58"/>
        <v>21081.757387039914</v>
      </c>
    </row>
    <row r="120" spans="2:25" x14ac:dyDescent="0.2">
      <c r="B120" s="144" t="s">
        <v>66</v>
      </c>
      <c r="C120" s="145"/>
      <c r="D120" s="154"/>
      <c r="E120" s="153">
        <f>SUM(E111:E119)</f>
        <v>170049.59999999998</v>
      </c>
      <c r="X120" s="103" t="str">
        <f t="shared" si="57"/>
        <v>Street Lights</v>
      </c>
      <c r="Y120" s="185">
        <f t="shared" si="58"/>
        <v>277168.40929288568</v>
      </c>
    </row>
    <row r="121" spans="2:25" x14ac:dyDescent="0.2">
      <c r="B121" s="156"/>
      <c r="C121" s="157"/>
      <c r="D121" s="158"/>
      <c r="E121" s="157"/>
      <c r="F121" s="159"/>
      <c r="G121" s="155"/>
      <c r="X121" s="103" t="str">
        <f t="shared" si="57"/>
        <v xml:space="preserve">Unmetered Loads </v>
      </c>
      <c r="Y121" s="185">
        <f t="shared" si="58"/>
        <v>96619.413363525644</v>
      </c>
    </row>
    <row r="122" spans="2:25" x14ac:dyDescent="0.2">
      <c r="B122" s="172"/>
      <c r="C122" s="173">
        <f>D110</f>
        <v>2023</v>
      </c>
      <c r="X122" s="103" t="str">
        <f t="shared" si="57"/>
        <v>Embedded Distributors - Hydro One</v>
      </c>
      <c r="Y122" s="185">
        <f t="shared" si="58"/>
        <v>0</v>
      </c>
    </row>
    <row r="123" spans="2:25" x14ac:dyDescent="0.2">
      <c r="B123" s="174"/>
      <c r="C123" s="175"/>
      <c r="Y123" s="185">
        <f>SUM(Y114:Y122)</f>
        <v>65305677.357435405</v>
      </c>
    </row>
    <row r="124" spans="2:25" ht="15" x14ac:dyDescent="0.25">
      <c r="B124" s="176" t="s">
        <v>77</v>
      </c>
      <c r="C124" s="177">
        <f>G28+O28</f>
        <v>48995177.859716095</v>
      </c>
      <c r="J124" s="204" t="s">
        <v>287</v>
      </c>
      <c r="K124" s="192">
        <f>C124+C132</f>
        <v>44080513.907956205</v>
      </c>
    </row>
    <row r="125" spans="2:25" ht="15" x14ac:dyDescent="0.25">
      <c r="B125" s="176" t="s">
        <v>235</v>
      </c>
      <c r="C125" s="177">
        <f>O42</f>
        <v>8678210.7530521285</v>
      </c>
      <c r="J125" s="204" t="s">
        <v>288</v>
      </c>
      <c r="K125" s="192">
        <f>C125</f>
        <v>8678210.7530521285</v>
      </c>
    </row>
    <row r="126" spans="2:25" ht="15" x14ac:dyDescent="0.25">
      <c r="B126" s="176" t="s">
        <v>264</v>
      </c>
      <c r="C126" s="177">
        <f>G81+O81</f>
        <v>2045915.7895639827</v>
      </c>
      <c r="J126" s="204" t="s">
        <v>289</v>
      </c>
      <c r="K126" s="192">
        <f>C126+C130+C129</f>
        <v>2059202.1521813341</v>
      </c>
    </row>
    <row r="127" spans="2:25" ht="15" x14ac:dyDescent="0.25">
      <c r="B127" s="176" t="s">
        <v>78</v>
      </c>
      <c r="C127" s="177">
        <f>G55+O55</f>
        <v>5403036.9924858492</v>
      </c>
      <c r="J127" s="204" t="s">
        <v>290</v>
      </c>
      <c r="K127" s="192">
        <f>C127</f>
        <v>5403036.9924858492</v>
      </c>
    </row>
    <row r="128" spans="2:25" ht="15" x14ac:dyDescent="0.25">
      <c r="B128" s="176" t="s">
        <v>79</v>
      </c>
      <c r="C128" s="177">
        <f>G68+O68</f>
        <v>0</v>
      </c>
      <c r="J128" s="204" t="s">
        <v>324</v>
      </c>
      <c r="K128" s="192">
        <f>C131</f>
        <v>170049.59999999998</v>
      </c>
    </row>
    <row r="129" spans="2:11" x14ac:dyDescent="0.2">
      <c r="B129" s="176" t="s">
        <v>80</v>
      </c>
      <c r="C129" s="177">
        <f>G94+O94</f>
        <v>300869.96905352687</v>
      </c>
      <c r="J129" s="102" t="s">
        <v>12</v>
      </c>
      <c r="K129" s="192">
        <f>SUM(K124:K128)</f>
        <v>60391013.405675523</v>
      </c>
    </row>
    <row r="130" spans="2:11" x14ac:dyDescent="0.2">
      <c r="B130" s="176" t="s">
        <v>307</v>
      </c>
      <c r="C130" s="178">
        <f>G107+O107</f>
        <v>-287583.60643617553</v>
      </c>
      <c r="G130" s="192"/>
      <c r="H130" s="185"/>
    </row>
    <row r="131" spans="2:11" x14ac:dyDescent="0.2">
      <c r="B131" s="176" t="s">
        <v>104</v>
      </c>
      <c r="C131" s="178">
        <f>E120</f>
        <v>170049.59999999998</v>
      </c>
    </row>
    <row r="132" spans="2:11" x14ac:dyDescent="0.2">
      <c r="B132" s="176" t="s">
        <v>416</v>
      </c>
      <c r="C132" s="178">
        <f>-(E120+G107+G94+G81+G55+G28+G68)*H4</f>
        <v>-4914663.9517598907</v>
      </c>
    </row>
    <row r="133" spans="2:11" x14ac:dyDescent="0.2">
      <c r="B133" s="179" t="s">
        <v>66</v>
      </c>
      <c r="C133" s="180">
        <f>SUM(C124:C132)</f>
        <v>60391013.405675523</v>
      </c>
    </row>
    <row r="134" spans="2:11" x14ac:dyDescent="0.2">
      <c r="B134" s="174"/>
      <c r="C134" s="175"/>
    </row>
    <row r="135" spans="2:11" x14ac:dyDescent="0.2">
      <c r="B135" s="176"/>
      <c r="C135" s="181"/>
    </row>
    <row r="136" spans="2:11" x14ac:dyDescent="0.2">
      <c r="B136" s="172"/>
      <c r="C136" s="182" t="s">
        <v>236</v>
      </c>
      <c r="D136" s="182" t="s">
        <v>237</v>
      </c>
      <c r="E136" s="182" t="s">
        <v>12</v>
      </c>
      <c r="F136" s="182" t="s">
        <v>238</v>
      </c>
      <c r="G136" s="182" t="s">
        <v>262</v>
      </c>
      <c r="H136" s="183" t="s">
        <v>239</v>
      </c>
    </row>
    <row r="137" spans="2:11" ht="15" x14ac:dyDescent="0.25">
      <c r="B137" s="174" t="s">
        <v>240</v>
      </c>
      <c r="C137" s="184">
        <f>G19</f>
        <v>26410368.39439714</v>
      </c>
      <c r="D137" s="185">
        <f>O19+O32</f>
        <v>341311.95590399462</v>
      </c>
      <c r="E137" s="186">
        <f>C137+D137</f>
        <v>26751680.350301135</v>
      </c>
      <c r="F137" s="191">
        <f>E137/SUM($E$137:$E$141)</f>
        <v>0.46384790271155696</v>
      </c>
      <c r="G137" s="188">
        <f>F137*$C$132</f>
        <v>-2279656.5665559177</v>
      </c>
      <c r="H137" s="189">
        <f>E137+G137</f>
        <v>24472023.783745218</v>
      </c>
      <c r="J137" s="204" t="s">
        <v>292</v>
      </c>
      <c r="K137" s="188">
        <f>-H137</f>
        <v>-24472023.783745218</v>
      </c>
    </row>
    <row r="138" spans="2:11" ht="15" x14ac:dyDescent="0.25">
      <c r="B138" s="176" t="s">
        <v>241</v>
      </c>
      <c r="C138" s="184">
        <f>G25</f>
        <v>12674.913714426095</v>
      </c>
      <c r="D138" s="185">
        <f>O25+O39</f>
        <v>237382.26752576677</v>
      </c>
      <c r="E138" s="186">
        <f t="shared" ref="E138:E147" si="60">C138+D138</f>
        <v>250057.18124019288</v>
      </c>
      <c r="F138" s="191">
        <f t="shared" ref="F138:F141" si="61">E138/SUM($E$137:$E$141)</f>
        <v>4.3357462992010334E-3</v>
      </c>
      <c r="G138" s="188">
        <f t="shared" ref="G138:G141" si="62">F138*$C$132</f>
        <v>-21308.736040659671</v>
      </c>
      <c r="H138" s="189">
        <f t="shared" ref="H138:H147" si="63">E138+G138</f>
        <v>228748.44519953319</v>
      </c>
      <c r="J138" s="204" t="s">
        <v>293</v>
      </c>
      <c r="K138" s="188">
        <f t="shared" ref="K138:K147" si="64">-H138</f>
        <v>-228748.44519953319</v>
      </c>
    </row>
    <row r="139" spans="2:11" ht="15" x14ac:dyDescent="0.25">
      <c r="B139" s="176" t="s">
        <v>242</v>
      </c>
      <c r="C139" s="184">
        <f>G24</f>
        <v>18941.179460661937</v>
      </c>
      <c r="D139" s="185">
        <f>O24+O38</f>
        <v>0</v>
      </c>
      <c r="E139" s="186">
        <f t="shared" si="60"/>
        <v>18941.179460661937</v>
      </c>
      <c r="F139" s="191">
        <f t="shared" si="61"/>
        <v>3.2842147680687129E-4</v>
      </c>
      <c r="G139" s="188">
        <f t="shared" si="62"/>
        <v>-1614.0811930464774</v>
      </c>
      <c r="H139" s="189">
        <f t="shared" si="63"/>
        <v>17327.09826761546</v>
      </c>
      <c r="J139" s="204" t="s">
        <v>294</v>
      </c>
      <c r="K139" s="188">
        <f t="shared" si="64"/>
        <v>-17327.09826761546</v>
      </c>
    </row>
    <row r="140" spans="2:11" ht="15" x14ac:dyDescent="0.25">
      <c r="B140" s="176" t="s">
        <v>243</v>
      </c>
      <c r="C140" s="184">
        <f>G20+G21</f>
        <v>10479788.8446781</v>
      </c>
      <c r="D140" s="185">
        <f>O20+O21+O33+O34+O36</f>
        <v>20087075.598017782</v>
      </c>
      <c r="E140" s="186">
        <f t="shared" si="60"/>
        <v>30566864.442695882</v>
      </c>
      <c r="F140" s="191">
        <f t="shared" si="61"/>
        <v>0.52999945343819677</v>
      </c>
      <c r="G140" s="188">
        <f t="shared" si="62"/>
        <v>-2604769.2082651504</v>
      </c>
      <c r="H140" s="189">
        <f t="shared" si="63"/>
        <v>27962095.23443073</v>
      </c>
      <c r="J140" s="204" t="s">
        <v>295</v>
      </c>
      <c r="K140" s="188">
        <f t="shared" si="64"/>
        <v>-27962095.23443073</v>
      </c>
    </row>
    <row r="141" spans="2:11" ht="15" x14ac:dyDescent="0.25">
      <c r="B141" s="176" t="s">
        <v>244</v>
      </c>
      <c r="C141" s="184">
        <f>G26</f>
        <v>85845.459070354482</v>
      </c>
      <c r="D141" s="185">
        <f>O26+O40</f>
        <v>0</v>
      </c>
      <c r="E141" s="186">
        <f t="shared" si="60"/>
        <v>85845.459070354482</v>
      </c>
      <c r="F141" s="191">
        <f t="shared" si="61"/>
        <v>1.4884760742383235E-3</v>
      </c>
      <c r="G141" s="188">
        <f t="shared" si="62"/>
        <v>-7315.3597051161669</v>
      </c>
      <c r="H141" s="189">
        <f t="shared" si="63"/>
        <v>78530.099365238319</v>
      </c>
      <c r="J141" s="204" t="s">
        <v>296</v>
      </c>
      <c r="K141" s="188">
        <f t="shared" si="64"/>
        <v>-78530.099365238319</v>
      </c>
    </row>
    <row r="142" spans="2:11" x14ac:dyDescent="0.2">
      <c r="B142" s="176" t="s">
        <v>245</v>
      </c>
      <c r="C142" s="184">
        <f>G81</f>
        <v>1347172.4185277338</v>
      </c>
      <c r="D142" s="185">
        <f>O81</f>
        <v>698743.3710362491</v>
      </c>
      <c r="E142" s="186">
        <f t="shared" si="60"/>
        <v>2045915.7895639827</v>
      </c>
      <c r="F142" s="187"/>
      <c r="G142" s="188"/>
      <c r="H142" s="189">
        <f t="shared" si="63"/>
        <v>2045915.7895639827</v>
      </c>
      <c r="K142" s="188">
        <f t="shared" si="64"/>
        <v>-2045915.7895639827</v>
      </c>
    </row>
    <row r="143" spans="2:11" x14ac:dyDescent="0.2">
      <c r="B143" s="176" t="s">
        <v>246</v>
      </c>
      <c r="C143" s="184">
        <f>G55</f>
        <v>3472085.3316994379</v>
      </c>
      <c r="D143" s="185">
        <f>O55</f>
        <v>1930951.6607864115</v>
      </c>
      <c r="E143" s="186">
        <f t="shared" si="60"/>
        <v>5403036.9924858492</v>
      </c>
      <c r="H143" s="189">
        <f t="shared" si="63"/>
        <v>5403036.9924858492</v>
      </c>
      <c r="K143" s="188">
        <f t="shared" si="64"/>
        <v>-5403036.9924858492</v>
      </c>
    </row>
    <row r="144" spans="2:11" x14ac:dyDescent="0.2">
      <c r="B144" s="176" t="s">
        <v>247</v>
      </c>
      <c r="C144" s="184">
        <f>G68</f>
        <v>0</v>
      </c>
      <c r="D144" s="185">
        <f>O68</f>
        <v>0</v>
      </c>
      <c r="E144" s="186">
        <f t="shared" si="60"/>
        <v>0</v>
      </c>
      <c r="H144" s="189">
        <f t="shared" si="63"/>
        <v>0</v>
      </c>
      <c r="K144" s="188">
        <f t="shared" si="64"/>
        <v>0</v>
      </c>
    </row>
    <row r="145" spans="2:11" x14ac:dyDescent="0.2">
      <c r="B145" s="176" t="s">
        <v>307</v>
      </c>
      <c r="C145" s="184">
        <f>G107</f>
        <v>-189364.93114123575</v>
      </c>
      <c r="D145" s="185">
        <f>O107</f>
        <v>-98218.675294939807</v>
      </c>
      <c r="E145" s="186">
        <f t="shared" si="60"/>
        <v>-287583.60643617553</v>
      </c>
      <c r="H145" s="189">
        <f t="shared" si="63"/>
        <v>-287583.60643617553</v>
      </c>
      <c r="K145" s="188">
        <f t="shared" si="64"/>
        <v>287583.60643617553</v>
      </c>
    </row>
    <row r="146" spans="2:11" x14ac:dyDescent="0.2">
      <c r="B146" s="176" t="s">
        <v>76</v>
      </c>
      <c r="C146" s="184">
        <f>G94</f>
        <v>198113.59095996086</v>
      </c>
      <c r="D146" s="185">
        <f>O94</f>
        <v>102756.37809356603</v>
      </c>
      <c r="E146" s="186">
        <f t="shared" si="60"/>
        <v>300869.96905352687</v>
      </c>
      <c r="H146" s="189">
        <f t="shared" si="63"/>
        <v>300869.96905352687</v>
      </c>
      <c r="K146" s="188">
        <f t="shared" si="64"/>
        <v>-300869.96905352687</v>
      </c>
    </row>
    <row r="147" spans="2:11" x14ac:dyDescent="0.2">
      <c r="B147" s="176" t="s">
        <v>248</v>
      </c>
      <c r="C147" s="184">
        <f>E120</f>
        <v>170049.59999999998</v>
      </c>
      <c r="D147" s="185"/>
      <c r="E147" s="186">
        <f t="shared" si="60"/>
        <v>170049.59999999998</v>
      </c>
      <c r="H147" s="189">
        <f t="shared" si="63"/>
        <v>170049.59999999998</v>
      </c>
      <c r="K147" s="188">
        <f t="shared" si="64"/>
        <v>-170049.59999999998</v>
      </c>
    </row>
    <row r="148" spans="2:11" x14ac:dyDescent="0.2">
      <c r="B148" s="179" t="s">
        <v>66</v>
      </c>
      <c r="C148" s="145">
        <f>SUM(C137:C147)</f>
        <v>42005674.801366583</v>
      </c>
      <c r="D148" s="145">
        <f>SUM(D137:D147)</f>
        <v>23300002.556068834</v>
      </c>
      <c r="E148" s="145">
        <f>SUM(E137:E147)</f>
        <v>65305677.35743542</v>
      </c>
      <c r="F148" s="145"/>
      <c r="G148" s="145">
        <f>SUM(G137:G147)</f>
        <v>-4914663.9517598916</v>
      </c>
      <c r="H148" s="190">
        <f>SUM(H137:H147)</f>
        <v>60391013.405675523</v>
      </c>
    </row>
  </sheetData>
  <mergeCells count="26">
    <mergeCell ref="D110:E110"/>
    <mergeCell ref="E44:G45"/>
    <mergeCell ref="M44:O45"/>
    <mergeCell ref="E57:G58"/>
    <mergeCell ref="M57:O58"/>
    <mergeCell ref="E70:G71"/>
    <mergeCell ref="M70:O71"/>
    <mergeCell ref="E83:G84"/>
    <mergeCell ref="M83:O84"/>
    <mergeCell ref="E96:G97"/>
    <mergeCell ref="M96:O97"/>
    <mergeCell ref="F109:G109"/>
    <mergeCell ref="L17:L18"/>
    <mergeCell ref="M17:O18"/>
    <mergeCell ref="C30:C31"/>
    <mergeCell ref="D30:D31"/>
    <mergeCell ref="E30:G31"/>
    <mergeCell ref="K30:K31"/>
    <mergeCell ref="L30:L31"/>
    <mergeCell ref="M30:O31"/>
    <mergeCell ref="K17:K18"/>
    <mergeCell ref="G2:H2"/>
    <mergeCell ref="B3:E3"/>
    <mergeCell ref="C17:C18"/>
    <mergeCell ref="D17:D18"/>
    <mergeCell ref="E17:G18"/>
  </mergeCells>
  <pageMargins left="0.7" right="0.7" top="0.75" bottom="0.75" header="0.3" footer="0.3"/>
  <pageSetup scale="31" orientation="portrait" r:id="rId1"/>
  <headerFooter>
    <oddFooter>&amp;Z&amp;F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AI91"/>
  <sheetViews>
    <sheetView zoomScaleNormal="100" workbookViewId="0">
      <pane xSplit="1" ySplit="3" topLeftCell="J16" activePane="bottomRight" state="frozen"/>
      <selection pane="topRight" activeCell="B1" sqref="B1"/>
      <selection pane="bottomLeft" activeCell="A4" sqref="A4"/>
      <selection pane="bottomRight" activeCell="V47" sqref="V47:W48"/>
    </sheetView>
  </sheetViews>
  <sheetFormatPr defaultRowHeight="12.75" x14ac:dyDescent="0.2"/>
  <cols>
    <col min="1" max="1" width="31.85546875" customWidth="1"/>
    <col min="2" max="2" width="13.140625" style="49" customWidth="1"/>
    <col min="3" max="3" width="13.140625" style="50" customWidth="1"/>
    <col min="4" max="8" width="13.140625" customWidth="1"/>
    <col min="9" max="9" width="13.140625" style="238" customWidth="1"/>
    <col min="10" max="12" width="13.140625" customWidth="1"/>
    <col min="13" max="13" width="14.5703125" customWidth="1"/>
    <col min="14" max="14" width="13.140625" customWidth="1"/>
    <col min="15" max="15" width="15.28515625" customWidth="1"/>
    <col min="16" max="16" width="4.42578125" customWidth="1"/>
    <col min="17" max="17" width="14.42578125" customWidth="1"/>
    <col min="18" max="19" width="11.42578125" customWidth="1"/>
    <col min="20" max="20" width="15" bestFit="1" customWidth="1"/>
    <col min="21" max="21" width="15" customWidth="1"/>
    <col min="22" max="22" width="15" bestFit="1" customWidth="1"/>
    <col min="23" max="26" width="15.5703125" customWidth="1"/>
    <col min="27" max="27" width="26.7109375" bestFit="1" customWidth="1"/>
    <col min="28" max="34" width="15.140625" customWidth="1"/>
    <col min="35" max="35" width="14.5703125" customWidth="1"/>
  </cols>
  <sheetData>
    <row r="1" spans="1:35" ht="15.75" x14ac:dyDescent="0.25">
      <c r="A1" s="94" t="s">
        <v>211</v>
      </c>
      <c r="B1" s="1"/>
      <c r="C1"/>
    </row>
    <row r="2" spans="1:35" x14ac:dyDescent="0.2">
      <c r="B2" s="1"/>
      <c r="C2"/>
    </row>
    <row r="3" spans="1:35" ht="54" customHeight="1" x14ac:dyDescent="0.2">
      <c r="B3" s="34" t="s">
        <v>83</v>
      </c>
      <c r="C3" s="34" t="s">
        <v>84</v>
      </c>
      <c r="D3" s="34" t="s">
        <v>106</v>
      </c>
      <c r="E3" s="34" t="s">
        <v>107</v>
      </c>
      <c r="F3" s="34" t="s">
        <v>135</v>
      </c>
      <c r="G3" s="34" t="s">
        <v>136</v>
      </c>
      <c r="H3" s="34" t="s">
        <v>210</v>
      </c>
      <c r="I3" s="239" t="s">
        <v>309</v>
      </c>
      <c r="J3" s="101" t="s">
        <v>249</v>
      </c>
      <c r="K3" s="34" t="s">
        <v>250</v>
      </c>
      <c r="L3" s="34" t="s">
        <v>251</v>
      </c>
      <c r="M3" s="34" t="s">
        <v>252</v>
      </c>
      <c r="N3" s="34" t="s">
        <v>253</v>
      </c>
      <c r="O3" s="34" t="s">
        <v>254</v>
      </c>
      <c r="P3" s="34"/>
      <c r="R3" s="629" t="s">
        <v>265</v>
      </c>
      <c r="S3" s="629"/>
      <c r="T3" s="629" t="s">
        <v>272</v>
      </c>
      <c r="U3" s="629"/>
      <c r="V3" s="629" t="s">
        <v>271</v>
      </c>
      <c r="W3" s="629"/>
      <c r="X3" s="237"/>
      <c r="Y3" s="237"/>
    </row>
    <row r="4" spans="1:35" ht="54" customHeight="1" x14ac:dyDescent="0.2">
      <c r="A4" s="16" t="s">
        <v>55</v>
      </c>
      <c r="B4" s="51">
        <f>'Purchased Power Model'!B164</f>
        <v>745049194</v>
      </c>
      <c r="C4" s="6">
        <f>'Purchased Power Model'!B165</f>
        <v>706953513</v>
      </c>
      <c r="D4" s="6">
        <f>'Purchased Power Model'!B166</f>
        <v>730568311</v>
      </c>
      <c r="E4" s="6">
        <f>'Purchased Power Model'!B167</f>
        <v>730490284.99000001</v>
      </c>
      <c r="F4" s="6">
        <f>'Purchased Power Model'!B168</f>
        <v>698517377.1099999</v>
      </c>
      <c r="G4" s="6">
        <f>'Purchased Power Model'!B169</f>
        <v>669958461.73000014</v>
      </c>
      <c r="H4" s="6">
        <f>'Purchased Power Model'!B170</f>
        <v>652970473</v>
      </c>
      <c r="I4" s="240"/>
      <c r="J4" s="6">
        <f>'Purchased Power Model'!B171</f>
        <v>666736298.38999999</v>
      </c>
      <c r="K4" s="6">
        <f>'Purchased Power Model'!B172</f>
        <v>660639513.94000006</v>
      </c>
      <c r="L4" s="6">
        <f>'Purchased Power Model'!B173</f>
        <v>659068595.53012538</v>
      </c>
      <c r="M4" s="6">
        <f>'Purchased Power Model'!B174</f>
        <v>647740936.70370293</v>
      </c>
    </row>
    <row r="5" spans="1:35" x14ac:dyDescent="0.2">
      <c r="A5" s="16" t="s">
        <v>56</v>
      </c>
      <c r="B5" s="51">
        <f>'Purchased Power Model'!Q164</f>
        <v>731059136.97020352</v>
      </c>
      <c r="C5" s="51">
        <f>'Purchased Power Model'!Q165</f>
        <v>705463160.33182871</v>
      </c>
      <c r="D5" s="51">
        <f>'Purchased Power Model'!Q166</f>
        <v>727273535.55742931</v>
      </c>
      <c r="E5" s="51">
        <f>'Purchased Power Model'!Q167</f>
        <v>725078488.85155165</v>
      </c>
      <c r="F5" s="51">
        <f>'Purchased Power Model'!Q168</f>
        <v>703901684.41210961</v>
      </c>
      <c r="G5" s="51">
        <f>'Purchased Power Model'!Q169</f>
        <v>678826549.11724424</v>
      </c>
      <c r="H5" s="51">
        <f>'Purchased Power Model'!Q170</f>
        <v>667414767.34397888</v>
      </c>
      <c r="I5" s="241">
        <f>I8*1.0481</f>
        <v>659159219.99909997</v>
      </c>
      <c r="J5" s="51">
        <f>'Purchased Power Model'!Q171</f>
        <v>684015773.32876098</v>
      </c>
      <c r="K5" s="51">
        <f>'Purchased Power Model'!Q172</f>
        <v>671082095.06483686</v>
      </c>
      <c r="L5" s="51">
        <f>'Purchased Power Model'!Q173</f>
        <v>647283484.79280627</v>
      </c>
      <c r="M5" s="51">
        <f>'Purchased Power Model'!Q174</f>
        <v>610764455.86947477</v>
      </c>
      <c r="N5" s="51">
        <f>'Purchased Power Model'!Q175</f>
        <v>630498751.71553993</v>
      </c>
      <c r="O5" s="51">
        <f>'Purchased Power Model'!Q176</f>
        <v>620948538.36945367</v>
      </c>
      <c r="P5" s="51"/>
      <c r="Q5" s="255"/>
    </row>
    <row r="6" spans="1:35" x14ac:dyDescent="0.2">
      <c r="A6" s="16" t="s">
        <v>11</v>
      </c>
      <c r="B6" s="33">
        <f t="shared" ref="B6:M6" si="0">(B5-B4)/B4</f>
        <v>-1.8777360129318497E-2</v>
      </c>
      <c r="C6" s="33">
        <f t="shared" si="0"/>
        <v>-2.1081339023932208E-3</v>
      </c>
      <c r="D6" s="33">
        <f t="shared" si="0"/>
        <v>-4.5098800385426057E-3</v>
      </c>
      <c r="E6" s="33">
        <f t="shared" si="0"/>
        <v>-7.4084436845350266E-3</v>
      </c>
      <c r="F6" s="33">
        <f t="shared" si="0"/>
        <v>7.7081937809283987E-3</v>
      </c>
      <c r="G6" s="33">
        <f t="shared" si="0"/>
        <v>1.3236771969928536E-2</v>
      </c>
      <c r="H6" s="33">
        <f t="shared" si="0"/>
        <v>2.2120899705642405E-2</v>
      </c>
      <c r="I6" s="242"/>
      <c r="J6" s="33">
        <f t="shared" si="0"/>
        <v>2.5916505491731245E-2</v>
      </c>
      <c r="K6" s="33">
        <f t="shared" si="0"/>
        <v>1.5806776471116755E-2</v>
      </c>
      <c r="L6" s="33">
        <f t="shared" si="0"/>
        <v>-1.7881463048379197E-2</v>
      </c>
      <c r="M6" s="33">
        <f t="shared" si="0"/>
        <v>-5.708529249733426E-2</v>
      </c>
    </row>
    <row r="7" spans="1:35" x14ac:dyDescent="0.2">
      <c r="A7" s="16"/>
      <c r="B7" s="52"/>
      <c r="C7" s="256"/>
      <c r="D7" s="256"/>
      <c r="E7" s="256"/>
      <c r="F7" s="256"/>
      <c r="G7" s="256"/>
      <c r="H7" s="256"/>
      <c r="I7" s="243"/>
      <c r="J7" s="256"/>
      <c r="K7" s="256"/>
      <c r="L7" s="256"/>
      <c r="M7" s="256"/>
      <c r="Q7" s="43">
        <f>N12-M12</f>
        <v>102.90671666790513</v>
      </c>
      <c r="R7">
        <f>Q7*12*33.72</f>
        <v>41640.173832501132</v>
      </c>
      <c r="S7">
        <f>(N24-M24)*S22</f>
        <v>247787.12975410701</v>
      </c>
    </row>
    <row r="8" spans="1:35" x14ac:dyDescent="0.2">
      <c r="A8" s="16" t="s">
        <v>85</v>
      </c>
      <c r="B8" s="51">
        <f>'Rate Class Energy Model'!G6</f>
        <v>711929017</v>
      </c>
      <c r="C8" s="43">
        <f>'Rate Class Energy Model'!G7</f>
        <v>676765709</v>
      </c>
      <c r="D8" s="6">
        <f>'Rate Class Energy Model'!G8</f>
        <v>688244167</v>
      </c>
      <c r="E8" s="6">
        <f>'Rate Class Energy Model'!G9</f>
        <v>701843127</v>
      </c>
      <c r="F8" s="6">
        <f>'Rate Class Energy Model'!G10</f>
        <v>669387526</v>
      </c>
      <c r="G8" s="6">
        <f>'Rate Class Energy Model'!G11</f>
        <v>636876243.92999995</v>
      </c>
      <c r="H8" s="6">
        <f>'Rate Class Energy Model'!G12</f>
        <v>622542513.29999995</v>
      </c>
      <c r="I8" s="240">
        <f>I42</f>
        <v>628908711</v>
      </c>
      <c r="J8" s="6">
        <f>'Rate Class Energy Model'!G13</f>
        <v>633697926.79000008</v>
      </c>
      <c r="K8" s="6">
        <f>'Rate Class Energy Model'!G14</f>
        <v>631945814.02999985</v>
      </c>
      <c r="L8" s="6">
        <f>'Rate Class Energy Model'!G15</f>
        <v>631179703.67999995</v>
      </c>
      <c r="M8" s="6">
        <f>'Rate Class Energy Model'!G16</f>
        <v>622536837.63999999</v>
      </c>
      <c r="N8" s="6">
        <f>'Rate Class Energy Model'!G17</f>
        <v>602656042.54974186</v>
      </c>
      <c r="O8" s="6">
        <f>O46</f>
        <v>575167212.87235105</v>
      </c>
      <c r="P8" s="6"/>
    </row>
    <row r="9" spans="1:35" ht="35.450000000000003" customHeight="1" thickBot="1" x14ac:dyDescent="0.25">
      <c r="A9" s="16"/>
      <c r="B9" s="1"/>
      <c r="C9"/>
      <c r="D9" s="1"/>
      <c r="E9" s="61"/>
      <c r="F9" s="1"/>
      <c r="H9" s="1"/>
      <c r="I9" s="243"/>
      <c r="J9" s="1"/>
      <c r="M9" s="6"/>
      <c r="AI9" s="642" t="s">
        <v>325</v>
      </c>
    </row>
    <row r="10" spans="1:35" ht="15.95" customHeight="1" thickBot="1" x14ac:dyDescent="0.3">
      <c r="A10" s="32" t="s">
        <v>57</v>
      </c>
      <c r="B10" s="1"/>
      <c r="C10"/>
      <c r="D10" s="1"/>
      <c r="E10" s="1"/>
      <c r="F10" s="1"/>
      <c r="G10" s="1"/>
      <c r="H10" s="1"/>
      <c r="I10" s="243"/>
      <c r="J10" s="1"/>
      <c r="Q10" s="639" t="s">
        <v>308</v>
      </c>
      <c r="R10" s="640"/>
      <c r="S10" s="641"/>
      <c r="T10" s="639" t="s">
        <v>272</v>
      </c>
      <c r="U10" s="641"/>
      <c r="V10" s="640" t="s">
        <v>271</v>
      </c>
      <c r="W10" s="641"/>
      <c r="X10" s="640" t="s">
        <v>271</v>
      </c>
      <c r="Y10" s="641"/>
      <c r="AA10" s="645" t="s">
        <v>273</v>
      </c>
      <c r="AB10" s="646"/>
      <c r="AC10" s="647"/>
      <c r="AI10" s="643"/>
    </row>
    <row r="11" spans="1:35" x14ac:dyDescent="0.2">
      <c r="A11" s="31" t="str">
        <f>'Rate Class Energy Model'!H2</f>
        <v>Residential</v>
      </c>
      <c r="B11" s="1"/>
      <c r="C11"/>
      <c r="D11" s="1"/>
      <c r="E11" s="1"/>
      <c r="F11" s="1"/>
      <c r="G11" s="1"/>
      <c r="H11" s="1"/>
      <c r="I11" s="243"/>
      <c r="J11" s="1"/>
      <c r="Q11" s="213"/>
      <c r="R11" s="214" t="s">
        <v>269</v>
      </c>
      <c r="S11" s="215" t="s">
        <v>270</v>
      </c>
      <c r="T11" s="222" t="s">
        <v>284</v>
      </c>
      <c r="U11" s="215" t="s">
        <v>270</v>
      </c>
      <c r="V11" s="214" t="s">
        <v>284</v>
      </c>
      <c r="W11" s="215" t="s">
        <v>270</v>
      </c>
      <c r="X11" s="214" t="s">
        <v>284</v>
      </c>
      <c r="Y11" s="215" t="s">
        <v>270</v>
      </c>
      <c r="Z11" s="107"/>
      <c r="AA11" s="206"/>
      <c r="AB11" s="208">
        <v>2017</v>
      </c>
      <c r="AC11" s="208">
        <v>2018</v>
      </c>
      <c r="AD11" s="208">
        <v>2019</v>
      </c>
      <c r="AE11" s="208">
        <v>2020</v>
      </c>
      <c r="AF11" s="208">
        <v>2021</v>
      </c>
      <c r="AG11" s="208">
        <v>2022</v>
      </c>
      <c r="AH11" s="208">
        <v>2023</v>
      </c>
      <c r="AI11" s="644"/>
    </row>
    <row r="12" spans="1:35" ht="15" x14ac:dyDescent="0.25">
      <c r="A12" t="s">
        <v>50</v>
      </c>
      <c r="B12" s="6">
        <f>'Rate Class Customer Model'!B4</f>
        <v>29124</v>
      </c>
      <c r="C12" s="6">
        <f>'Rate Class Customer Model'!B5</f>
        <v>29327</v>
      </c>
      <c r="D12" s="6">
        <f>'Rate Class Customer Model'!B6</f>
        <v>29504</v>
      </c>
      <c r="E12" s="6">
        <f>'Rate Class Customer Model'!B7</f>
        <v>29514</v>
      </c>
      <c r="F12" s="6">
        <f>'Rate Class Customer Model'!B8</f>
        <v>29566</v>
      </c>
      <c r="G12" s="6">
        <f>'Rate Class Customer Model'!B9</f>
        <v>29620</v>
      </c>
      <c r="H12" s="6">
        <f>'Rate Class Customer Model'!B10</f>
        <v>29729</v>
      </c>
      <c r="I12" s="240">
        <v>29816</v>
      </c>
      <c r="J12" s="6">
        <f>'Rate Class Customer Model'!B11</f>
        <v>29837</v>
      </c>
      <c r="K12" s="6">
        <f>'Rate Class Customer Model'!B12</f>
        <v>29897</v>
      </c>
      <c r="L12" s="6">
        <f>'Rate Class Customer Model'!B13</f>
        <v>30026</v>
      </c>
      <c r="M12" s="6">
        <f>'Rate Class Customer Model'!B14</f>
        <v>30134</v>
      </c>
      <c r="N12" s="6">
        <f>'Rate Class Customer Model'!B15</f>
        <v>30236.906716667905</v>
      </c>
      <c r="O12" s="6">
        <f>ROUND('Rate Class Customer Model'!B16,0)</f>
        <v>30340</v>
      </c>
      <c r="P12" s="6"/>
      <c r="Q12" s="216" t="s">
        <v>266</v>
      </c>
      <c r="R12">
        <v>33.72</v>
      </c>
      <c r="S12" s="218"/>
      <c r="T12" s="223">
        <f>N12*R12*12</f>
        <v>12235061.9338325</v>
      </c>
      <c r="U12" s="224"/>
      <c r="V12" s="225">
        <f>R12*$O$12*12</f>
        <v>12276777.6</v>
      </c>
      <c r="W12" s="224"/>
      <c r="X12" s="225">
        <f>R12*12*$I$12</f>
        <v>12064746.24</v>
      </c>
      <c r="Y12" s="224"/>
      <c r="AA12" s="204" t="s">
        <v>274</v>
      </c>
      <c r="AB12" s="207">
        <v>-5750101.5800000001</v>
      </c>
      <c r="AC12" s="207">
        <v>-6728097.8999999994</v>
      </c>
      <c r="AD12" s="207">
        <v>-10573475.01</v>
      </c>
      <c r="AE12" s="207">
        <v>-10813023.449999999</v>
      </c>
      <c r="AF12" s="207">
        <v>-11736056.51</v>
      </c>
      <c r="AG12" s="207">
        <f>-SUM(T12:T14)</f>
        <v>-12895435.976524526</v>
      </c>
      <c r="AH12" s="207">
        <f>-SUM(V12:V14)</f>
        <v>-12939403.199999999</v>
      </c>
      <c r="AI12" s="207"/>
    </row>
    <row r="13" spans="1:35" ht="15" x14ac:dyDescent="0.25">
      <c r="A13" t="s">
        <v>51</v>
      </c>
      <c r="B13" s="6">
        <f>'Rate Class Energy Model'!H6</f>
        <v>345282279</v>
      </c>
      <c r="C13" s="6">
        <f>'Rate Class Energy Model'!H7</f>
        <v>316127645</v>
      </c>
      <c r="D13" s="41">
        <f>'Rate Class Energy Model'!H8</f>
        <v>324185392</v>
      </c>
      <c r="E13" s="6">
        <f>'Rate Class Energy Model'!H9</f>
        <v>334950383</v>
      </c>
      <c r="F13" s="6">
        <f>'Rate Class Energy Model'!H10</f>
        <v>310458240</v>
      </c>
      <c r="G13" s="6">
        <f>'Rate Class Energy Model'!H11</f>
        <v>288746486.39999998</v>
      </c>
      <c r="H13" s="6">
        <f>'Rate Class Energy Model'!H12</f>
        <v>282820546.89999998</v>
      </c>
      <c r="I13" s="240">
        <v>288323799</v>
      </c>
      <c r="J13" s="6">
        <f>'Rate Class Energy Model'!H13</f>
        <v>295617650.5</v>
      </c>
      <c r="K13" s="6">
        <f>'Rate Class Energy Model'!H14</f>
        <v>296035265.68000001</v>
      </c>
      <c r="L13" s="6">
        <f>'Rate Class Energy Model'!H15</f>
        <v>298184962.97000003</v>
      </c>
      <c r="M13" s="6">
        <f>'Rate Class Energy Model'!H16</f>
        <v>292492184.38</v>
      </c>
      <c r="N13" s="6">
        <f>'Rate Class Energy Model'!H63</f>
        <v>281801295.07369024</v>
      </c>
      <c r="O13" s="6">
        <f>'Rate Class Energy Model'!H64</f>
        <v>273629866.26848006</v>
      </c>
      <c r="P13" s="6"/>
      <c r="Q13" s="216" t="s">
        <v>267</v>
      </c>
      <c r="R13">
        <v>0.39</v>
      </c>
      <c r="S13" s="218"/>
      <c r="T13" s="223">
        <f>R13*N12*12</f>
        <v>141508.72343400581</v>
      </c>
      <c r="U13" s="224"/>
      <c r="V13" s="225">
        <f>R13*$O$12*12</f>
        <v>141991.20000000001</v>
      </c>
      <c r="W13" s="224"/>
      <c r="X13" s="225">
        <f>R13*12*$I$12</f>
        <v>139538.88</v>
      </c>
      <c r="Y13" s="224"/>
      <c r="AA13" s="204" t="s">
        <v>275</v>
      </c>
      <c r="AB13" s="233">
        <v>-3503478.8</v>
      </c>
      <c r="AC13" s="233">
        <v>-2517272.1399999997</v>
      </c>
      <c r="AD13" s="233">
        <v>-921444.15</v>
      </c>
      <c r="AE13" s="233">
        <v>-579874.13</v>
      </c>
      <c r="AF13" s="233">
        <v>-72.45</v>
      </c>
      <c r="AG13" s="206">
        <v>0</v>
      </c>
      <c r="AH13" s="206"/>
      <c r="AI13" s="206"/>
    </row>
    <row r="14" spans="1:35" ht="16.5" x14ac:dyDescent="0.35">
      <c r="B14" s="1"/>
      <c r="C14"/>
      <c r="D14" s="41"/>
      <c r="E14" s="1"/>
      <c r="F14" s="1"/>
      <c r="H14" s="1"/>
      <c r="I14" s="243"/>
      <c r="J14" s="1"/>
      <c r="Q14" s="216" t="s">
        <v>268</v>
      </c>
      <c r="R14">
        <v>1.43</v>
      </c>
      <c r="S14" s="218"/>
      <c r="T14" s="234">
        <f>R14*N12*12</f>
        <v>518865.31925802125</v>
      </c>
      <c r="U14" s="224"/>
      <c r="V14" s="236">
        <f>R14*$O$12*12</f>
        <v>520634.39999999997</v>
      </c>
      <c r="W14" s="224"/>
      <c r="X14" s="236">
        <f t="shared" ref="X14" si="1">R14*12*$I$12</f>
        <v>511642.56</v>
      </c>
      <c r="Y14" s="224"/>
      <c r="AA14" s="204" t="s">
        <v>276</v>
      </c>
      <c r="AB14" s="207">
        <v>-718834.5</v>
      </c>
      <c r="AC14" s="207">
        <v>-702915.85</v>
      </c>
      <c r="AD14" s="207">
        <v>-819409.85000000009</v>
      </c>
      <c r="AE14" s="207">
        <v>-837136.21</v>
      </c>
      <c r="AF14" s="207">
        <v>-895252.23</v>
      </c>
      <c r="AG14" s="207">
        <f>-SUM(T17:T19)</f>
        <v>-959124.05616949766</v>
      </c>
      <c r="AH14" s="207">
        <f>-SUM(V17:V19)</f>
        <v>-960024</v>
      </c>
      <c r="AI14" s="207"/>
    </row>
    <row r="15" spans="1:35" ht="15" x14ac:dyDescent="0.25">
      <c r="B15" s="1"/>
      <c r="C15"/>
      <c r="D15" s="41"/>
      <c r="E15" s="1"/>
      <c r="F15" s="1"/>
      <c r="H15" s="1"/>
      <c r="I15" s="243"/>
      <c r="J15" s="1"/>
      <c r="M15" s="43"/>
      <c r="Q15" s="216"/>
      <c r="S15" s="218"/>
      <c r="T15" s="223">
        <f>SUM(T12:T14)</f>
        <v>12895435.976524526</v>
      </c>
      <c r="U15" s="224"/>
      <c r="V15" s="223">
        <f>SUM(V12:V14)</f>
        <v>12939403.199999999</v>
      </c>
      <c r="W15" s="224"/>
      <c r="X15" s="223">
        <f>SUM(X12:X14)</f>
        <v>12715927.680000002</v>
      </c>
      <c r="Y15" s="224"/>
      <c r="AA15" s="204" t="s">
        <v>277</v>
      </c>
      <c r="AB15" s="207">
        <v>-1956877.4500000002</v>
      </c>
      <c r="AC15" s="207">
        <v>-1982139.0300000003</v>
      </c>
      <c r="AD15" s="207">
        <v>-2348348.0499999998</v>
      </c>
      <c r="AE15" s="207">
        <v>-2140199.4700000002</v>
      </c>
      <c r="AF15" s="207">
        <v>-2249342.92</v>
      </c>
      <c r="AG15" s="207">
        <f>-SUM(U17:U19)</f>
        <v>-2438848.7002173546</v>
      </c>
      <c r="AH15" s="207">
        <f>-SUM(W17:W19)</f>
        <v>-2223204.0633562664</v>
      </c>
      <c r="AI15" s="207"/>
    </row>
    <row r="16" spans="1:35" ht="15" x14ac:dyDescent="0.25">
      <c r="A16" s="31" t="str">
        <f>'Rate Class Energy Model'!I2</f>
        <v>General Service &lt;50 kW</v>
      </c>
      <c r="B16" s="1"/>
      <c r="C16"/>
      <c r="D16" s="54"/>
      <c r="E16" s="1"/>
      <c r="F16" s="1"/>
      <c r="G16" s="1"/>
      <c r="H16" s="1"/>
      <c r="I16" s="243"/>
      <c r="J16" s="1"/>
      <c r="Q16" s="217"/>
      <c r="R16" s="60" t="s">
        <v>269</v>
      </c>
      <c r="S16" s="220" t="s">
        <v>270</v>
      </c>
      <c r="T16" s="226"/>
      <c r="U16" s="227"/>
      <c r="V16" s="228"/>
      <c r="W16" s="227"/>
      <c r="X16" s="228"/>
      <c r="Y16" s="227"/>
      <c r="AA16" s="204" t="s">
        <v>278</v>
      </c>
      <c r="AB16" s="207">
        <v>-497720.91</v>
      </c>
      <c r="AC16" s="207">
        <v>-490212.36</v>
      </c>
      <c r="AD16" s="207">
        <v>-484389.49999999994</v>
      </c>
      <c r="AE16" s="207">
        <v>-514491.09</v>
      </c>
      <c r="AF16" s="207">
        <v>-496266.51</v>
      </c>
      <c r="AG16" s="207">
        <f>-SUM(T22:T24)</f>
        <v>-543098.90761540108</v>
      </c>
      <c r="AH16" s="207">
        <f>-SUM(V22:V24)</f>
        <v>-536309.75999999989</v>
      </c>
      <c r="AI16" s="207"/>
    </row>
    <row r="17" spans="1:35" ht="15" x14ac:dyDescent="0.25">
      <c r="A17" t="s">
        <v>50</v>
      </c>
      <c r="B17" s="6">
        <f>'Rate Class Customer Model'!C4</f>
        <v>3366</v>
      </c>
      <c r="C17" s="6">
        <f>'Rate Class Customer Model'!C5</f>
        <v>3448</v>
      </c>
      <c r="D17" s="6">
        <f>'Rate Class Customer Model'!C6</f>
        <v>3474</v>
      </c>
      <c r="E17" s="6">
        <f>'Rate Class Customer Model'!C7</f>
        <v>3464</v>
      </c>
      <c r="F17" s="6">
        <f>'Rate Class Customer Model'!C8</f>
        <v>3431</v>
      </c>
      <c r="G17" s="6">
        <f>'Rate Class Customer Model'!C9</f>
        <v>3414</v>
      </c>
      <c r="H17" s="6">
        <f>'Rate Class Customer Model'!C10</f>
        <v>3417</v>
      </c>
      <c r="I17" s="240">
        <v>3431</v>
      </c>
      <c r="J17" s="6">
        <f>'Rate Class Customer Model'!C11</f>
        <v>3414</v>
      </c>
      <c r="K17" s="6">
        <f>'Rate Class Customer Model'!C12</f>
        <v>3388</v>
      </c>
      <c r="L17" s="6">
        <f>'Rate Class Customer Model'!C13</f>
        <v>3391</v>
      </c>
      <c r="M17" s="6">
        <f>'Rate Class Customer Model'!C14</f>
        <v>3394</v>
      </c>
      <c r="N17" s="6">
        <f>'Rate Class Customer Model'!C15</f>
        <v>3396.8127786141727</v>
      </c>
      <c r="O17" s="6">
        <f>ROUND('Rate Class Customer Model'!C16,0)</f>
        <v>3400</v>
      </c>
      <c r="P17" s="6"/>
      <c r="Q17" s="216" t="s">
        <v>266</v>
      </c>
      <c r="R17">
        <v>22.32</v>
      </c>
      <c r="S17" s="218">
        <v>2.6800000000000001E-2</v>
      </c>
      <c r="T17" s="223">
        <f>R17*$N$17*12</f>
        <v>909802.33462401992</v>
      </c>
      <c r="U17" s="224">
        <f>S17*$N$18</f>
        <v>2317771.105171103</v>
      </c>
      <c r="V17" s="225">
        <f>R17*$O$17*12</f>
        <v>910656</v>
      </c>
      <c r="W17" s="224">
        <f>S17*$O$18</f>
        <v>2112832.2304236861</v>
      </c>
      <c r="X17" s="225">
        <f>$I$17*12*R17</f>
        <v>918959.04</v>
      </c>
      <c r="Y17" s="224">
        <f>$I$18*S17</f>
        <v>2476627.2083999999</v>
      </c>
      <c r="Z17" s="202"/>
      <c r="AA17" s="204" t="s">
        <v>279</v>
      </c>
      <c r="AB17" s="207">
        <v>-3331923.8</v>
      </c>
      <c r="AC17" s="207">
        <v>-3559791.68</v>
      </c>
      <c r="AD17" s="207">
        <v>-4040768.1600000011</v>
      </c>
      <c r="AE17" s="207">
        <v>-3721810.69</v>
      </c>
      <c r="AF17" s="207">
        <v>-3771164.62</v>
      </c>
      <c r="AG17" s="207">
        <f>-SUM(U22:U24)</f>
        <v>-4361233.8779724939</v>
      </c>
      <c r="AH17" s="207">
        <f>-SUM(W22:W24)</f>
        <v>-4140825.3448163583</v>
      </c>
      <c r="AI17" s="207"/>
    </row>
    <row r="18" spans="1:35" ht="15" x14ac:dyDescent="0.25">
      <c r="A18" t="s">
        <v>51</v>
      </c>
      <c r="B18" s="6">
        <f>'Rate Class Energy Model'!I6</f>
        <v>101728299</v>
      </c>
      <c r="C18" s="6">
        <f>'Rate Class Energy Model'!I7</f>
        <v>97479014</v>
      </c>
      <c r="D18" s="6">
        <f>'Rate Class Energy Model'!I8</f>
        <v>95827695</v>
      </c>
      <c r="E18" s="6">
        <f>'Rate Class Energy Model'!I9</f>
        <v>99153426</v>
      </c>
      <c r="F18" s="6">
        <f>'Rate Class Energy Model'!I10</f>
        <v>95701162</v>
      </c>
      <c r="G18" s="6">
        <f>'Rate Class Energy Model'!I11</f>
        <v>92174996</v>
      </c>
      <c r="H18" s="6">
        <f>'Rate Class Energy Model'!I12</f>
        <v>91035995.200000003</v>
      </c>
      <c r="I18" s="240">
        <v>92411463</v>
      </c>
      <c r="J18" s="6">
        <f>'Rate Class Energy Model'!I13</f>
        <v>92759999.25</v>
      </c>
      <c r="K18" s="6">
        <f>'Rate Class Energy Model'!I14</f>
        <v>91718380.409999996</v>
      </c>
      <c r="L18" s="6">
        <f>'Rate Class Energy Model'!I15</f>
        <v>90568262.280000001</v>
      </c>
      <c r="M18" s="6">
        <f>'Rate Class Energy Model'!I16</f>
        <v>89432556</v>
      </c>
      <c r="N18" s="6">
        <f>'Rate Class Energy Model'!I63</f>
        <v>86483996.46160832</v>
      </c>
      <c r="O18" s="6">
        <f>'Rate Class Energy Model'!I64</f>
        <v>78837023.523271874</v>
      </c>
      <c r="P18" s="6"/>
      <c r="Q18" s="216" t="s">
        <v>267</v>
      </c>
      <c r="R18">
        <v>0.26</v>
      </c>
      <c r="S18" s="218">
        <v>2.9999999999999997E-4</v>
      </c>
      <c r="T18" s="223">
        <f>R18*$N$17*12</f>
        <v>10598.055869276219</v>
      </c>
      <c r="U18" s="224">
        <f t="shared" ref="U18:U19" si="2">S18*$N$18</f>
        <v>25945.198938482496</v>
      </c>
      <c r="V18" s="225">
        <f>R18*$O$17*12</f>
        <v>10608</v>
      </c>
      <c r="W18" s="224">
        <f>S18*$O$18</f>
        <v>23651.10705698156</v>
      </c>
      <c r="X18" s="225">
        <f t="shared" ref="X18:X19" si="3">$I$17*12*R18</f>
        <v>10704.720000000001</v>
      </c>
      <c r="Y18" s="224">
        <f t="shared" ref="Y18:Y19" si="4">$I$18*S18</f>
        <v>27723.438899999997</v>
      </c>
      <c r="Z18" s="202"/>
      <c r="AA18" s="204" t="s">
        <v>280</v>
      </c>
      <c r="AB18" s="207">
        <v>-321377.48000000004</v>
      </c>
      <c r="AC18" s="207">
        <v>-283356.84999999998</v>
      </c>
      <c r="AD18" s="207">
        <v>-128741.34000000001</v>
      </c>
      <c r="AE18" s="207">
        <v>-132217.31</v>
      </c>
      <c r="AF18" s="207">
        <v>-140107.04</v>
      </c>
      <c r="AG18" s="207">
        <f>-SUM(T32:T34)</f>
        <v>-149488.20000000001</v>
      </c>
      <c r="AH18" s="207">
        <f>-SUM(V32:V34)</f>
        <v>-149488.20000000001</v>
      </c>
      <c r="AI18" s="207"/>
    </row>
    <row r="19" spans="1:35" ht="16.5" x14ac:dyDescent="0.35">
      <c r="B19" s="1"/>
      <c r="C19" s="6"/>
      <c r="D19" s="1"/>
      <c r="E19" s="1"/>
      <c r="F19" s="1"/>
      <c r="H19" s="1"/>
      <c r="I19" s="243"/>
      <c r="J19" s="1"/>
      <c r="M19" s="202"/>
      <c r="O19" s="202"/>
      <c r="Q19" s="216" t="s">
        <v>268</v>
      </c>
      <c r="R19">
        <v>0.95</v>
      </c>
      <c r="S19" s="218">
        <v>1.1000000000000001E-3</v>
      </c>
      <c r="T19" s="234">
        <f>R19*$N$17*12</f>
        <v>38723.665676201563</v>
      </c>
      <c r="U19" s="235">
        <f t="shared" si="2"/>
        <v>95132.396107769164</v>
      </c>
      <c r="V19" s="236">
        <f>R19*$O$17*12</f>
        <v>38760</v>
      </c>
      <c r="W19" s="235">
        <f>S19*$O$18</f>
        <v>86720.725875599062</v>
      </c>
      <c r="X19" s="236">
        <f t="shared" si="3"/>
        <v>39113.4</v>
      </c>
      <c r="Y19" s="235">
        <f t="shared" si="4"/>
        <v>101652.60930000001</v>
      </c>
      <c r="Z19" s="202"/>
      <c r="AA19" s="204" t="s">
        <v>281</v>
      </c>
      <c r="AB19" s="207">
        <v>-134860.82999999999</v>
      </c>
      <c r="AC19" s="207">
        <v>-114989.32</v>
      </c>
      <c r="AD19" s="207">
        <v>-63501.479999999989</v>
      </c>
      <c r="AE19" s="207">
        <v>-65329.83</v>
      </c>
      <c r="AF19" s="207">
        <v>-66818</v>
      </c>
      <c r="AG19" s="207">
        <f>-SUM(U32:U34)</f>
        <v>-72974.817886646095</v>
      </c>
      <c r="AH19" s="207">
        <f>-SUM(W32:W34)</f>
        <v>-72974.817886646095</v>
      </c>
      <c r="AI19" s="207"/>
    </row>
    <row r="20" spans="1:35" ht="15" x14ac:dyDescent="0.25">
      <c r="B20" s="1"/>
      <c r="C20" s="6"/>
      <c r="D20" s="1"/>
      <c r="E20" s="1"/>
      <c r="F20" s="1"/>
      <c r="H20" s="1"/>
      <c r="I20" s="243"/>
      <c r="J20" s="1"/>
      <c r="Q20" s="216"/>
      <c r="S20" s="218"/>
      <c r="T20" s="226">
        <f t="shared" ref="T20:Y20" si="5">SUM(T17:T19)</f>
        <v>959124.05616949766</v>
      </c>
      <c r="U20" s="227">
        <f t="shared" si="5"/>
        <v>2438848.7002173546</v>
      </c>
      <c r="V20" s="226">
        <f t="shared" si="5"/>
        <v>960024</v>
      </c>
      <c r="W20" s="227">
        <f t="shared" si="5"/>
        <v>2223204.0633562664</v>
      </c>
      <c r="X20" s="226">
        <f t="shared" si="5"/>
        <v>968777.16</v>
      </c>
      <c r="Y20" s="227">
        <f t="shared" si="5"/>
        <v>2606003.2566</v>
      </c>
      <c r="Z20" s="228"/>
      <c r="AA20" s="204" t="s">
        <v>282</v>
      </c>
      <c r="AB20" s="207">
        <v>-12718.600000000002</v>
      </c>
      <c r="AC20" s="207">
        <v>-13003.729999999998</v>
      </c>
      <c r="AD20" s="207">
        <v>-14514.819999999998</v>
      </c>
      <c r="AE20" s="207">
        <v>-14888.62</v>
      </c>
      <c r="AF20" s="207">
        <v>-15729.6</v>
      </c>
      <c r="AG20" s="207">
        <f>-SUM(T27:T29)</f>
        <v>-15646.925715875021</v>
      </c>
      <c r="AH20" s="207">
        <f>-SUM(V27:V29)</f>
        <v>-15330.12</v>
      </c>
      <c r="AI20" s="207"/>
    </row>
    <row r="21" spans="1:35" ht="15" x14ac:dyDescent="0.25">
      <c r="A21" s="31" t="str">
        <f>'Rate Class Energy Model'!J2</f>
        <v>General Service 50 to 4,999 kW</v>
      </c>
      <c r="B21" s="1"/>
      <c r="C21" s="6"/>
      <c r="D21" s="1"/>
      <c r="E21" s="1"/>
      <c r="F21" s="1"/>
      <c r="G21" s="1"/>
      <c r="H21" s="1"/>
      <c r="I21" s="243"/>
      <c r="J21" s="1"/>
      <c r="Q21" s="217"/>
      <c r="R21" s="60" t="s">
        <v>269</v>
      </c>
      <c r="S21" s="220" t="s">
        <v>270</v>
      </c>
      <c r="T21" s="226"/>
      <c r="U21" s="227"/>
      <c r="V21" s="228"/>
      <c r="W21" s="227"/>
      <c r="X21" s="228"/>
      <c r="Y21" s="227"/>
      <c r="AA21" s="204" t="s">
        <v>283</v>
      </c>
      <c r="AB21" s="207">
        <v>-17029.25</v>
      </c>
      <c r="AC21" s="207">
        <v>-17331.949999999997</v>
      </c>
      <c r="AD21" s="207">
        <v>-20276.39</v>
      </c>
      <c r="AE21" s="207">
        <v>-20155.39</v>
      </c>
      <c r="AF21" s="207">
        <v>-20544.84</v>
      </c>
      <c r="AG21" s="207">
        <f>-SUM(U27:U29)</f>
        <v>-21839.140449285471</v>
      </c>
      <c r="AH21" s="207">
        <f>-SUM(W27:W29)</f>
        <v>-21308.744412871547</v>
      </c>
      <c r="AI21" s="207"/>
    </row>
    <row r="22" spans="1:35" ht="15" x14ac:dyDescent="0.25">
      <c r="A22" t="s">
        <v>50</v>
      </c>
      <c r="B22" s="6">
        <f>'Rate Class Customer Model'!D4</f>
        <v>403</v>
      </c>
      <c r="C22" s="6">
        <f>'Rate Class Customer Model'!D5</f>
        <v>366</v>
      </c>
      <c r="D22" s="6">
        <f>'Rate Class Customer Model'!D6</f>
        <v>373</v>
      </c>
      <c r="E22" s="6">
        <f>'Rate Class Customer Model'!D7</f>
        <v>370</v>
      </c>
      <c r="F22" s="6">
        <f>'Rate Class Customer Model'!D8</f>
        <v>373</v>
      </c>
      <c r="G22" s="6">
        <f>'Rate Class Customer Model'!D9</f>
        <v>361</v>
      </c>
      <c r="H22" s="6">
        <f>'Rate Class Customer Model'!D10</f>
        <v>361</v>
      </c>
      <c r="I22" s="240">
        <v>357</v>
      </c>
      <c r="J22" s="6">
        <f>'Rate Class Customer Model'!D11</f>
        <v>362</v>
      </c>
      <c r="K22" s="6">
        <f>'Rate Class Customer Model'!D12</f>
        <v>362</v>
      </c>
      <c r="L22" s="6">
        <f>'Rate Class Customer Model'!D13</f>
        <v>357</v>
      </c>
      <c r="M22" s="6">
        <f>'Rate Class Customer Model'!D14</f>
        <v>353</v>
      </c>
      <c r="N22" s="6">
        <f>'Rate Class Customer Model'!D15</f>
        <v>348.35469751603625</v>
      </c>
      <c r="O22" s="6">
        <f>ROUND('Rate Class Customer Model'!D16,0)</f>
        <v>344</v>
      </c>
      <c r="P22" s="6"/>
      <c r="Q22" s="216" t="s">
        <v>266</v>
      </c>
      <c r="R22">
        <v>123.27</v>
      </c>
      <c r="S22" s="218">
        <v>7.2478999999999996</v>
      </c>
      <c r="T22" s="223">
        <f>R22*$N$22*12</f>
        <v>515300.20275362144</v>
      </c>
      <c r="U22" s="224">
        <f>S22*$N$24</f>
        <v>4137785.795054107</v>
      </c>
      <c r="V22" s="225">
        <f>R22*$O$22*12</f>
        <v>508858.55999999994</v>
      </c>
      <c r="W22" s="224">
        <f>S22*$O$24</f>
        <v>3928669.9064959465</v>
      </c>
      <c r="X22" s="225">
        <f>$I$22*12*R22</f>
        <v>528088.67999999993</v>
      </c>
      <c r="Y22" s="224">
        <f>$I$24*S22</f>
        <v>4455595.7896999996</v>
      </c>
      <c r="AA22" s="204" t="s">
        <v>285</v>
      </c>
      <c r="AB22" s="207">
        <v>-3402.17</v>
      </c>
      <c r="AC22" s="207">
        <v>-3266.5800000000004</v>
      </c>
      <c r="AD22" s="207">
        <v>-3398.7500000000009</v>
      </c>
      <c r="AE22" s="207">
        <v>-3524.66</v>
      </c>
      <c r="AF22" s="207">
        <v>-3907.4</v>
      </c>
      <c r="AG22" s="207">
        <f>-SUM(T37:T39)</f>
        <v>-4248.1733743741433</v>
      </c>
      <c r="AH22" s="207">
        <f>-SUM(V37:V39)</f>
        <v>-4323</v>
      </c>
      <c r="AI22" s="207"/>
    </row>
    <row r="23" spans="1:35" ht="15" x14ac:dyDescent="0.25">
      <c r="A23" t="s">
        <v>51</v>
      </c>
      <c r="B23" s="6">
        <f>'Rate Class Energy Model'!J6</f>
        <v>255968368</v>
      </c>
      <c r="C23" s="6">
        <f>'Rate Class Energy Model'!J7</f>
        <v>254314087</v>
      </c>
      <c r="D23" s="6">
        <f>'Rate Class Energy Model'!J8</f>
        <v>259048750</v>
      </c>
      <c r="E23" s="6">
        <f>'Rate Class Energy Model'!J9</f>
        <v>258807830</v>
      </c>
      <c r="F23" s="6">
        <f>'Rate Class Energy Model'!J10</f>
        <v>254784565</v>
      </c>
      <c r="G23" s="6">
        <f>'Rate Class Energy Model'!J11</f>
        <v>249955178</v>
      </c>
      <c r="H23" s="6">
        <f>'Rate Class Energy Model'!J12</f>
        <v>245166375.80000001</v>
      </c>
      <c r="I23" s="240">
        <v>244620697</v>
      </c>
      <c r="J23" s="6">
        <f>'Rate Class Energy Model'!J13</f>
        <v>241817728.50999999</v>
      </c>
      <c r="K23" s="6">
        <f>'Rate Class Energy Model'!J14</f>
        <v>240708315.94</v>
      </c>
      <c r="L23" s="6">
        <f>'Rate Class Energy Model'!J15</f>
        <v>238882521</v>
      </c>
      <c r="M23" s="6">
        <f>'Rate Class Energy Model'!J16</f>
        <v>237070574</v>
      </c>
      <c r="N23" s="6">
        <f>'Rate Class Energy Model'!J63</f>
        <v>230833867.66429523</v>
      </c>
      <c r="O23" s="6">
        <f>'Rate Class Energy Model'!J64</f>
        <v>219167959.43781471</v>
      </c>
      <c r="P23" s="6"/>
      <c r="Q23" s="216" t="s">
        <v>267</v>
      </c>
      <c r="R23">
        <v>1.41</v>
      </c>
      <c r="S23" s="218">
        <v>8.3199999999999996E-2</v>
      </c>
      <c r="T23" s="223">
        <f>R23*$N$22*12</f>
        <v>5894.1614819713332</v>
      </c>
      <c r="U23" s="224">
        <f>S23*$N$24</f>
        <v>47498.417217194175</v>
      </c>
      <c r="V23" s="225">
        <f>R23*$O$22*12</f>
        <v>5820.48</v>
      </c>
      <c r="W23" s="224">
        <f>S23*$O$24</f>
        <v>45097.936812105952</v>
      </c>
      <c r="X23" s="225">
        <f t="shared" ref="X23:X24" si="6">$I$22*12*R23</f>
        <v>6040.44</v>
      </c>
      <c r="Y23" s="224">
        <f t="shared" ref="Y23:Y24" si="7">$I$24*S23</f>
        <v>51146.617599999998</v>
      </c>
      <c r="AA23" s="204" t="s">
        <v>286</v>
      </c>
      <c r="AB23" s="207">
        <v>-28321.019999999997</v>
      </c>
      <c r="AC23" s="207">
        <v>-28866.799999999999</v>
      </c>
      <c r="AD23" s="207">
        <v>-33688.800000000003</v>
      </c>
      <c r="AE23" s="207">
        <v>-33951.24</v>
      </c>
      <c r="AF23" s="207">
        <v>-34843.800000000003</v>
      </c>
      <c r="AG23" s="207">
        <f>-SUM(U37:U39)</f>
        <v>-38202.7036009476</v>
      </c>
      <c r="AH23" s="207">
        <f>-SUM(W37:W39)</f>
        <v>-38215.979248652511</v>
      </c>
      <c r="AI23" s="207"/>
    </row>
    <row r="24" spans="1:35" ht="15" x14ac:dyDescent="0.35">
      <c r="A24" t="s">
        <v>52</v>
      </c>
      <c r="B24" s="6">
        <f>'Rate Class Load Model'!B2</f>
        <v>629024</v>
      </c>
      <c r="C24" s="6">
        <f>'Rate Class Load Model'!B3</f>
        <v>627836</v>
      </c>
      <c r="D24" s="6">
        <f>'Rate Class Load Model'!B4</f>
        <v>656137</v>
      </c>
      <c r="E24" s="6">
        <f>'Rate Class Load Model'!B5</f>
        <v>634289</v>
      </c>
      <c r="F24" s="6">
        <f>'Rate Class Load Model'!B6</f>
        <v>711311</v>
      </c>
      <c r="G24" s="6">
        <f>'Rate Class Load Model'!B7</f>
        <v>622066.30000000005</v>
      </c>
      <c r="H24" s="6">
        <f>'Rate Class Load Model'!B8</f>
        <v>610764.1</v>
      </c>
      <c r="I24" s="240">
        <v>614743</v>
      </c>
      <c r="J24" s="6">
        <f>'Rate Class Load Model'!B9</f>
        <v>604548.71</v>
      </c>
      <c r="K24" s="6">
        <f>'Rate Class Load Model'!B10</f>
        <v>594559.68999999994</v>
      </c>
      <c r="L24" s="6">
        <f>'Rate Class Load Model'!B11</f>
        <v>546907.62</v>
      </c>
      <c r="M24" s="6">
        <f>'Rate Class Load Model'!B12</f>
        <v>536707</v>
      </c>
      <c r="N24" s="6">
        <f>'Rate Class Load Model'!B13</f>
        <v>570894.43770666083</v>
      </c>
      <c r="O24" s="6">
        <f>'Rate Class Load Model'!B14</f>
        <v>542042.50976088888</v>
      </c>
      <c r="P24" s="6"/>
      <c r="Q24" s="216" t="s">
        <v>268</v>
      </c>
      <c r="R24">
        <v>5.24</v>
      </c>
      <c r="S24" s="218">
        <v>0.30819999999999997</v>
      </c>
      <c r="T24" s="234">
        <f>R24*$N$22*12</f>
        <v>21904.543379808361</v>
      </c>
      <c r="U24" s="235">
        <f>S24*$N$24</f>
        <v>175949.66570119286</v>
      </c>
      <c r="V24" s="236">
        <f>R24*$O$22*12</f>
        <v>21630.720000000001</v>
      </c>
      <c r="W24" s="235">
        <f>S24*$O$24</f>
        <v>167057.50150830593</v>
      </c>
      <c r="X24" s="236">
        <f t="shared" si="6"/>
        <v>22448.16</v>
      </c>
      <c r="Y24" s="235">
        <f t="shared" si="7"/>
        <v>189463.79259999999</v>
      </c>
      <c r="AA24" s="206"/>
      <c r="AB24" s="209">
        <f t="shared" ref="AB24:AF24" si="8">SUM(AB12:AB23)</f>
        <v>-16276646.389999999</v>
      </c>
      <c r="AC24" s="209">
        <f t="shared" si="8"/>
        <v>-16441244.189999998</v>
      </c>
      <c r="AD24" s="209">
        <f t="shared" si="8"/>
        <v>-19451956.300000001</v>
      </c>
      <c r="AE24" s="209">
        <f t="shared" si="8"/>
        <v>-18876602.089999996</v>
      </c>
      <c r="AF24" s="209">
        <f t="shared" si="8"/>
        <v>-19430105.919999998</v>
      </c>
      <c r="AG24" s="209">
        <f>SUM(AG12:AG23)</f>
        <v>-21500141.479526401</v>
      </c>
      <c r="AH24" s="209">
        <f>SUM(AH12:AH23)</f>
        <v>-21101407.229720797</v>
      </c>
      <c r="AI24" s="209"/>
    </row>
    <row r="25" spans="1:35" x14ac:dyDescent="0.2">
      <c r="B25" s="1"/>
      <c r="C25"/>
      <c r="D25" s="1"/>
      <c r="E25" s="1"/>
      <c r="F25" s="1"/>
      <c r="J25" s="1"/>
      <c r="K25" s="40"/>
      <c r="Q25" s="217"/>
      <c r="S25" s="218"/>
      <c r="T25" s="226">
        <f t="shared" ref="T25:Y25" si="9">SUM(T22:T24)</f>
        <v>543098.90761540108</v>
      </c>
      <c r="U25" s="227">
        <f t="shared" si="9"/>
        <v>4361233.8779724939</v>
      </c>
      <c r="V25" s="226">
        <f t="shared" si="9"/>
        <v>536309.75999999989</v>
      </c>
      <c r="W25" s="227">
        <f t="shared" si="9"/>
        <v>4140825.3448163583</v>
      </c>
      <c r="X25" s="226">
        <f t="shared" si="9"/>
        <v>556577.27999999991</v>
      </c>
      <c r="Y25" s="227">
        <f t="shared" si="9"/>
        <v>4696206.1998999994</v>
      </c>
    </row>
    <row r="26" spans="1:35" x14ac:dyDescent="0.2">
      <c r="A26" s="31" t="str">
        <f>'Rate Class Energy Model'!K2</f>
        <v>Sentinel Lights</v>
      </c>
      <c r="B26" s="1"/>
      <c r="C26" s="6"/>
      <c r="D26" s="1"/>
      <c r="E26" s="1"/>
      <c r="F26" s="1"/>
      <c r="G26" s="1"/>
      <c r="H26" s="1"/>
      <c r="I26" s="243"/>
      <c r="J26" s="1"/>
      <c r="Q26" s="217"/>
      <c r="R26" s="60" t="s">
        <v>269</v>
      </c>
      <c r="S26" s="220" t="s">
        <v>270</v>
      </c>
      <c r="T26" s="226"/>
      <c r="U26" s="227"/>
      <c r="V26" s="228"/>
      <c r="W26" s="227"/>
      <c r="X26" s="228"/>
      <c r="Y26" s="227"/>
    </row>
    <row r="27" spans="1:35" x14ac:dyDescent="0.2">
      <c r="A27" t="s">
        <v>50</v>
      </c>
      <c r="B27" s="6">
        <f>'Rate Class Customer Model'!E4</f>
        <v>402</v>
      </c>
      <c r="C27" s="6">
        <f>'Rate Class Customer Model'!E5</f>
        <v>392</v>
      </c>
      <c r="D27" s="6">
        <f>'Rate Class Customer Model'!E6</f>
        <v>374</v>
      </c>
      <c r="E27" s="6">
        <f>'Rate Class Customer Model'!E7</f>
        <v>362</v>
      </c>
      <c r="F27" s="6">
        <f>'Rate Class Customer Model'!E8</f>
        <v>360</v>
      </c>
      <c r="G27" s="6">
        <f>'Rate Class Customer Model'!E9</f>
        <v>362</v>
      </c>
      <c r="H27" s="6">
        <f>'Rate Class Customer Model'!E10</f>
        <v>361</v>
      </c>
      <c r="I27" s="240">
        <v>354</v>
      </c>
      <c r="J27" s="6">
        <f>'Rate Class Customer Model'!E11</f>
        <v>355</v>
      </c>
      <c r="K27" s="6">
        <f>'Rate Class Customer Model'!E12</f>
        <v>350</v>
      </c>
      <c r="L27" s="6">
        <f>'Rate Class Customer Model'!E13</f>
        <v>348</v>
      </c>
      <c r="M27" s="6">
        <f>'Rate Class Customer Model'!E14</f>
        <v>330</v>
      </c>
      <c r="N27" s="6">
        <f>'Rate Class Customer Model'!E15</f>
        <v>323.55098668062487</v>
      </c>
      <c r="O27" s="6">
        <f>ROUND('Rate Class Customer Model'!E16,0)</f>
        <v>317</v>
      </c>
      <c r="P27" s="6"/>
      <c r="Q27" s="216" t="s">
        <v>266</v>
      </c>
      <c r="R27" s="60">
        <v>3.83</v>
      </c>
      <c r="S27" s="220">
        <v>35.703699999999998</v>
      </c>
      <c r="T27" s="223">
        <f>R27*$N$27*12</f>
        <v>14870.40334784152</v>
      </c>
      <c r="U27" s="224">
        <f>S27*$N$29</f>
        <v>20720.357117286145</v>
      </c>
      <c r="V27" s="225">
        <f>R27*$O$27*12</f>
        <v>14569.320000000002</v>
      </c>
      <c r="W27" s="224">
        <f>S27*$O$29</f>
        <v>20217.132399554677</v>
      </c>
      <c r="X27" s="225">
        <f>$I$27*R27*12</f>
        <v>16269.84</v>
      </c>
      <c r="Y27" s="224">
        <f>$I$29*S27</f>
        <v>21172.294099999999</v>
      </c>
    </row>
    <row r="28" spans="1:35" x14ac:dyDescent="0.2">
      <c r="A28" t="s">
        <v>51</v>
      </c>
      <c r="B28" s="6">
        <f>'Rate Class Energy Model'!K6</f>
        <v>260362</v>
      </c>
      <c r="C28" s="6">
        <f>'Rate Class Energy Model'!K7</f>
        <v>246512</v>
      </c>
      <c r="D28" s="6">
        <f>'Rate Class Energy Model'!K8</f>
        <v>237315</v>
      </c>
      <c r="E28" s="6">
        <f>'Rate Class Energy Model'!K9</f>
        <v>243349</v>
      </c>
      <c r="F28" s="6">
        <f>'Rate Class Energy Model'!K10</f>
        <v>235238</v>
      </c>
      <c r="G28" s="6">
        <f>'Rate Class Energy Model'!K11</f>
        <v>227055.8</v>
      </c>
      <c r="H28" s="6">
        <f>'Rate Class Energy Model'!K12</f>
        <v>213661.2</v>
      </c>
      <c r="I28" s="240">
        <v>209800</v>
      </c>
      <c r="J28" s="6">
        <f>'Rate Class Energy Model'!K13</f>
        <v>209110.61</v>
      </c>
      <c r="K28" s="6">
        <f>'Rate Class Energy Model'!K14</f>
        <v>206826.03</v>
      </c>
      <c r="L28" s="6">
        <f>'Rate Class Energy Model'!K15</f>
        <v>204139.6</v>
      </c>
      <c r="M28" s="6">
        <f>'Rate Class Energy Model'!K16</f>
        <v>203610.79</v>
      </c>
      <c r="N28" s="6">
        <f>'Rate Class Energy Model'!K63</f>
        <v>198665.79886182357</v>
      </c>
      <c r="O28" s="6">
        <f>'Rate Class Energy Model'!K64</f>
        <v>193840.90419474596</v>
      </c>
      <c r="P28" s="6"/>
      <c r="Q28" s="216" t="s">
        <v>267</v>
      </c>
      <c r="R28" s="60">
        <v>0.04</v>
      </c>
      <c r="S28" s="220">
        <v>0.40960000000000002</v>
      </c>
      <c r="T28" s="223">
        <f t="shared" ref="T28:T29" si="10">R28*$N$27*12</f>
        <v>155.30447360669996</v>
      </c>
      <c r="U28" s="224">
        <f t="shared" ref="U28:U29" si="11">S28*$N$29</f>
        <v>237.70808838412842</v>
      </c>
      <c r="V28" s="225">
        <f t="shared" ref="V28:V29" si="12">R28*$O$27*12</f>
        <v>152.16</v>
      </c>
      <c r="W28" s="224">
        <f t="shared" ref="W28:W29" si="13">S28*$O$29</f>
        <v>231.93499359611459</v>
      </c>
      <c r="X28" s="225">
        <f t="shared" ref="X28:X29" si="14">$I$27*R28</f>
        <v>14.16</v>
      </c>
      <c r="Y28" s="224">
        <f t="shared" ref="Y28:Y29" si="15">$I$29*S28</f>
        <v>242.89280000000002</v>
      </c>
      <c r="AB28" s="203"/>
      <c r="AC28" s="203"/>
      <c r="AD28" s="203"/>
      <c r="AE28" s="203"/>
      <c r="AF28" s="203"/>
    </row>
    <row r="29" spans="1:35" ht="15" x14ac:dyDescent="0.35">
      <c r="A29" t="s">
        <v>52</v>
      </c>
      <c r="B29" s="6">
        <f>'Rate Class Load Model'!C2</f>
        <v>703</v>
      </c>
      <c r="C29" s="6">
        <f>'Rate Class Load Model'!C3</f>
        <v>687</v>
      </c>
      <c r="D29" s="6">
        <f>'Rate Class Load Model'!C4</f>
        <v>660</v>
      </c>
      <c r="E29" s="6">
        <f>'Rate Class Load Model'!C5</f>
        <v>676</v>
      </c>
      <c r="F29" s="6">
        <f>'Rate Class Load Model'!C6</f>
        <v>752</v>
      </c>
      <c r="G29" s="6">
        <f>'Rate Class Load Model'!C7</f>
        <v>630</v>
      </c>
      <c r="H29" s="6">
        <f>'Rate Class Load Model'!C8</f>
        <v>619.20000000000005</v>
      </c>
      <c r="I29" s="240">
        <v>593</v>
      </c>
      <c r="J29" s="6">
        <f>'Rate Class Load Model'!C9</f>
        <v>611.82000000000005</v>
      </c>
      <c r="K29" s="6">
        <f>'Rate Class Load Model'!C10</f>
        <v>605.16</v>
      </c>
      <c r="L29" s="6">
        <f>'Rate Class Load Model'!C11</f>
        <v>597.52</v>
      </c>
      <c r="M29" s="6">
        <f>'Rate Class Load Model'!C12</f>
        <v>596.41</v>
      </c>
      <c r="N29" s="6">
        <f>'Rate Class Load Model'!C13</f>
        <v>580.3420126565635</v>
      </c>
      <c r="O29" s="6">
        <f>'Rate Class Load Model'!C14</f>
        <v>566.24754295926414</v>
      </c>
      <c r="P29" s="6"/>
      <c r="Q29" s="216" t="s">
        <v>268</v>
      </c>
      <c r="R29" s="60">
        <v>0.16</v>
      </c>
      <c r="S29" s="220">
        <v>1.5182</v>
      </c>
      <c r="T29" s="234">
        <f t="shared" si="10"/>
        <v>621.21789442679983</v>
      </c>
      <c r="U29" s="235">
        <f t="shared" si="11"/>
        <v>881.07524361519472</v>
      </c>
      <c r="V29" s="236">
        <f t="shared" si="12"/>
        <v>608.64</v>
      </c>
      <c r="W29" s="235">
        <f t="shared" si="13"/>
        <v>859.67701972075486</v>
      </c>
      <c r="X29" s="236">
        <f t="shared" si="14"/>
        <v>56.64</v>
      </c>
      <c r="Y29" s="235">
        <f t="shared" si="15"/>
        <v>900.29259999999999</v>
      </c>
      <c r="AB29" s="203"/>
      <c r="AC29" s="203"/>
      <c r="AD29" s="203"/>
      <c r="AE29" s="203"/>
      <c r="AF29" s="203"/>
    </row>
    <row r="30" spans="1:35" x14ac:dyDescent="0.2">
      <c r="B30" s="1"/>
      <c r="C30"/>
      <c r="D30" s="1"/>
      <c r="E30" s="1"/>
      <c r="F30" s="1"/>
      <c r="J30" s="1"/>
      <c r="Q30" s="217"/>
      <c r="S30" s="218"/>
      <c r="T30" s="226">
        <f t="shared" ref="T30:Y30" si="16">SUM(T27:T29)</f>
        <v>15646.925715875021</v>
      </c>
      <c r="U30" s="227">
        <f t="shared" si="16"/>
        <v>21839.140449285471</v>
      </c>
      <c r="V30" s="226">
        <f t="shared" si="16"/>
        <v>15330.12</v>
      </c>
      <c r="W30" s="227">
        <f t="shared" si="16"/>
        <v>21308.744412871547</v>
      </c>
      <c r="X30" s="226">
        <f t="shared" si="16"/>
        <v>16340.64</v>
      </c>
      <c r="Y30" s="227">
        <f t="shared" si="16"/>
        <v>22315.479500000001</v>
      </c>
      <c r="AB30" s="203"/>
      <c r="AC30" s="203"/>
      <c r="AD30" s="203"/>
      <c r="AE30" s="203"/>
      <c r="AF30" s="203"/>
    </row>
    <row r="31" spans="1:35" x14ac:dyDescent="0.2">
      <c r="A31" s="31" t="str">
        <f>'Rate Class Energy Model'!L2</f>
        <v>Street Lights</v>
      </c>
      <c r="B31" s="1"/>
      <c r="C31"/>
      <c r="D31" s="1"/>
      <c r="E31" s="1"/>
      <c r="F31" s="1"/>
      <c r="G31" s="1"/>
      <c r="H31" s="1"/>
      <c r="I31" s="243"/>
      <c r="J31" s="1"/>
      <c r="Q31" s="217"/>
      <c r="R31" s="60" t="s">
        <v>269</v>
      </c>
      <c r="S31" s="220" t="s">
        <v>270</v>
      </c>
      <c r="T31" s="226"/>
      <c r="U31" s="227"/>
      <c r="V31" s="228"/>
      <c r="W31" s="227"/>
      <c r="X31" s="228"/>
      <c r="Y31" s="227"/>
      <c r="AB31" s="203"/>
      <c r="AC31" s="203"/>
      <c r="AD31" s="203"/>
      <c r="AE31" s="203"/>
      <c r="AF31" s="203"/>
    </row>
    <row r="32" spans="1:35" x14ac:dyDescent="0.2">
      <c r="A32" t="s">
        <v>50</v>
      </c>
      <c r="B32" s="6">
        <f>'Rate Class Customer Model'!F4</f>
        <v>8846</v>
      </c>
      <c r="C32" s="6">
        <f>'Rate Class Customer Model'!F5</f>
        <v>8846</v>
      </c>
      <c r="D32" s="6">
        <f>'Rate Class Customer Model'!F6</f>
        <v>8846</v>
      </c>
      <c r="E32" s="6">
        <f>'Rate Class Customer Model'!F7</f>
        <v>8846</v>
      </c>
      <c r="F32" s="6">
        <f>'Rate Class Customer Model'!F8</f>
        <v>8839</v>
      </c>
      <c r="G32" s="6">
        <f>'Rate Class Customer Model'!F9</f>
        <v>8872</v>
      </c>
      <c r="H32" s="6">
        <f>'Rate Class Customer Model'!F10</f>
        <v>8070</v>
      </c>
      <c r="I32" s="240">
        <v>8070</v>
      </c>
      <c r="J32" s="6">
        <f>'Rate Class Customer Model'!F11</f>
        <v>8070</v>
      </c>
      <c r="K32" s="6">
        <f>'Rate Class Customer Model'!F12</f>
        <v>8037</v>
      </c>
      <c r="L32" s="6">
        <f>'Rate Class Customer Model'!F13</f>
        <v>8037</v>
      </c>
      <c r="M32" s="6">
        <f>'Rate Class Customer Model'!F14</f>
        <v>8037</v>
      </c>
      <c r="N32" s="6">
        <f>'Rate Class Customer Model'!F15</f>
        <v>8037</v>
      </c>
      <c r="O32" s="6">
        <f>ROUND('Rate Class Customer Model'!F16,0)</f>
        <v>8037</v>
      </c>
      <c r="P32" s="6"/>
      <c r="Q32" s="216" t="s">
        <v>266</v>
      </c>
      <c r="R32" s="60">
        <v>1.47</v>
      </c>
      <c r="S32" s="220">
        <v>9.6160999999999994</v>
      </c>
      <c r="T32" s="223">
        <f>R32*$N$32*12</f>
        <v>141772.68</v>
      </c>
      <c r="U32" s="224">
        <f>S32*$N$34</f>
        <v>69236.544185152641</v>
      </c>
      <c r="V32" s="225">
        <f>R32*$O$32*12</f>
        <v>141772.68</v>
      </c>
      <c r="W32" s="224">
        <f>S32*$O$34</f>
        <v>69236.544185152641</v>
      </c>
      <c r="X32" s="225">
        <f>$I$32*12*R32</f>
        <v>142354.79999999999</v>
      </c>
      <c r="Y32" s="224">
        <f>$I$34*S32</f>
        <v>67601.18299999999</v>
      </c>
      <c r="AB32" s="203"/>
      <c r="AC32" s="203"/>
      <c r="AD32" s="203"/>
      <c r="AE32" s="203"/>
      <c r="AF32" s="203"/>
    </row>
    <row r="33" spans="1:32" x14ac:dyDescent="0.2">
      <c r="A33" t="s">
        <v>51</v>
      </c>
      <c r="B33" s="6">
        <f>'Rate Class Energy Model'!L6</f>
        <v>7814836</v>
      </c>
      <c r="C33" s="6">
        <f>'Rate Class Energy Model'!L7</f>
        <v>7736459</v>
      </c>
      <c r="D33" s="6">
        <f>'Rate Class Energy Model'!L8</f>
        <v>8087592</v>
      </c>
      <c r="E33" s="6">
        <f>'Rate Class Energy Model'!L9</f>
        <v>7812115</v>
      </c>
      <c r="F33" s="6">
        <f>'Rate Class Energy Model'!L10</f>
        <v>7295612</v>
      </c>
      <c r="G33" s="6">
        <f>'Rate Class Energy Model'!L11</f>
        <v>4869277.0999999996</v>
      </c>
      <c r="H33" s="6">
        <f>'Rate Class Energy Model'!L12</f>
        <v>2398221.2999999998</v>
      </c>
      <c r="I33" s="240">
        <v>2398221</v>
      </c>
      <c r="J33" s="6">
        <f>'Rate Class Energy Model'!L13</f>
        <v>2398220.96</v>
      </c>
      <c r="K33" s="6">
        <f>'Rate Class Energy Model'!L14</f>
        <v>2410545.9300000002</v>
      </c>
      <c r="L33" s="6">
        <f>'Rate Class Energy Model'!L15</f>
        <v>2468996.65</v>
      </c>
      <c r="M33" s="6">
        <f>'Rate Class Energy Model'!L16</f>
        <v>2459994.48</v>
      </c>
      <c r="N33" s="6">
        <f>'Rate Class Energy Model'!L63</f>
        <v>2459994.48</v>
      </c>
      <c r="O33" s="6">
        <f>'Rate Class Energy Model'!L64</f>
        <v>2459994.48</v>
      </c>
      <c r="P33" s="6"/>
      <c r="Q33" s="216" t="s">
        <v>267</v>
      </c>
      <c r="R33" s="60">
        <v>0.02</v>
      </c>
      <c r="S33" s="220">
        <v>0.1103</v>
      </c>
      <c r="T33" s="223">
        <f t="shared" ref="T33:T34" si="17">R33*$N$32*12</f>
        <v>1928.88</v>
      </c>
      <c r="U33" s="224">
        <f t="shared" ref="U33:U34" si="18">S33*$N$34</f>
        <v>794.1671596200473</v>
      </c>
      <c r="V33" s="225">
        <f t="shared" ref="V33:V34" si="19">R33*$O$32*12</f>
        <v>1928.88</v>
      </c>
      <c r="W33" s="224">
        <f t="shared" ref="W33:W34" si="20">S33*$O$34</f>
        <v>794.1671596200473</v>
      </c>
      <c r="X33" s="225">
        <f t="shared" ref="X33:X34" si="21">$I$32*12*R33</f>
        <v>1936.8</v>
      </c>
      <c r="Y33" s="224">
        <f t="shared" ref="Y33:Y34" si="22">$I$34*S33</f>
        <v>775.40899999999999</v>
      </c>
      <c r="AB33" s="203"/>
      <c r="AC33" s="203"/>
      <c r="AD33" s="203"/>
      <c r="AE33" s="203"/>
      <c r="AF33" s="203"/>
    </row>
    <row r="34" spans="1:32" ht="15" x14ac:dyDescent="0.35">
      <c r="A34" t="s">
        <v>52</v>
      </c>
      <c r="B34" s="6">
        <f>'Rate Class Load Model'!D2</f>
        <v>21619</v>
      </c>
      <c r="C34" s="6">
        <f>'Rate Class Load Model'!D3</f>
        <v>21596</v>
      </c>
      <c r="D34" s="6">
        <f>'Rate Class Load Model'!D4</f>
        <v>21588</v>
      </c>
      <c r="E34" s="6">
        <f>'Rate Class Load Model'!D5</f>
        <v>21876</v>
      </c>
      <c r="F34" s="6">
        <f>'Rate Class Load Model'!D6</f>
        <v>21794</v>
      </c>
      <c r="G34" s="6">
        <f>'Rate Class Load Model'!D7</f>
        <v>14262.4</v>
      </c>
      <c r="H34" s="6">
        <f>'Rate Class Load Model'!D8</f>
        <v>7030.1</v>
      </c>
      <c r="I34" s="240">
        <v>7030</v>
      </c>
      <c r="J34" s="6">
        <f>'Rate Class Load Model'!D9</f>
        <v>7030.14</v>
      </c>
      <c r="K34" s="6">
        <f>'Rate Class Load Model'!D10</f>
        <v>7055.84</v>
      </c>
      <c r="L34" s="6">
        <f>'Rate Class Load Model'!D11</f>
        <v>7201.8</v>
      </c>
      <c r="M34" s="6">
        <f>'Rate Class Load Model'!D12</f>
        <v>7201.8</v>
      </c>
      <c r="N34" s="6">
        <f>'Rate Class Load Model'!D13</f>
        <v>7200.0649104265394</v>
      </c>
      <c r="O34" s="6">
        <f>'Rate Class Load Model'!D14</f>
        <v>7200.0649104265394</v>
      </c>
      <c r="P34" s="6"/>
      <c r="Q34" s="216" t="s">
        <v>268</v>
      </c>
      <c r="R34" s="60">
        <v>0.06</v>
      </c>
      <c r="S34" s="220">
        <v>0.40889999999999999</v>
      </c>
      <c r="T34" s="234">
        <f t="shared" si="17"/>
        <v>5786.6399999999994</v>
      </c>
      <c r="U34" s="235">
        <f t="shared" si="18"/>
        <v>2944.106541873412</v>
      </c>
      <c r="V34" s="236">
        <f t="shared" si="19"/>
        <v>5786.6399999999994</v>
      </c>
      <c r="W34" s="235">
        <f t="shared" si="20"/>
        <v>2944.106541873412</v>
      </c>
      <c r="X34" s="236">
        <f t="shared" si="21"/>
        <v>5810.4</v>
      </c>
      <c r="Y34" s="235">
        <f t="shared" si="22"/>
        <v>2874.567</v>
      </c>
    </row>
    <row r="35" spans="1:32" x14ac:dyDescent="0.2">
      <c r="B35" s="1"/>
      <c r="C35" s="6"/>
      <c r="D35" s="1"/>
      <c r="E35" s="1"/>
      <c r="F35" s="1"/>
      <c r="J35" s="1"/>
      <c r="Q35" s="217"/>
      <c r="S35" s="218"/>
      <c r="T35" s="226">
        <f t="shared" ref="T35:Y35" si="23">SUM(T32:T34)</f>
        <v>149488.20000000001</v>
      </c>
      <c r="U35" s="227">
        <f t="shared" si="23"/>
        <v>72974.817886646095</v>
      </c>
      <c r="V35" s="226">
        <f t="shared" si="23"/>
        <v>149488.20000000001</v>
      </c>
      <c r="W35" s="227">
        <f t="shared" si="23"/>
        <v>72974.817886646095</v>
      </c>
      <c r="X35" s="226">
        <f t="shared" si="23"/>
        <v>150101.99999999997</v>
      </c>
      <c r="Y35" s="227">
        <f t="shared" si="23"/>
        <v>71251.158999999985</v>
      </c>
      <c r="AB35" s="203"/>
    </row>
    <row r="36" spans="1:32" x14ac:dyDescent="0.2">
      <c r="A36" s="31" t="str">
        <f>'Rate Class Energy Model'!M2</f>
        <v>USL</v>
      </c>
      <c r="B36" s="1"/>
      <c r="C36" s="6"/>
      <c r="D36" s="1"/>
      <c r="E36" s="1"/>
      <c r="F36" s="1"/>
      <c r="G36" s="1"/>
      <c r="H36" s="1"/>
      <c r="I36" s="243"/>
      <c r="J36" s="1"/>
      <c r="Q36" s="217"/>
      <c r="R36" s="60" t="s">
        <v>269</v>
      </c>
      <c r="S36" s="220" t="s">
        <v>270</v>
      </c>
      <c r="T36" s="226"/>
      <c r="U36" s="227"/>
      <c r="V36" s="228"/>
      <c r="W36" s="227"/>
      <c r="X36" s="228"/>
      <c r="Y36" s="227"/>
      <c r="AB36" s="203"/>
    </row>
    <row r="37" spans="1:32" x14ac:dyDescent="0.2">
      <c r="A37" t="s">
        <v>50</v>
      </c>
      <c r="B37" s="6">
        <f>'Rate Class Customer Model'!G4</f>
        <v>19</v>
      </c>
      <c r="C37" s="6">
        <f>'Rate Class Customer Model'!G5</f>
        <v>21</v>
      </c>
      <c r="D37" s="6">
        <f>'Rate Class Customer Model'!G6</f>
        <v>21</v>
      </c>
      <c r="E37" s="6">
        <f>'Rate Class Customer Model'!G7</f>
        <v>21</v>
      </c>
      <c r="F37" s="6">
        <f>'Rate Class Customer Model'!G8</f>
        <v>21</v>
      </c>
      <c r="G37" s="6">
        <f>'Rate Class Customer Model'!G9</f>
        <v>21</v>
      </c>
      <c r="H37" s="6">
        <f>'Rate Class Customer Model'!G10</f>
        <v>21</v>
      </c>
      <c r="I37" s="240">
        <v>22</v>
      </c>
      <c r="J37" s="6">
        <f>'Rate Class Customer Model'!G11</f>
        <v>23</v>
      </c>
      <c r="K37" s="6">
        <f>'Rate Class Customer Model'!G12</f>
        <v>23</v>
      </c>
      <c r="L37" s="6">
        <f>'Rate Class Customer Model'!G13</f>
        <v>24</v>
      </c>
      <c r="M37" s="6">
        <f>'Rate Class Customer Model'!G14</f>
        <v>24</v>
      </c>
      <c r="N37" s="6">
        <f>'Rate Class Customer Model'!G15</f>
        <v>24.567276048890488</v>
      </c>
      <c r="O37" s="6">
        <f>ROUND('Rate Class Customer Model'!G16,0)</f>
        <v>25</v>
      </c>
      <c r="P37" s="6"/>
      <c r="Q37" s="216" t="s">
        <v>266</v>
      </c>
      <c r="R37">
        <v>13.67</v>
      </c>
      <c r="S37" s="218">
        <v>4.1200000000000001E-2</v>
      </c>
      <c r="T37" s="223">
        <f>R37*$N$37*12</f>
        <v>4030.0159630599956</v>
      </c>
      <c r="U37" s="224">
        <f>S37*$N$38</f>
        <v>36182.790536989451</v>
      </c>
      <c r="V37" s="225">
        <f>R37*$O$37*12</f>
        <v>4101</v>
      </c>
      <c r="W37" s="224">
        <f>S37*$O$38</f>
        <v>36195.364253896172</v>
      </c>
      <c r="X37" s="225">
        <f>$I$37*12*R37</f>
        <v>3608.88</v>
      </c>
      <c r="Y37" s="224">
        <f>$I$38*S37</f>
        <v>38922.917200000004</v>
      </c>
      <c r="AB37" s="203"/>
    </row>
    <row r="38" spans="1:32" x14ac:dyDescent="0.2">
      <c r="A38" t="s">
        <v>51</v>
      </c>
      <c r="B38" s="6">
        <f>'Rate Class Energy Model'!M6</f>
        <v>874873</v>
      </c>
      <c r="C38" s="6">
        <f>'Rate Class Energy Model'!M7</f>
        <v>861992</v>
      </c>
      <c r="D38" s="6">
        <f>'Rate Class Energy Model'!M8</f>
        <v>857423</v>
      </c>
      <c r="E38" s="6">
        <f>'Rate Class Energy Model'!M9</f>
        <v>876024</v>
      </c>
      <c r="F38" s="6">
        <f>'Rate Class Energy Model'!M10</f>
        <v>912709</v>
      </c>
      <c r="G38" s="6">
        <f>'Rate Class Energy Model'!M11</f>
        <v>903250.63</v>
      </c>
      <c r="H38" s="6">
        <f>'Rate Class Energy Model'!M12</f>
        <v>907712.9</v>
      </c>
      <c r="I38" s="240">
        <v>944731</v>
      </c>
      <c r="J38" s="6">
        <f>'Rate Class Energy Model'!M13</f>
        <v>895216.96</v>
      </c>
      <c r="K38" s="6">
        <f>'Rate Class Energy Model'!M14</f>
        <v>866480.04</v>
      </c>
      <c r="L38" s="6">
        <f>'Rate Class Energy Model'!M15</f>
        <v>870821.18</v>
      </c>
      <c r="M38" s="6">
        <f>'Rate Class Energy Model'!M16</f>
        <v>877917.99</v>
      </c>
      <c r="N38" s="6">
        <f>'Rate Class Energy Model'!M63</f>
        <v>878223.07128615165</v>
      </c>
      <c r="O38" s="6">
        <f>'Rate Class Energy Model'!M64</f>
        <v>878528.2585897129</v>
      </c>
      <c r="P38" s="6"/>
      <c r="Q38" s="216" t="s">
        <v>267</v>
      </c>
      <c r="R38">
        <v>0.16</v>
      </c>
      <c r="S38" s="218">
        <v>5.0000000000000001E-4</v>
      </c>
      <c r="T38" s="223">
        <f t="shared" ref="T38:T39" si="24">R38*$N$37*12</f>
        <v>47.169170013869739</v>
      </c>
      <c r="U38" s="224">
        <f t="shared" ref="U38:U39" si="25">S38*$N$38</f>
        <v>439.11153564307585</v>
      </c>
      <c r="V38" s="225">
        <f t="shared" ref="V38:V39" si="26">R38*$O$37*12</f>
        <v>48</v>
      </c>
      <c r="W38" s="224">
        <f t="shared" ref="W38:W39" si="27">S38*$O$38</f>
        <v>439.26412929485645</v>
      </c>
      <c r="X38" s="225">
        <f>$I$37*12*R38</f>
        <v>42.24</v>
      </c>
      <c r="Y38" s="224">
        <f t="shared" ref="Y38:Y39" si="28">$I$38*S38</f>
        <v>472.3655</v>
      </c>
      <c r="AB38" s="203"/>
    </row>
    <row r="39" spans="1:32" ht="15" x14ac:dyDescent="0.35">
      <c r="B39" s="1"/>
      <c r="C39"/>
      <c r="D39" s="1"/>
      <c r="E39" s="1"/>
      <c r="F39" s="1"/>
      <c r="H39" s="1"/>
      <c r="I39" s="243"/>
      <c r="J39" s="1"/>
      <c r="Q39" s="216" t="s">
        <v>268</v>
      </c>
      <c r="R39">
        <v>0.57999999999999996</v>
      </c>
      <c r="S39" s="218">
        <v>1.8E-3</v>
      </c>
      <c r="T39" s="234">
        <f t="shared" si="24"/>
        <v>170.98824130027779</v>
      </c>
      <c r="U39" s="235">
        <f t="shared" si="25"/>
        <v>1580.801528315073</v>
      </c>
      <c r="V39" s="236">
        <f t="shared" si="26"/>
        <v>173.99999999999997</v>
      </c>
      <c r="W39" s="235">
        <f t="shared" si="27"/>
        <v>1581.3508654614832</v>
      </c>
      <c r="X39" s="236">
        <f>$I$37*12*R39</f>
        <v>153.11999999999998</v>
      </c>
      <c r="Y39" s="235">
        <f t="shared" si="28"/>
        <v>1700.5157999999999</v>
      </c>
      <c r="AB39" s="203"/>
    </row>
    <row r="40" spans="1:32" x14ac:dyDescent="0.2">
      <c r="A40" s="31" t="s">
        <v>12</v>
      </c>
      <c r="B40" s="1"/>
      <c r="C40"/>
      <c r="D40" s="1"/>
      <c r="E40" s="1"/>
      <c r="F40" s="1"/>
      <c r="G40" s="1"/>
      <c r="H40" s="1"/>
      <c r="I40" s="243"/>
      <c r="J40" s="1"/>
      <c r="O40" s="255">
        <f>(O41-I41)/I41</f>
        <v>9.8216409036860873E-3</v>
      </c>
      <c r="Q40" s="217"/>
      <c r="S40" s="218"/>
      <c r="T40" s="226">
        <f t="shared" ref="T40:Y40" si="29">SUM(T37:T39)</f>
        <v>4248.1733743741433</v>
      </c>
      <c r="U40" s="227">
        <f t="shared" si="29"/>
        <v>38202.7036009476</v>
      </c>
      <c r="V40" s="226">
        <f t="shared" si="29"/>
        <v>4323</v>
      </c>
      <c r="W40" s="227">
        <f t="shared" si="29"/>
        <v>38215.979248652511</v>
      </c>
      <c r="X40" s="226">
        <f t="shared" si="29"/>
        <v>3804.24</v>
      </c>
      <c r="Y40" s="227">
        <f t="shared" si="29"/>
        <v>41095.798500000004</v>
      </c>
    </row>
    <row r="41" spans="1:32" x14ac:dyDescent="0.2">
      <c r="A41" t="s">
        <v>54</v>
      </c>
      <c r="B41" s="6">
        <f t="shared" ref="B41:I41" si="30">B12+B17+B22+B27+B32+B37</f>
        <v>42160</v>
      </c>
      <c r="C41" s="6">
        <f t="shared" si="30"/>
        <v>42400</v>
      </c>
      <c r="D41" s="6">
        <f t="shared" si="30"/>
        <v>42592</v>
      </c>
      <c r="E41" s="6">
        <f t="shared" si="30"/>
        <v>42577</v>
      </c>
      <c r="F41" s="6">
        <f t="shared" si="30"/>
        <v>42590</v>
      </c>
      <c r="G41" s="6">
        <f t="shared" si="30"/>
        <v>42650</v>
      </c>
      <c r="H41" s="6">
        <f t="shared" si="30"/>
        <v>41959</v>
      </c>
      <c r="I41" s="240">
        <f t="shared" si="30"/>
        <v>42050</v>
      </c>
      <c r="J41" s="6">
        <f>J12+J17+J22+J27+J32+J37</f>
        <v>42061</v>
      </c>
      <c r="K41" s="6">
        <f t="shared" ref="K41:O41" si="31">K12+K17+K22+K27+K32+K37</f>
        <v>42057</v>
      </c>
      <c r="L41" s="6">
        <f t="shared" si="31"/>
        <v>42183</v>
      </c>
      <c r="M41" s="6">
        <f t="shared" si="31"/>
        <v>42272</v>
      </c>
      <c r="N41" s="6">
        <f t="shared" si="31"/>
        <v>42367.192455527627</v>
      </c>
      <c r="O41" s="6">
        <f t="shared" si="31"/>
        <v>42463</v>
      </c>
      <c r="P41" s="6"/>
      <c r="Q41" s="217"/>
      <c r="S41" s="218"/>
      <c r="T41" s="226"/>
      <c r="U41" s="227"/>
      <c r="V41" s="228"/>
      <c r="W41" s="227"/>
      <c r="X41" s="228"/>
      <c r="Y41" s="227"/>
    </row>
    <row r="42" spans="1:32" x14ac:dyDescent="0.2">
      <c r="A42" t="s">
        <v>51</v>
      </c>
      <c r="B42" s="6">
        <f t="shared" ref="B42:J42" si="32">B13+B18+B23+B28+B33+B38</f>
        <v>711929017</v>
      </c>
      <c r="C42" s="6">
        <f t="shared" si="32"/>
        <v>676765709</v>
      </c>
      <c r="D42" s="6">
        <f t="shared" si="32"/>
        <v>688244167</v>
      </c>
      <c r="E42" s="6">
        <f t="shared" si="32"/>
        <v>701843127</v>
      </c>
      <c r="F42" s="6">
        <f t="shared" si="32"/>
        <v>669387526</v>
      </c>
      <c r="G42" s="6">
        <f t="shared" si="32"/>
        <v>636876243.92999995</v>
      </c>
      <c r="H42" s="6">
        <f t="shared" si="32"/>
        <v>622542513.29999995</v>
      </c>
      <c r="I42" s="240">
        <f t="shared" si="32"/>
        <v>628908711</v>
      </c>
      <c r="J42" s="6">
        <f t="shared" si="32"/>
        <v>633697926.79000008</v>
      </c>
      <c r="K42" s="6">
        <f t="shared" ref="K42:N42" si="33">K13+K18+K23+K28+K33+K38</f>
        <v>631945814.02999985</v>
      </c>
      <c r="L42" s="6">
        <f t="shared" si="33"/>
        <v>631179703.67999995</v>
      </c>
      <c r="M42" s="6">
        <f t="shared" si="33"/>
        <v>622536837.63999999</v>
      </c>
      <c r="N42" s="6">
        <f t="shared" si="33"/>
        <v>602656042.54974186</v>
      </c>
      <c r="O42" s="6">
        <f>O13+O18+O23+O28+O33+O38</f>
        <v>575167212.87235105</v>
      </c>
      <c r="P42" s="6"/>
      <c r="Q42" s="216" t="s">
        <v>266</v>
      </c>
      <c r="S42" s="218"/>
      <c r="T42" s="226">
        <f t="shared" ref="T42:Y42" si="34">T37+T32+T27+T22+T17+T12</f>
        <v>13820837.570521044</v>
      </c>
      <c r="U42" s="227">
        <f t="shared" si="34"/>
        <v>6581696.5920646386</v>
      </c>
      <c r="V42" s="228">
        <f t="shared" si="34"/>
        <v>13856735.16</v>
      </c>
      <c r="W42" s="227">
        <f t="shared" si="34"/>
        <v>6167151.1777582355</v>
      </c>
      <c r="X42" s="228">
        <f t="shared" si="34"/>
        <v>13674027.48</v>
      </c>
      <c r="Y42" s="227">
        <f t="shared" si="34"/>
        <v>7059919.3923999993</v>
      </c>
      <c r="Z42" s="203"/>
    </row>
    <row r="43" spans="1:32" x14ac:dyDescent="0.2">
      <c r="A43" t="s">
        <v>53</v>
      </c>
      <c r="B43" s="6">
        <f t="shared" ref="B43:J43" si="35">B24+B29+B34</f>
        <v>651346</v>
      </c>
      <c r="C43" s="6">
        <f t="shared" si="35"/>
        <v>650119</v>
      </c>
      <c r="D43" s="6">
        <f t="shared" si="35"/>
        <v>678385</v>
      </c>
      <c r="E43" s="6">
        <f t="shared" si="35"/>
        <v>656841</v>
      </c>
      <c r="F43" s="6">
        <f t="shared" si="35"/>
        <v>733857</v>
      </c>
      <c r="G43" s="6">
        <f>G24+G29+G34</f>
        <v>636958.70000000007</v>
      </c>
      <c r="H43" s="6">
        <f>H24+H29+H34</f>
        <v>618413.39999999991</v>
      </c>
      <c r="I43" s="240">
        <f>I24+I29+I34</f>
        <v>622366</v>
      </c>
      <c r="J43" s="6">
        <f t="shared" si="35"/>
        <v>612190.66999999993</v>
      </c>
      <c r="K43" s="6">
        <f t="shared" ref="K43:O43" si="36">K24+K29+K34</f>
        <v>602220.68999999994</v>
      </c>
      <c r="L43" s="6">
        <f t="shared" si="36"/>
        <v>554706.94000000006</v>
      </c>
      <c r="M43" s="6">
        <f t="shared" si="36"/>
        <v>544505.21000000008</v>
      </c>
      <c r="N43" s="6">
        <f t="shared" si="36"/>
        <v>578674.84462974395</v>
      </c>
      <c r="O43" s="6">
        <f t="shared" si="36"/>
        <v>549808.82221427467</v>
      </c>
      <c r="P43" s="6"/>
      <c r="Q43" s="216" t="s">
        <v>267</v>
      </c>
      <c r="S43" s="218"/>
      <c r="T43" s="226">
        <f t="shared" ref="T43:V44" si="37">T38+T33+T28+T23+T18+T13</f>
        <v>160132.29442887392</v>
      </c>
      <c r="U43" s="227">
        <f t="shared" ref="U43" si="38">U38+U33+U28+U23+U18+U13</f>
        <v>74914.60293932393</v>
      </c>
      <c r="V43" s="228">
        <f t="shared" si="37"/>
        <v>160548.72</v>
      </c>
      <c r="W43" s="227">
        <f t="shared" ref="W43:X43" si="39">W38+W33+W28+W23+W18+W13</f>
        <v>70214.410151598524</v>
      </c>
      <c r="X43" s="228">
        <f t="shared" si="39"/>
        <v>158277.24</v>
      </c>
      <c r="Y43" s="227">
        <f t="shared" ref="Y43" si="40">Y38+Y33+Y28+Y23+Y18+Y13</f>
        <v>80360.723799999992</v>
      </c>
      <c r="Z43" s="203"/>
    </row>
    <row r="44" spans="1:32" x14ac:dyDescent="0.2">
      <c r="B44" s="6"/>
      <c r="C44"/>
      <c r="D44" s="62"/>
      <c r="E44" s="1"/>
      <c r="F44" s="1"/>
      <c r="G44" s="1"/>
      <c r="H44" s="1"/>
      <c r="I44" s="243"/>
      <c r="J44" s="1"/>
      <c r="Q44" s="216" t="s">
        <v>268</v>
      </c>
      <c r="S44" s="218"/>
      <c r="T44" s="229">
        <f t="shared" si="37"/>
        <v>586072.37444975821</v>
      </c>
      <c r="U44" s="230">
        <f t="shared" ref="U44" si="41">U39+U34+U29+U24+U19+U14</f>
        <v>276488.0451227657</v>
      </c>
      <c r="V44" s="231">
        <f t="shared" si="37"/>
        <v>587594.39999999991</v>
      </c>
      <c r="W44" s="230">
        <f t="shared" ref="W44:X44" si="42">W39+W34+W29+W24+W19+W14</f>
        <v>259163.36181096063</v>
      </c>
      <c r="X44" s="231">
        <f t="shared" si="42"/>
        <v>579224.28</v>
      </c>
      <c r="Y44" s="230">
        <f t="shared" ref="Y44" si="43">Y39+Y34+Y29+Y24+Y19+Y14</f>
        <v>296591.77729999996</v>
      </c>
      <c r="Z44" s="203"/>
    </row>
    <row r="45" spans="1:32" ht="13.5" thickBot="1" x14ac:dyDescent="0.25">
      <c r="B45" s="6">
        <f>'Rate Class Customer Model'!H4</f>
        <v>42160</v>
      </c>
      <c r="C45" s="6">
        <f>'Rate Class Customer Model'!H5</f>
        <v>42400</v>
      </c>
      <c r="D45" s="6">
        <f>'Rate Class Customer Model'!H6</f>
        <v>42592</v>
      </c>
      <c r="E45" s="6">
        <f>'Rate Class Customer Model'!H7</f>
        <v>42577</v>
      </c>
      <c r="F45" s="6">
        <f>'Rate Class Customer Model'!H8</f>
        <v>42590</v>
      </c>
      <c r="G45" s="6">
        <f>'Rate Class Customer Model'!H9</f>
        <v>42650</v>
      </c>
      <c r="H45" s="6">
        <f>'Rate Class Customer Model'!H10</f>
        <v>41959</v>
      </c>
      <c r="I45" s="240"/>
      <c r="J45" s="6">
        <f>'Rate Class Customer Model'!H11</f>
        <v>42061</v>
      </c>
      <c r="K45" s="6">
        <f>'Rate Class Customer Model'!H12</f>
        <v>42057</v>
      </c>
      <c r="L45" s="6">
        <f>'Rate Class Customer Model'!H13</f>
        <v>42183</v>
      </c>
      <c r="M45" s="6">
        <f>'Rate Class Customer Model'!H14</f>
        <v>42272</v>
      </c>
      <c r="N45" s="6">
        <f>'Rate Class Customer Model'!H15</f>
        <v>42367.192455527627</v>
      </c>
      <c r="O45" s="6">
        <f>'Rate Class Customer Model'!H16</f>
        <v>42462.939233413854</v>
      </c>
      <c r="P45" s="6"/>
      <c r="Q45" s="219"/>
      <c r="R45" s="24"/>
      <c r="S45" s="221"/>
      <c r="T45" s="630">
        <f>SUM(T42:U44)</f>
        <v>21500141.479526404</v>
      </c>
      <c r="U45" s="631"/>
      <c r="V45" s="632">
        <f>SUM(V42:W44)</f>
        <v>21101407.22972079</v>
      </c>
      <c r="W45" s="633"/>
      <c r="X45" s="632">
        <f>SUM(X42:Y44)</f>
        <v>21848400.8935</v>
      </c>
      <c r="Y45" s="633"/>
      <c r="Z45" s="205">
        <f>V45-X45</f>
        <v>-746993.6637792103</v>
      </c>
    </row>
    <row r="46" spans="1:32" x14ac:dyDescent="0.2">
      <c r="B46" s="6">
        <f>'Rate Class Energy Model'!G6</f>
        <v>711929017</v>
      </c>
      <c r="C46" s="6">
        <f>'Rate Class Energy Model'!G7</f>
        <v>676765709</v>
      </c>
      <c r="D46" s="6">
        <f>'Rate Class Energy Model'!G8</f>
        <v>688244167</v>
      </c>
      <c r="E46" s="6">
        <f>'Rate Class Energy Model'!G9</f>
        <v>701843127</v>
      </c>
      <c r="F46" s="6">
        <f>'Rate Class Energy Model'!G10</f>
        <v>669387526</v>
      </c>
      <c r="G46" s="6">
        <f>'Rate Class Energy Model'!G11</f>
        <v>636876243.92999995</v>
      </c>
      <c r="H46" s="6">
        <f>'Rate Class Energy Model'!G12</f>
        <v>622542513.29999995</v>
      </c>
      <c r="I46" s="240"/>
      <c r="J46" s="6">
        <f>'Rate Class Energy Model'!G13</f>
        <v>633697926.79000008</v>
      </c>
      <c r="K46" s="6">
        <f>'Rate Class Energy Model'!G14</f>
        <v>631945814.02999985</v>
      </c>
      <c r="L46" s="6">
        <f>'Rate Class Energy Model'!G15</f>
        <v>631179703.67999995</v>
      </c>
      <c r="M46" s="6">
        <f>'Rate Class Energy Model'!G16</f>
        <v>622536837.63999999</v>
      </c>
      <c r="N46" s="6">
        <f>'Rate Class Energy Model'!G17</f>
        <v>602656042.54974186</v>
      </c>
      <c r="O46" s="6">
        <f>'Rate Class Energy Model'!G18-'Rate Class Energy Model'!G75</f>
        <v>575167212.87235105</v>
      </c>
      <c r="P46" s="6"/>
      <c r="W46" s="260"/>
    </row>
    <row r="47" spans="1:32" x14ac:dyDescent="0.2">
      <c r="B47" s="6">
        <f>'Rate Class Load Model'!E2</f>
        <v>651346</v>
      </c>
      <c r="C47" s="6">
        <f>'Rate Class Load Model'!E3</f>
        <v>650119</v>
      </c>
      <c r="D47" s="6">
        <f>'Rate Class Load Model'!E4</f>
        <v>678385</v>
      </c>
      <c r="E47" s="6">
        <f>'Rate Class Load Model'!E5</f>
        <v>656841</v>
      </c>
      <c r="F47" s="6">
        <f>'Rate Class Load Model'!E6</f>
        <v>733857</v>
      </c>
      <c r="G47" s="6">
        <f>'Rate Class Load Model'!E7</f>
        <v>636958.70000000007</v>
      </c>
      <c r="H47" s="6">
        <f>'Rate Class Load Model'!E8</f>
        <v>618413.39999999991</v>
      </c>
      <c r="I47" s="240"/>
      <c r="J47" s="6">
        <f>'Rate Class Load Model'!E9</f>
        <v>612190.66999999993</v>
      </c>
      <c r="K47" s="6">
        <f>'Rate Class Load Model'!E10</f>
        <v>602220.68999999994</v>
      </c>
      <c r="L47" s="6">
        <f>'Rate Class Load Model'!E11</f>
        <v>554706.94000000006</v>
      </c>
      <c r="M47" s="6">
        <f>'Rate Class Load Model'!E12</f>
        <v>544505.21000000008</v>
      </c>
      <c r="N47" s="6">
        <f>'Rate Class Load Model'!E13</f>
        <v>578674.84462974395</v>
      </c>
      <c r="O47" s="6">
        <f>'Rate Class Load Model'!E14</f>
        <v>549808.82221427467</v>
      </c>
      <c r="P47" s="6"/>
      <c r="T47" s="635" t="s">
        <v>353</v>
      </c>
      <c r="U47" s="635"/>
      <c r="V47" s="636">
        <f>V42+W42</f>
        <v>20023886.337758236</v>
      </c>
      <c r="W47" s="636"/>
    </row>
    <row r="48" spans="1:32" x14ac:dyDescent="0.2">
      <c r="B48" s="1"/>
      <c r="C48"/>
      <c r="T48" s="635"/>
      <c r="U48" s="635"/>
      <c r="V48" s="636"/>
      <c r="W48" s="636"/>
    </row>
    <row r="49" spans="1:23" x14ac:dyDescent="0.2">
      <c r="A49" s="60" t="s">
        <v>19</v>
      </c>
      <c r="B49"/>
      <c r="C49"/>
      <c r="T49" s="637" t="s">
        <v>134</v>
      </c>
      <c r="U49" s="638"/>
      <c r="V49" s="634">
        <f>V45-V47</f>
        <v>1077520.8919625543</v>
      </c>
      <c r="W49" s="634"/>
    </row>
    <row r="50" spans="1:23" x14ac:dyDescent="0.2">
      <c r="A50" t="s">
        <v>54</v>
      </c>
      <c r="B50" s="6">
        <f t="shared" ref="B50:G50" si="44">B41-B45</f>
        <v>0</v>
      </c>
      <c r="C50" s="6">
        <f t="shared" si="44"/>
        <v>0</v>
      </c>
      <c r="D50" s="6">
        <f t="shared" si="44"/>
        <v>0</v>
      </c>
      <c r="E50" s="6">
        <f t="shared" si="44"/>
        <v>0</v>
      </c>
      <c r="F50" s="6">
        <f t="shared" si="44"/>
        <v>0</v>
      </c>
      <c r="G50" s="6">
        <f t="shared" si="44"/>
        <v>0</v>
      </c>
      <c r="H50" s="6">
        <f t="shared" ref="H50" si="45">H41-H45</f>
        <v>0</v>
      </c>
      <c r="I50" s="240"/>
      <c r="J50" s="6">
        <f t="shared" ref="J50:O50" si="46">J41-J45</f>
        <v>0</v>
      </c>
      <c r="K50" s="6">
        <f t="shared" si="46"/>
        <v>0</v>
      </c>
      <c r="L50" s="6">
        <f t="shared" si="46"/>
        <v>0</v>
      </c>
      <c r="M50" s="6">
        <f t="shared" si="46"/>
        <v>0</v>
      </c>
      <c r="N50" s="6">
        <f t="shared" si="46"/>
        <v>0</v>
      </c>
      <c r="O50" s="6">
        <f t="shared" si="46"/>
        <v>6.0766586146201007E-2</v>
      </c>
      <c r="P50" s="6"/>
    </row>
    <row r="51" spans="1:23" x14ac:dyDescent="0.2">
      <c r="A51" t="s">
        <v>51</v>
      </c>
      <c r="B51" s="6">
        <f t="shared" ref="B51:G51" si="47">B42-B46</f>
        <v>0</v>
      </c>
      <c r="C51" s="6">
        <f t="shared" si="47"/>
        <v>0</v>
      </c>
      <c r="D51" s="6">
        <f t="shared" si="47"/>
        <v>0</v>
      </c>
      <c r="E51" s="6">
        <f t="shared" si="47"/>
        <v>0</v>
      </c>
      <c r="F51" s="6">
        <f t="shared" si="47"/>
        <v>0</v>
      </c>
      <c r="G51" s="6">
        <f t="shared" si="47"/>
        <v>0</v>
      </c>
      <c r="H51" s="6">
        <f t="shared" ref="H51" si="48">H42-H46</f>
        <v>0</v>
      </c>
      <c r="I51" s="240"/>
      <c r="J51" s="6">
        <f t="shared" ref="J51:O51" si="49">J42-J46</f>
        <v>0</v>
      </c>
      <c r="K51" s="6">
        <f t="shared" si="49"/>
        <v>0</v>
      </c>
      <c r="L51" s="6">
        <f t="shared" si="49"/>
        <v>0</v>
      </c>
      <c r="M51" s="6">
        <f t="shared" si="49"/>
        <v>0</v>
      </c>
      <c r="N51" s="6">
        <f t="shared" si="49"/>
        <v>0</v>
      </c>
      <c r="O51" s="6">
        <f t="shared" si="49"/>
        <v>0</v>
      </c>
      <c r="P51" s="6"/>
    </row>
    <row r="52" spans="1:23" x14ac:dyDescent="0.2">
      <c r="A52" t="s">
        <v>53</v>
      </c>
      <c r="B52" s="6">
        <f t="shared" ref="B52:F52" si="50">B43-B47</f>
        <v>0</v>
      </c>
      <c r="C52" s="6">
        <f t="shared" si="50"/>
        <v>0</v>
      </c>
      <c r="D52" s="6">
        <f t="shared" si="50"/>
        <v>0</v>
      </c>
      <c r="E52" s="6">
        <f t="shared" si="50"/>
        <v>0</v>
      </c>
      <c r="F52" s="6">
        <f t="shared" si="50"/>
        <v>0</v>
      </c>
      <c r="G52" s="6">
        <f>G43-G47</f>
        <v>0</v>
      </c>
      <c r="H52" s="6">
        <f>H43-H47</f>
        <v>0</v>
      </c>
      <c r="I52" s="240"/>
      <c r="J52" s="6">
        <f t="shared" ref="J52:O52" si="51">J43-J47</f>
        <v>0</v>
      </c>
      <c r="K52" s="6">
        <f t="shared" si="51"/>
        <v>0</v>
      </c>
      <c r="L52" s="6">
        <f t="shared" si="51"/>
        <v>0</v>
      </c>
      <c r="M52" s="6">
        <f t="shared" si="51"/>
        <v>0</v>
      </c>
      <c r="N52" s="6">
        <f t="shared" si="51"/>
        <v>0</v>
      </c>
      <c r="O52" s="6">
        <f t="shared" si="51"/>
        <v>0</v>
      </c>
      <c r="P52" s="6"/>
      <c r="Q52" s="565">
        <f>(578772961-628908711)/628908711</f>
        <v>-7.9718644571294545E-2</v>
      </c>
    </row>
    <row r="53" spans="1:23" x14ac:dyDescent="0.2">
      <c r="B53"/>
      <c r="C53"/>
    </row>
    <row r="54" spans="1:23" x14ac:dyDescent="0.2">
      <c r="B54"/>
      <c r="C54"/>
      <c r="G54" s="43"/>
      <c r="H54" s="43"/>
      <c r="I54" s="244"/>
      <c r="J54" s="43"/>
    </row>
    <row r="55" spans="1:23" x14ac:dyDescent="0.2">
      <c r="B55"/>
      <c r="C55"/>
    </row>
    <row r="56" spans="1:23" x14ac:dyDescent="0.2">
      <c r="B56"/>
      <c r="C56"/>
    </row>
    <row r="57" spans="1:23" x14ac:dyDescent="0.2">
      <c r="B57"/>
      <c r="C57"/>
      <c r="J57" s="115"/>
    </row>
    <row r="58" spans="1:23" x14ac:dyDescent="0.2">
      <c r="B58"/>
      <c r="C58"/>
      <c r="J58" s="115"/>
    </row>
    <row r="59" spans="1:23" x14ac:dyDescent="0.2">
      <c r="B59"/>
      <c r="C59"/>
      <c r="J59" s="115"/>
    </row>
    <row r="60" spans="1:23" x14ac:dyDescent="0.2">
      <c r="B60"/>
      <c r="C60"/>
    </row>
    <row r="61" spans="1:23" x14ac:dyDescent="0.2">
      <c r="B61"/>
      <c r="C61"/>
    </row>
    <row r="62" spans="1:23" x14ac:dyDescent="0.2">
      <c r="B62"/>
      <c r="C62"/>
    </row>
    <row r="63" spans="1:23" x14ac:dyDescent="0.2">
      <c r="B63"/>
      <c r="C63"/>
    </row>
    <row r="64" spans="1:23" x14ac:dyDescent="0.2">
      <c r="B64"/>
      <c r="C64"/>
    </row>
    <row r="65" spans="2:3" x14ac:dyDescent="0.2">
      <c r="B65"/>
      <c r="C65"/>
    </row>
    <row r="66" spans="2:3" x14ac:dyDescent="0.2">
      <c r="B66"/>
      <c r="C66"/>
    </row>
    <row r="67" spans="2:3" x14ac:dyDescent="0.2">
      <c r="B67"/>
      <c r="C67"/>
    </row>
    <row r="68" spans="2:3" x14ac:dyDescent="0.2">
      <c r="B68"/>
      <c r="C68"/>
    </row>
    <row r="69" spans="2:3" x14ac:dyDescent="0.2">
      <c r="B69"/>
      <c r="C69"/>
    </row>
    <row r="70" spans="2:3" x14ac:dyDescent="0.2">
      <c r="B70"/>
      <c r="C70"/>
    </row>
    <row r="71" spans="2:3" x14ac:dyDescent="0.2">
      <c r="B71"/>
      <c r="C71"/>
    </row>
    <row r="72" spans="2:3" x14ac:dyDescent="0.2">
      <c r="B72"/>
      <c r="C72"/>
    </row>
    <row r="73" spans="2:3" x14ac:dyDescent="0.2">
      <c r="B73"/>
      <c r="C73"/>
    </row>
    <row r="74" spans="2:3" x14ac:dyDescent="0.2">
      <c r="B74"/>
      <c r="C74"/>
    </row>
    <row r="75" spans="2:3" x14ac:dyDescent="0.2">
      <c r="B75"/>
      <c r="C75"/>
    </row>
    <row r="76" spans="2:3" x14ac:dyDescent="0.2">
      <c r="B76"/>
      <c r="C76"/>
    </row>
    <row r="77" spans="2:3" x14ac:dyDescent="0.2">
      <c r="B77"/>
      <c r="C77"/>
    </row>
    <row r="78" spans="2:3" x14ac:dyDescent="0.2">
      <c r="B78"/>
      <c r="C78"/>
    </row>
    <row r="79" spans="2:3" x14ac:dyDescent="0.2">
      <c r="B79"/>
      <c r="C79"/>
    </row>
    <row r="80" spans="2:3" x14ac:dyDescent="0.2">
      <c r="B80"/>
      <c r="C80"/>
    </row>
    <row r="81" spans="2:3" x14ac:dyDescent="0.2">
      <c r="B81"/>
      <c r="C81"/>
    </row>
    <row r="82" spans="2:3" x14ac:dyDescent="0.2">
      <c r="B82"/>
      <c r="C82"/>
    </row>
    <row r="83" spans="2:3" x14ac:dyDescent="0.2">
      <c r="B83"/>
      <c r="C83"/>
    </row>
    <row r="84" spans="2:3" x14ac:dyDescent="0.2">
      <c r="B84"/>
      <c r="C84"/>
    </row>
    <row r="85" spans="2:3" x14ac:dyDescent="0.2">
      <c r="B85"/>
      <c r="C85"/>
    </row>
    <row r="86" spans="2:3" x14ac:dyDescent="0.2">
      <c r="B86"/>
      <c r="C86"/>
    </row>
    <row r="87" spans="2:3" x14ac:dyDescent="0.2">
      <c r="B87"/>
      <c r="C87"/>
    </row>
    <row r="88" spans="2:3" x14ac:dyDescent="0.2">
      <c r="B88"/>
      <c r="C88"/>
    </row>
    <row r="89" spans="2:3" x14ac:dyDescent="0.2">
      <c r="B89"/>
      <c r="C89"/>
    </row>
    <row r="90" spans="2:3" x14ac:dyDescent="0.2">
      <c r="B90"/>
      <c r="C90"/>
    </row>
    <row r="91" spans="2:3" x14ac:dyDescent="0.2">
      <c r="B91"/>
      <c r="C91"/>
    </row>
  </sheetData>
  <mergeCells count="16">
    <mergeCell ref="AI9:AI11"/>
    <mergeCell ref="X10:Y10"/>
    <mergeCell ref="X45:Y45"/>
    <mergeCell ref="AA10:AC10"/>
    <mergeCell ref="T3:U3"/>
    <mergeCell ref="V3:W3"/>
    <mergeCell ref="R3:S3"/>
    <mergeCell ref="T45:U45"/>
    <mergeCell ref="V45:W45"/>
    <mergeCell ref="V49:W49"/>
    <mergeCell ref="T47:U48"/>
    <mergeCell ref="V47:W48"/>
    <mergeCell ref="T49:U49"/>
    <mergeCell ref="Q10:S10"/>
    <mergeCell ref="T10:U10"/>
    <mergeCell ref="V10:W10"/>
  </mergeCells>
  <phoneticPr fontId="0" type="noConversion"/>
  <pageMargins left="0.38" right="0.75" top="0.73" bottom="0.74" header="0.5" footer="0.5"/>
  <pageSetup scale="53" orientation="landscape" verticalDpi="300" r:id="rId1"/>
  <headerFooter alignWithMargins="0">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FB1A-DC36-49CF-98B1-E080DA9E63F9}">
  <sheetPr codeName="Sheet3">
    <tabColor rgb="FF00FF00"/>
  </sheetPr>
  <dimension ref="A1:U143"/>
  <sheetViews>
    <sheetView topLeftCell="A76" workbookViewId="0">
      <selection activeCell="G30" sqref="G30"/>
    </sheetView>
  </sheetViews>
  <sheetFormatPr defaultRowHeight="12.75" x14ac:dyDescent="0.2"/>
  <cols>
    <col min="1" max="1" width="22.42578125" bestFit="1" customWidth="1"/>
    <col min="2" max="2" width="12.5703125" bestFit="1" customWidth="1"/>
    <col min="3" max="3" width="13.7109375" bestFit="1" customWidth="1"/>
    <col min="4" max="4" width="12.5703125" bestFit="1" customWidth="1"/>
    <col min="5" max="5" width="12.42578125" bestFit="1" customWidth="1"/>
    <col min="13" max="13" width="21.42578125" bestFit="1" customWidth="1"/>
    <col min="14" max="14" width="13.42578125" bestFit="1" customWidth="1"/>
    <col min="15" max="15" width="13.85546875" bestFit="1" customWidth="1"/>
    <col min="16" max="16" width="14.85546875" customWidth="1"/>
  </cols>
  <sheetData>
    <row r="1" spans="1:11" x14ac:dyDescent="0.2">
      <c r="A1" s="648"/>
      <c r="B1" s="649"/>
      <c r="C1" s="649"/>
      <c r="D1" s="649"/>
      <c r="E1" s="649"/>
      <c r="F1" s="649"/>
      <c r="G1" s="649"/>
      <c r="H1" s="649"/>
      <c r="I1" s="649"/>
      <c r="J1" s="649"/>
      <c r="K1" s="650"/>
    </row>
    <row r="2" spans="1:11" x14ac:dyDescent="0.2">
      <c r="A2" s="217" t="s">
        <v>23</v>
      </c>
      <c r="K2" s="218"/>
    </row>
    <row r="3" spans="1:11" ht="13.5" thickBot="1" x14ac:dyDescent="0.25">
      <c r="A3" s="217"/>
      <c r="K3" s="218"/>
    </row>
    <row r="4" spans="1:11" x14ac:dyDescent="0.2">
      <c r="A4" s="245" t="s">
        <v>24</v>
      </c>
      <c r="B4" s="26"/>
      <c r="K4" s="218"/>
    </row>
    <row r="5" spans="1:11" x14ac:dyDescent="0.2">
      <c r="A5" s="217" t="s">
        <v>25</v>
      </c>
      <c r="B5" s="132">
        <v>0.97483152336649881</v>
      </c>
      <c r="K5" s="218"/>
    </row>
    <row r="6" spans="1:11" x14ac:dyDescent="0.2">
      <c r="A6" s="217" t="s">
        <v>26</v>
      </c>
      <c r="B6" s="132">
        <v>0.95029649894904877</v>
      </c>
      <c r="K6" s="218"/>
    </row>
    <row r="7" spans="1:11" x14ac:dyDescent="0.2">
      <c r="A7" s="217" t="s">
        <v>27</v>
      </c>
      <c r="B7" s="249">
        <v>0.94749065614778538</v>
      </c>
      <c r="K7" s="218"/>
    </row>
    <row r="8" spans="1:11" x14ac:dyDescent="0.2">
      <c r="A8" s="217" t="s">
        <v>28</v>
      </c>
      <c r="B8">
        <v>2276828.6904910309</v>
      </c>
      <c r="K8" s="218"/>
    </row>
    <row r="9" spans="1:11" ht="13.5" thickBot="1" x14ac:dyDescent="0.25">
      <c r="A9" s="219" t="s">
        <v>29</v>
      </c>
      <c r="B9" s="24">
        <v>132</v>
      </c>
      <c r="K9" s="218"/>
    </row>
    <row r="10" spans="1:11" x14ac:dyDescent="0.2">
      <c r="A10" s="217"/>
      <c r="K10" s="218"/>
    </row>
    <row r="11" spans="1:11" ht="13.5" thickBot="1" x14ac:dyDescent="0.25">
      <c r="A11" s="217" t="s">
        <v>30</v>
      </c>
      <c r="K11" s="218"/>
    </row>
    <row r="12" spans="1:11" x14ac:dyDescent="0.2">
      <c r="A12" s="246"/>
      <c r="B12" s="25" t="s">
        <v>34</v>
      </c>
      <c r="C12" s="25" t="s">
        <v>35</v>
      </c>
      <c r="D12" s="25" t="s">
        <v>36</v>
      </c>
      <c r="E12" s="25" t="s">
        <v>37</v>
      </c>
      <c r="F12" s="25" t="s">
        <v>38</v>
      </c>
      <c r="K12" s="218"/>
    </row>
    <row r="13" spans="1:11" x14ac:dyDescent="0.2">
      <c r="A13" s="217" t="s">
        <v>31</v>
      </c>
      <c r="B13">
        <v>7</v>
      </c>
      <c r="C13">
        <v>1.2290075311099268E+16</v>
      </c>
      <c r="D13">
        <v>1755725044442752.5</v>
      </c>
      <c r="E13">
        <v>338.68486806215992</v>
      </c>
      <c r="F13">
        <v>1.2915404696741991E-77</v>
      </c>
      <c r="K13" s="218"/>
    </row>
    <row r="14" spans="1:11" x14ac:dyDescent="0.2">
      <c r="A14" s="217" t="s">
        <v>32</v>
      </c>
      <c r="B14">
        <v>124</v>
      </c>
      <c r="C14">
        <v>642809661844544.88</v>
      </c>
      <c r="D14">
        <v>5183948885843.1035</v>
      </c>
      <c r="K14" s="218"/>
    </row>
    <row r="15" spans="1:11" ht="13.5" thickBot="1" x14ac:dyDescent="0.25">
      <c r="A15" s="219" t="s">
        <v>12</v>
      </c>
      <c r="B15" s="24">
        <v>131</v>
      </c>
      <c r="C15" s="24">
        <v>1.2932884972943812E+16</v>
      </c>
      <c r="D15" s="24"/>
      <c r="E15" s="24"/>
      <c r="F15" s="24"/>
      <c r="K15" s="218"/>
    </row>
    <row r="16" spans="1:11" ht="13.5" thickBot="1" x14ac:dyDescent="0.25">
      <c r="A16" s="217"/>
      <c r="K16" s="218"/>
    </row>
    <row r="17" spans="1:11" x14ac:dyDescent="0.2">
      <c r="A17" s="246"/>
      <c r="B17" s="25" t="s">
        <v>39</v>
      </c>
      <c r="C17" s="25" t="s">
        <v>28</v>
      </c>
      <c r="D17" s="25" t="s">
        <v>40</v>
      </c>
      <c r="E17" s="25" t="s">
        <v>41</v>
      </c>
      <c r="F17" s="25" t="s">
        <v>42</v>
      </c>
      <c r="G17" s="25" t="s">
        <v>43</v>
      </c>
      <c r="H17" s="25" t="s">
        <v>216</v>
      </c>
      <c r="I17" s="25" t="s">
        <v>217</v>
      </c>
      <c r="K17" s="218"/>
    </row>
    <row r="18" spans="1:11" x14ac:dyDescent="0.2">
      <c r="A18" s="217" t="s">
        <v>33</v>
      </c>
      <c r="B18">
        <v>154378129.11700657</v>
      </c>
      <c r="C18">
        <v>86706678.481079713</v>
      </c>
      <c r="D18">
        <v>1.7804641098170249</v>
      </c>
      <c r="E18">
        <v>7.7448912518566601E-2</v>
      </c>
      <c r="F18">
        <v>-17238675.577444881</v>
      </c>
      <c r="G18">
        <v>325994933.81145799</v>
      </c>
      <c r="H18">
        <v>-17238675.577444881</v>
      </c>
      <c r="I18">
        <v>325994933.81145799</v>
      </c>
      <c r="K18" s="218"/>
    </row>
    <row r="19" spans="1:11" x14ac:dyDescent="0.2">
      <c r="A19" s="217" t="s">
        <v>4</v>
      </c>
      <c r="B19">
        <v>35036.623566369351</v>
      </c>
      <c r="C19">
        <v>945.63704159346219</v>
      </c>
      <c r="D19">
        <v>37.0508155088027</v>
      </c>
      <c r="E19">
        <v>6.3896770290948882E-69</v>
      </c>
      <c r="F19">
        <v>33164.942972418372</v>
      </c>
      <c r="G19">
        <v>36908.304160320331</v>
      </c>
      <c r="H19">
        <v>33164.942972418372</v>
      </c>
      <c r="I19">
        <v>36908.304160320331</v>
      </c>
      <c r="K19" s="218"/>
    </row>
    <row r="20" spans="1:11" x14ac:dyDescent="0.2">
      <c r="A20" s="217" t="s">
        <v>5</v>
      </c>
      <c r="B20">
        <v>112181.77507482661</v>
      </c>
      <c r="C20">
        <v>17700.382867309221</v>
      </c>
      <c r="D20">
        <v>6.3378163012515829</v>
      </c>
      <c r="E20">
        <v>3.9288354295719663E-9</v>
      </c>
      <c r="F20">
        <v>77147.759209268173</v>
      </c>
      <c r="G20">
        <v>147215.79094038505</v>
      </c>
      <c r="H20">
        <v>77147.759209268173</v>
      </c>
      <c r="I20">
        <v>147215.79094038505</v>
      </c>
      <c r="K20" s="218"/>
    </row>
    <row r="21" spans="1:11" x14ac:dyDescent="0.2">
      <c r="A21" s="217" t="s">
        <v>22</v>
      </c>
      <c r="B21">
        <v>-2816583.4914412284</v>
      </c>
      <c r="C21">
        <v>457728.62051356048</v>
      </c>
      <c r="D21">
        <v>-6.1533916937094508</v>
      </c>
      <c r="E21">
        <v>9.6374021916530558E-9</v>
      </c>
      <c r="F21">
        <v>-3722556.6488246894</v>
      </c>
      <c r="G21">
        <v>-1910610.3340577674</v>
      </c>
      <c r="H21">
        <v>-3722556.6488246894</v>
      </c>
      <c r="I21">
        <v>-1910610.3340577674</v>
      </c>
      <c r="K21" s="218"/>
    </row>
    <row r="22" spans="1:11" x14ac:dyDescent="0.2">
      <c r="A22" s="217" t="s">
        <v>6</v>
      </c>
      <c r="B22">
        <v>1919556.871609671</v>
      </c>
      <c r="C22">
        <v>272549.0735145433</v>
      </c>
      <c r="D22">
        <v>7.042977056780356</v>
      </c>
      <c r="E22">
        <v>1.141982644768004E-10</v>
      </c>
      <c r="F22">
        <v>1380105.9096032595</v>
      </c>
      <c r="G22">
        <v>2459007.8336160826</v>
      </c>
      <c r="H22">
        <v>1380105.9096032595</v>
      </c>
      <c r="I22">
        <v>2459007.8336160826</v>
      </c>
      <c r="K22" s="218"/>
    </row>
    <row r="23" spans="1:11" x14ac:dyDescent="0.2">
      <c r="A23" s="217" t="s">
        <v>214</v>
      </c>
      <c r="B23">
        <v>-42191.829671777879</v>
      </c>
      <c r="C23">
        <v>15471.450067859079</v>
      </c>
      <c r="D23">
        <v>-2.7270766144557212</v>
      </c>
      <c r="E23">
        <v>7.3166426133271616E-3</v>
      </c>
      <c r="F23">
        <v>-72814.163166136248</v>
      </c>
      <c r="G23">
        <v>-11569.496177419511</v>
      </c>
      <c r="H23">
        <v>-72814.163166136248</v>
      </c>
      <c r="I23">
        <v>-11569.496177419511</v>
      </c>
      <c r="K23" s="218"/>
    </row>
    <row r="24" spans="1:11" x14ac:dyDescent="0.2">
      <c r="A24" s="217" t="s">
        <v>81</v>
      </c>
      <c r="B24">
        <v>-4787.8311396731697</v>
      </c>
      <c r="C24">
        <v>2612.6117604650503</v>
      </c>
      <c r="D24">
        <v>-1.8325842408444666</v>
      </c>
      <c r="E24">
        <v>6.9263576986001774E-2</v>
      </c>
      <c r="F24">
        <v>-9958.9216495696601</v>
      </c>
      <c r="G24">
        <v>383.25937022332073</v>
      </c>
      <c r="H24">
        <v>-9958.9216495696601</v>
      </c>
      <c r="I24">
        <v>383.25937022332073</v>
      </c>
      <c r="K24" s="218"/>
    </row>
    <row r="25" spans="1:11" ht="13.5" thickBot="1" x14ac:dyDescent="0.25">
      <c r="A25" s="219" t="s">
        <v>7</v>
      </c>
      <c r="B25" s="24">
        <v>-18538.038136381852</v>
      </c>
      <c r="C25" s="24">
        <v>14671.988283117056</v>
      </c>
      <c r="D25" s="24">
        <v>-1.2634987009711172</v>
      </c>
      <c r="E25" s="24">
        <v>0.20878036920574469</v>
      </c>
      <c r="F25" s="24">
        <v>-47578.012816214905</v>
      </c>
      <c r="G25" s="24">
        <v>10501.936543451196</v>
      </c>
      <c r="H25" s="24">
        <v>-47578.012816214905</v>
      </c>
      <c r="I25" s="24">
        <v>10501.936543451196</v>
      </c>
      <c r="J25" s="24"/>
      <c r="K25" s="221"/>
    </row>
    <row r="26" spans="1:11" ht="13.5" thickBot="1" x14ac:dyDescent="0.25"/>
    <row r="27" spans="1:11" x14ac:dyDescent="0.2">
      <c r="A27" s="213" t="s">
        <v>23</v>
      </c>
      <c r="B27" s="247"/>
      <c r="C27" s="247"/>
      <c r="D27" s="247"/>
      <c r="E27" s="247"/>
      <c r="F27" s="247"/>
      <c r="G27" s="247"/>
      <c r="H27" s="247"/>
      <c r="I27" s="247"/>
      <c r="J27" s="247"/>
      <c r="K27" s="248"/>
    </row>
    <row r="28" spans="1:11" ht="13.5" thickBot="1" x14ac:dyDescent="0.25">
      <c r="A28" s="217"/>
      <c r="K28" s="218"/>
    </row>
    <row r="29" spans="1:11" x14ac:dyDescent="0.2">
      <c r="A29" s="245" t="s">
        <v>24</v>
      </c>
      <c r="B29" s="26"/>
      <c r="K29" s="218"/>
    </row>
    <row r="30" spans="1:11" x14ac:dyDescent="0.2">
      <c r="A30" s="217" t="s">
        <v>25</v>
      </c>
      <c r="B30" s="132">
        <v>0.97450325543087102</v>
      </c>
      <c r="K30" s="218"/>
    </row>
    <row r="31" spans="1:11" x14ac:dyDescent="0.2">
      <c r="A31" s="217" t="s">
        <v>26</v>
      </c>
      <c r="B31" s="132">
        <v>0.94965659484536535</v>
      </c>
      <c r="K31" s="218"/>
    </row>
    <row r="32" spans="1:11" x14ac:dyDescent="0.2">
      <c r="A32" s="217" t="s">
        <v>27</v>
      </c>
      <c r="B32" s="249">
        <v>0.94724011139794284</v>
      </c>
      <c r="K32" s="218"/>
    </row>
    <row r="33" spans="1:11" x14ac:dyDescent="0.2">
      <c r="A33" s="217" t="s">
        <v>28</v>
      </c>
      <c r="B33">
        <v>2282254.0927971997</v>
      </c>
      <c r="K33" s="218"/>
    </row>
    <row r="34" spans="1:11" ht="13.5" thickBot="1" x14ac:dyDescent="0.25">
      <c r="A34" s="219" t="s">
        <v>29</v>
      </c>
      <c r="B34" s="24">
        <v>132</v>
      </c>
      <c r="K34" s="218"/>
    </row>
    <row r="35" spans="1:11" x14ac:dyDescent="0.2">
      <c r="A35" s="217"/>
      <c r="K35" s="218"/>
    </row>
    <row r="36" spans="1:11" ht="13.5" thickBot="1" x14ac:dyDescent="0.25">
      <c r="A36" s="217" t="s">
        <v>30</v>
      </c>
      <c r="K36" s="218"/>
    </row>
    <row r="37" spans="1:11" x14ac:dyDescent="0.2">
      <c r="A37" s="246"/>
      <c r="B37" s="25" t="s">
        <v>34</v>
      </c>
      <c r="C37" s="25" t="s">
        <v>35</v>
      </c>
      <c r="D37" s="25" t="s">
        <v>36</v>
      </c>
      <c r="E37" s="25" t="s">
        <v>37</v>
      </c>
      <c r="F37" s="25" t="s">
        <v>38</v>
      </c>
      <c r="K37" s="218"/>
    </row>
    <row r="38" spans="1:11" x14ac:dyDescent="0.2">
      <c r="A38" s="217" t="s">
        <v>31</v>
      </c>
      <c r="B38">
        <v>6</v>
      </c>
      <c r="C38">
        <v>1.2281799504932616E+16</v>
      </c>
      <c r="D38">
        <v>2046966584155436</v>
      </c>
      <c r="E38">
        <v>392.99114415963214</v>
      </c>
      <c r="F38">
        <v>1.3758574698403953E-78</v>
      </c>
      <c r="K38" s="218"/>
    </row>
    <row r="39" spans="1:11" x14ac:dyDescent="0.2">
      <c r="A39" s="217" t="s">
        <v>32</v>
      </c>
      <c r="B39">
        <v>125</v>
      </c>
      <c r="C39">
        <v>651085468011196</v>
      </c>
      <c r="D39">
        <v>5208683744089.5684</v>
      </c>
      <c r="K39" s="218"/>
    </row>
    <row r="40" spans="1:11" ht="13.5" thickBot="1" x14ac:dyDescent="0.25">
      <c r="A40" s="219" t="s">
        <v>12</v>
      </c>
      <c r="B40" s="24">
        <v>131</v>
      </c>
      <c r="C40" s="24">
        <v>1.2932884972943812E+16</v>
      </c>
      <c r="D40" s="24"/>
      <c r="E40" s="24"/>
      <c r="F40" s="24"/>
      <c r="K40" s="218"/>
    </row>
    <row r="41" spans="1:11" ht="13.5" thickBot="1" x14ac:dyDescent="0.25">
      <c r="A41" s="217"/>
      <c r="K41" s="218"/>
    </row>
    <row r="42" spans="1:11" x14ac:dyDescent="0.2">
      <c r="A42" s="246"/>
      <c r="B42" s="25" t="s">
        <v>39</v>
      </c>
      <c r="C42" s="25" t="s">
        <v>28</v>
      </c>
      <c r="D42" s="25" t="s">
        <v>40</v>
      </c>
      <c r="E42" s="25" t="s">
        <v>41</v>
      </c>
      <c r="F42" s="25" t="s">
        <v>42</v>
      </c>
      <c r="G42" s="25" t="s">
        <v>43</v>
      </c>
      <c r="H42" s="25" t="s">
        <v>216</v>
      </c>
      <c r="I42" s="25" t="s">
        <v>217</v>
      </c>
      <c r="K42" s="218"/>
    </row>
    <row r="43" spans="1:11" x14ac:dyDescent="0.2">
      <c r="A43" s="217" t="s">
        <v>33</v>
      </c>
      <c r="B43">
        <v>148889227.64916861</v>
      </c>
      <c r="C43">
        <v>86804134.429895148</v>
      </c>
      <c r="D43">
        <v>1.7152319832117524</v>
      </c>
      <c r="E43">
        <v>8.8780549259966549E-2</v>
      </c>
      <c r="F43">
        <v>-22906927.598701358</v>
      </c>
      <c r="G43">
        <v>320685382.89703858</v>
      </c>
      <c r="H43">
        <v>-22906927.598701358</v>
      </c>
      <c r="I43">
        <v>320685382.89703858</v>
      </c>
      <c r="K43" s="218"/>
    </row>
    <row r="44" spans="1:11" x14ac:dyDescent="0.2">
      <c r="A44" s="217" t="s">
        <v>4</v>
      </c>
      <c r="B44">
        <v>35127.422356156385</v>
      </c>
      <c r="C44">
        <v>945.14932111166979</v>
      </c>
      <c r="D44">
        <v>37.166002843698877</v>
      </c>
      <c r="E44">
        <v>2.0338346771775599E-69</v>
      </c>
      <c r="F44">
        <v>33256.854547738745</v>
      </c>
      <c r="G44">
        <v>36997.990164574025</v>
      </c>
      <c r="H44">
        <v>33256.854547738745</v>
      </c>
      <c r="I44">
        <v>36997.990164574025</v>
      </c>
      <c r="K44" s="218"/>
    </row>
    <row r="45" spans="1:11" x14ac:dyDescent="0.2">
      <c r="A45" s="217" t="s">
        <v>5</v>
      </c>
      <c r="B45">
        <v>112139.65443166804</v>
      </c>
      <c r="C45">
        <v>17742.529231856613</v>
      </c>
      <c r="D45">
        <v>6.3203871875449362</v>
      </c>
      <c r="E45">
        <v>4.1997886526375771E-9</v>
      </c>
      <c r="F45">
        <v>77024.987066744099</v>
      </c>
      <c r="G45">
        <v>147254.32179659198</v>
      </c>
      <c r="H45">
        <v>77024.987066744099</v>
      </c>
      <c r="I45">
        <v>147254.32179659198</v>
      </c>
      <c r="K45" s="218"/>
    </row>
    <row r="46" spans="1:11" x14ac:dyDescent="0.2">
      <c r="A46" s="217" t="s">
        <v>22</v>
      </c>
      <c r="B46">
        <v>-2805481.1792871025</v>
      </c>
      <c r="C46">
        <v>458734.78157885064</v>
      </c>
      <c r="D46">
        <v>-6.1156931890608695</v>
      </c>
      <c r="E46">
        <v>1.136739197511997E-8</v>
      </c>
      <c r="F46">
        <v>-3713374.2453410663</v>
      </c>
      <c r="G46">
        <v>-1897588.1132331388</v>
      </c>
      <c r="H46">
        <v>-3713374.2453410663</v>
      </c>
      <c r="I46">
        <v>-1897588.1132331388</v>
      </c>
      <c r="K46" s="218"/>
    </row>
    <row r="47" spans="1:11" x14ac:dyDescent="0.2">
      <c r="A47" s="217" t="s">
        <v>6</v>
      </c>
      <c r="B47">
        <v>1781641.7485775251</v>
      </c>
      <c r="C47">
        <v>250332.03884731021</v>
      </c>
      <c r="D47">
        <v>7.1171143605163376</v>
      </c>
      <c r="E47">
        <v>7.5931991102836059E-11</v>
      </c>
      <c r="F47">
        <v>1286203.5751335984</v>
      </c>
      <c r="G47">
        <v>2277079.9220214519</v>
      </c>
      <c r="H47">
        <v>1286203.5751335984</v>
      </c>
      <c r="I47">
        <v>2277079.9220214519</v>
      </c>
      <c r="K47" s="218"/>
    </row>
    <row r="48" spans="1:11" x14ac:dyDescent="0.2">
      <c r="A48" s="217" t="s">
        <v>214</v>
      </c>
      <c r="B48">
        <v>-42693.64184757894</v>
      </c>
      <c r="C48">
        <v>15503.205967699161</v>
      </c>
      <c r="D48">
        <v>-2.7538589074112085</v>
      </c>
      <c r="E48">
        <v>6.7687128995339019E-3</v>
      </c>
      <c r="F48">
        <v>-73376.410551615263</v>
      </c>
      <c r="G48">
        <v>-12010.873143542609</v>
      </c>
      <c r="H48">
        <v>-73376.410551615263</v>
      </c>
      <c r="I48">
        <v>-12010.873143542609</v>
      </c>
      <c r="K48" s="218"/>
    </row>
    <row r="49" spans="1:18" ht="13.5" thickBot="1" x14ac:dyDescent="0.25">
      <c r="A49" s="219" t="s">
        <v>81</v>
      </c>
      <c r="B49" s="24">
        <v>-4684.0055009696844</v>
      </c>
      <c r="C49" s="24">
        <v>2617.5416181879077</v>
      </c>
      <c r="D49" s="24">
        <v>-1.7894674409082996</v>
      </c>
      <c r="E49" s="24">
        <v>7.5960964786916829E-2</v>
      </c>
      <c r="F49" s="24">
        <v>-9864.4452249455571</v>
      </c>
      <c r="G49" s="24">
        <v>496.4342230061884</v>
      </c>
      <c r="H49" s="24">
        <v>-9864.4452249455571</v>
      </c>
      <c r="I49" s="24">
        <v>496.4342230061884</v>
      </c>
      <c r="J49" s="24"/>
      <c r="K49" s="221"/>
    </row>
    <row r="50" spans="1:18" ht="13.5" thickBot="1" x14ac:dyDescent="0.25"/>
    <row r="51" spans="1:18" x14ac:dyDescent="0.2">
      <c r="A51" s="213" t="s">
        <v>23</v>
      </c>
      <c r="B51" s="247"/>
      <c r="C51" s="247"/>
      <c r="D51" s="247"/>
      <c r="E51" s="247"/>
      <c r="F51" s="247"/>
      <c r="G51" s="247"/>
      <c r="H51" s="247"/>
      <c r="I51" s="247"/>
      <c r="J51" s="247"/>
      <c r="K51" s="248"/>
      <c r="M51" t="s">
        <v>23</v>
      </c>
    </row>
    <row r="52" spans="1:18" ht="13.5" thickBot="1" x14ac:dyDescent="0.25">
      <c r="A52" s="217"/>
      <c r="K52" s="218"/>
    </row>
    <row r="53" spans="1:18" ht="15" x14ac:dyDescent="0.25">
      <c r="A53" s="245" t="s">
        <v>24</v>
      </c>
      <c r="B53" s="26"/>
      <c r="K53" s="218"/>
      <c r="M53" s="251" t="s">
        <v>24</v>
      </c>
      <c r="N53" s="251"/>
    </row>
    <row r="54" spans="1:18" x14ac:dyDescent="0.2">
      <c r="A54" s="217" t="s">
        <v>25</v>
      </c>
      <c r="B54" s="132">
        <v>0.97384132185787575</v>
      </c>
      <c r="K54" s="218"/>
      <c r="M54" t="s">
        <v>25</v>
      </c>
      <c r="N54" s="132">
        <v>0.97837472614223153</v>
      </c>
    </row>
    <row r="55" spans="1:18" x14ac:dyDescent="0.2">
      <c r="A55" s="217" t="s">
        <v>26</v>
      </c>
      <c r="B55" s="132">
        <v>0.9483669201578947</v>
      </c>
      <c r="K55" s="218"/>
      <c r="M55" t="s">
        <v>26</v>
      </c>
      <c r="N55" s="132">
        <v>0.95721710475388655</v>
      </c>
    </row>
    <row r="56" spans="1:18" x14ac:dyDescent="0.2">
      <c r="A56" s="217" t="s">
        <v>27</v>
      </c>
      <c r="B56" s="249">
        <v>0.94631798841812864</v>
      </c>
      <c r="K56" s="218"/>
      <c r="M56" t="s">
        <v>27</v>
      </c>
      <c r="N56" s="132">
        <v>0.95551937081554872</v>
      </c>
    </row>
    <row r="57" spans="1:18" x14ac:dyDescent="0.2">
      <c r="A57" s="217" t="s">
        <v>28</v>
      </c>
      <c r="B57">
        <v>2302112.0089087081</v>
      </c>
      <c r="K57" s="218"/>
      <c r="M57" t="s">
        <v>28</v>
      </c>
      <c r="N57">
        <v>2099430.4612737834</v>
      </c>
    </row>
    <row r="58" spans="1:18" ht="13.5" thickBot="1" x14ac:dyDescent="0.25">
      <c r="A58" s="219" t="s">
        <v>29</v>
      </c>
      <c r="B58" s="24">
        <v>132</v>
      </c>
      <c r="K58" s="218"/>
      <c r="M58" s="24" t="s">
        <v>29</v>
      </c>
      <c r="N58" s="24">
        <v>132</v>
      </c>
    </row>
    <row r="59" spans="1:18" x14ac:dyDescent="0.2">
      <c r="A59" s="217"/>
      <c r="K59" s="218"/>
    </row>
    <row r="60" spans="1:18" ht="13.5" thickBot="1" x14ac:dyDescent="0.25">
      <c r="A60" s="217" t="s">
        <v>30</v>
      </c>
      <c r="K60" s="218"/>
      <c r="M60" t="s">
        <v>30</v>
      </c>
    </row>
    <row r="61" spans="1:18" ht="15" x14ac:dyDescent="0.25">
      <c r="A61" s="246"/>
      <c r="B61" s="25" t="s">
        <v>34</v>
      </c>
      <c r="C61" s="25" t="s">
        <v>35</v>
      </c>
      <c r="D61" s="25" t="s">
        <v>36</v>
      </c>
      <c r="E61" s="25" t="s">
        <v>37</v>
      </c>
      <c r="F61" s="25" t="s">
        <v>38</v>
      </c>
      <c r="K61" s="218"/>
      <c r="M61" s="250"/>
      <c r="N61" s="250" t="s">
        <v>34</v>
      </c>
      <c r="O61" s="250" t="s">
        <v>35</v>
      </c>
      <c r="P61" s="250" t="s">
        <v>36</v>
      </c>
      <c r="Q61" s="250" t="s">
        <v>37</v>
      </c>
      <c r="R61" s="250" t="s">
        <v>38</v>
      </c>
    </row>
    <row r="62" spans="1:18" x14ac:dyDescent="0.2">
      <c r="A62" s="217" t="s">
        <v>31</v>
      </c>
      <c r="B62">
        <v>5</v>
      </c>
      <c r="C62">
        <v>1.226512029054704E+16</v>
      </c>
      <c r="D62">
        <v>2453024058109408</v>
      </c>
      <c r="E62">
        <v>462.85920694759886</v>
      </c>
      <c r="F62">
        <v>2.942048815044899E-79</v>
      </c>
      <c r="K62" s="218"/>
      <c r="M62" t="s">
        <v>31</v>
      </c>
      <c r="N62">
        <v>5</v>
      </c>
      <c r="O62">
        <v>1.2425498259484786E+16</v>
      </c>
      <c r="P62">
        <v>2485099651896957</v>
      </c>
      <c r="Q62">
        <v>563.82044508755621</v>
      </c>
      <c r="R62">
        <v>2.1387331545220188E-84</v>
      </c>
    </row>
    <row r="63" spans="1:18" x14ac:dyDescent="0.2">
      <c r="A63" s="217" t="s">
        <v>32</v>
      </c>
      <c r="B63">
        <v>126</v>
      </c>
      <c r="C63">
        <v>667764682396772.63</v>
      </c>
      <c r="D63">
        <v>5299719701561.6875</v>
      </c>
      <c r="K63" s="218"/>
      <c r="M63" t="s">
        <v>32</v>
      </c>
      <c r="N63">
        <v>126</v>
      </c>
      <c r="O63">
        <v>555358640977255.56</v>
      </c>
      <c r="P63">
        <v>4407608261724.251</v>
      </c>
    </row>
    <row r="64" spans="1:18" ht="13.5" thickBot="1" x14ac:dyDescent="0.25">
      <c r="A64" s="219" t="s">
        <v>12</v>
      </c>
      <c r="B64" s="24">
        <v>131</v>
      </c>
      <c r="C64" s="24">
        <v>1.2932884972943812E+16</v>
      </c>
      <c r="D64" s="24"/>
      <c r="E64" s="24"/>
      <c r="F64" s="24"/>
      <c r="K64" s="218"/>
      <c r="M64" s="24" t="s">
        <v>12</v>
      </c>
      <c r="N64" s="24">
        <v>131</v>
      </c>
      <c r="O64" s="24">
        <v>1.2980856900462042E+16</v>
      </c>
      <c r="P64" s="24"/>
      <c r="Q64" s="24"/>
      <c r="R64" s="24"/>
    </row>
    <row r="65" spans="1:21" ht="13.5" thickBot="1" x14ac:dyDescent="0.25">
      <c r="A65" s="217"/>
      <c r="K65" s="218"/>
    </row>
    <row r="66" spans="1:21" ht="15" x14ac:dyDescent="0.25">
      <c r="A66" s="246"/>
      <c r="B66" s="25" t="s">
        <v>39</v>
      </c>
      <c r="C66" s="25" t="s">
        <v>28</v>
      </c>
      <c r="D66" s="25" t="s">
        <v>40</v>
      </c>
      <c r="E66" s="25" t="s">
        <v>41</v>
      </c>
      <c r="F66" s="25" t="s">
        <v>42</v>
      </c>
      <c r="G66" s="25" t="s">
        <v>43</v>
      </c>
      <c r="H66" s="25" t="s">
        <v>216</v>
      </c>
      <c r="I66" s="25" t="s">
        <v>217</v>
      </c>
      <c r="K66" s="218"/>
      <c r="M66" s="250"/>
      <c r="N66" s="250" t="s">
        <v>39</v>
      </c>
      <c r="O66" s="250" t="s">
        <v>28</v>
      </c>
      <c r="P66" s="250" t="s">
        <v>40</v>
      </c>
      <c r="Q66" s="250" t="s">
        <v>41</v>
      </c>
      <c r="R66" s="250" t="s">
        <v>42</v>
      </c>
      <c r="S66" s="250" t="s">
        <v>43</v>
      </c>
      <c r="T66" s="250" t="s">
        <v>216</v>
      </c>
      <c r="U66" s="250" t="s">
        <v>217</v>
      </c>
    </row>
    <row r="67" spans="1:21" x14ac:dyDescent="0.2">
      <c r="A67" s="217" t="s">
        <v>33</v>
      </c>
      <c r="B67">
        <v>-5843549.0959483655</v>
      </c>
      <c r="C67">
        <v>7691028.5962680634</v>
      </c>
      <c r="D67">
        <v>-0.75978772186386678</v>
      </c>
      <c r="E67">
        <v>0.44880072676745175</v>
      </c>
      <c r="F67">
        <v>-21063868.587032098</v>
      </c>
      <c r="G67">
        <v>9376770.3951353692</v>
      </c>
      <c r="H67">
        <v>-21063868.587032098</v>
      </c>
      <c r="I67">
        <v>9376770.3951353692</v>
      </c>
      <c r="K67" s="218"/>
      <c r="M67" t="s">
        <v>33</v>
      </c>
      <c r="N67" s="130">
        <v>-4468273.6777401157</v>
      </c>
      <c r="O67">
        <v>7015544.648585869</v>
      </c>
      <c r="P67">
        <v>-0.63691044695165477</v>
      </c>
      <c r="Q67">
        <v>0.52533866546553964</v>
      </c>
      <c r="R67">
        <v>-18351830.294244211</v>
      </c>
      <c r="S67">
        <v>9415282.9387639798</v>
      </c>
      <c r="T67">
        <v>-18351830.294244211</v>
      </c>
      <c r="U67">
        <v>9415282.9387639798</v>
      </c>
    </row>
    <row r="68" spans="1:21" x14ac:dyDescent="0.2">
      <c r="A68" s="217" t="s">
        <v>4</v>
      </c>
      <c r="B68">
        <v>34920.224019068919</v>
      </c>
      <c r="C68">
        <v>946.19189703956374</v>
      </c>
      <c r="D68">
        <v>36.9060696126515</v>
      </c>
      <c r="E68">
        <v>2.0801067056708086E-69</v>
      </c>
      <c r="F68">
        <v>33047.738070985877</v>
      </c>
      <c r="G68">
        <v>36792.709967151961</v>
      </c>
      <c r="H68">
        <v>33047.738070985877</v>
      </c>
      <c r="I68">
        <v>36792.709967151961</v>
      </c>
      <c r="K68" s="218"/>
      <c r="M68" t="s">
        <v>4</v>
      </c>
      <c r="N68" s="130">
        <v>35058.179194266886</v>
      </c>
      <c r="O68">
        <v>863.43089512684992</v>
      </c>
      <c r="P68">
        <v>40.603341149978604</v>
      </c>
      <c r="Q68">
        <v>3.1344257005015557E-74</v>
      </c>
      <c r="R68">
        <v>33349.474835960398</v>
      </c>
      <c r="S68">
        <v>36766.883552573374</v>
      </c>
      <c r="T68">
        <v>33349.474835960398</v>
      </c>
      <c r="U68">
        <v>36766.883552573374</v>
      </c>
    </row>
    <row r="69" spans="1:21" x14ac:dyDescent="0.2">
      <c r="A69" s="217" t="s">
        <v>5</v>
      </c>
      <c r="B69">
        <v>109845.68557187488</v>
      </c>
      <c r="C69">
        <v>17850.132324251888</v>
      </c>
      <c r="D69">
        <v>6.1537743013049955</v>
      </c>
      <c r="E69">
        <v>9.2984501488521896E-9</v>
      </c>
      <c r="F69">
        <v>74520.798460537786</v>
      </c>
      <c r="G69">
        <v>145170.572683212</v>
      </c>
      <c r="H69">
        <v>74520.798460537786</v>
      </c>
      <c r="I69">
        <v>145170.572683212</v>
      </c>
      <c r="K69" s="218"/>
      <c r="M69" t="s">
        <v>5</v>
      </c>
      <c r="N69" s="130">
        <v>120459.29752090946</v>
      </c>
      <c r="O69">
        <v>16269.006527566657</v>
      </c>
      <c r="P69">
        <v>7.4042196317765239</v>
      </c>
      <c r="Q69">
        <v>1.6557806586230573E-11</v>
      </c>
      <c r="R69">
        <v>88263.411879261432</v>
      </c>
      <c r="S69">
        <v>152655.18316255749</v>
      </c>
      <c r="T69">
        <v>88263.411879261432</v>
      </c>
      <c r="U69">
        <v>152655.18316255749</v>
      </c>
    </row>
    <row r="70" spans="1:21" x14ac:dyDescent="0.2">
      <c r="A70" s="217" t="s">
        <v>22</v>
      </c>
      <c r="B70">
        <v>-2807605.9252172778</v>
      </c>
      <c r="C70">
        <v>462724.68756441749</v>
      </c>
      <c r="D70">
        <v>-6.0675516147523929</v>
      </c>
      <c r="E70">
        <v>1.4104562282724832E-8</v>
      </c>
      <c r="F70">
        <v>-3723324.4787225574</v>
      </c>
      <c r="G70">
        <v>-1891887.371711998</v>
      </c>
      <c r="H70">
        <v>-3723324.4787225574</v>
      </c>
      <c r="I70">
        <v>-1891887.371711998</v>
      </c>
      <c r="K70" s="218"/>
      <c r="M70" t="s">
        <v>22</v>
      </c>
      <c r="N70" s="130">
        <v>-2843881.5953168268</v>
      </c>
      <c r="O70">
        <v>421735.7747360291</v>
      </c>
      <c r="P70">
        <v>-6.7432780562589363</v>
      </c>
      <c r="Q70">
        <v>5.004665444637097E-10</v>
      </c>
      <c r="R70">
        <v>-3678484.2953271698</v>
      </c>
      <c r="S70">
        <v>-2009278.8953064841</v>
      </c>
      <c r="T70">
        <v>-3678484.2953271698</v>
      </c>
      <c r="U70">
        <v>-2009278.8953064841</v>
      </c>
    </row>
    <row r="71" spans="1:21" x14ac:dyDescent="0.2">
      <c r="A71" s="217" t="s">
        <v>6</v>
      </c>
      <c r="B71">
        <v>1774323.1116475302</v>
      </c>
      <c r="C71">
        <v>252476.47830174383</v>
      </c>
      <c r="D71">
        <v>7.0276768892782639</v>
      </c>
      <c r="E71">
        <v>1.1725398746945632E-10</v>
      </c>
      <c r="F71">
        <v>1274679.5833942548</v>
      </c>
      <c r="G71">
        <v>2273966.6399008054</v>
      </c>
      <c r="H71">
        <v>1274679.5833942548</v>
      </c>
      <c r="I71">
        <v>2273966.6399008054</v>
      </c>
      <c r="K71" s="218"/>
      <c r="M71" t="s">
        <v>6</v>
      </c>
      <c r="N71" s="130">
        <v>1735680.8813120723</v>
      </c>
      <c r="O71">
        <v>230274.34288297599</v>
      </c>
      <c r="P71">
        <v>7.5374479830526955</v>
      </c>
      <c r="Q71">
        <v>8.2096409453346346E-12</v>
      </c>
      <c r="R71">
        <v>1279974.7263539534</v>
      </c>
      <c r="S71">
        <v>2191387.0362701914</v>
      </c>
      <c r="T71">
        <v>1279974.7263539534</v>
      </c>
      <c r="U71">
        <v>2191387.0362701914</v>
      </c>
    </row>
    <row r="72" spans="1:21" ht="13.5" thickBot="1" x14ac:dyDescent="0.25">
      <c r="A72" s="219" t="s">
        <v>214</v>
      </c>
      <c r="B72" s="24">
        <v>-68818.902875028536</v>
      </c>
      <c r="C72" s="24">
        <v>5261.2358389855672</v>
      </c>
      <c r="D72" s="24">
        <v>-13.080368373735112</v>
      </c>
      <c r="E72" s="24">
        <v>3.155727647529567E-25</v>
      </c>
      <c r="F72" s="24">
        <v>-79230.733930520466</v>
      </c>
      <c r="G72" s="24">
        <v>-58407.071819536606</v>
      </c>
      <c r="H72" s="24">
        <v>-79230.733930520466</v>
      </c>
      <c r="I72" s="24">
        <v>-58407.071819536606</v>
      </c>
      <c r="J72" s="24"/>
      <c r="K72" s="221"/>
      <c r="M72" s="24" t="s">
        <v>214</v>
      </c>
      <c r="N72" s="131">
        <v>-76743.48149338807</v>
      </c>
      <c r="O72" s="24">
        <v>4798.3405406802949</v>
      </c>
      <c r="P72" s="24">
        <v>-15.993754683052904</v>
      </c>
      <c r="Q72" s="24">
        <v>4.0167293857789947E-32</v>
      </c>
      <c r="R72" s="24">
        <v>-86239.25636173418</v>
      </c>
      <c r="S72" s="24">
        <v>-67247.706625041959</v>
      </c>
      <c r="T72" s="24">
        <v>-86239.25636173418</v>
      </c>
      <c r="U72" s="24">
        <v>-67247.706625041959</v>
      </c>
    </row>
    <row r="73" spans="1:21" ht="13.5" thickBot="1" x14ac:dyDescent="0.25"/>
    <row r="74" spans="1:21" x14ac:dyDescent="0.2">
      <c r="A74" s="213" t="s">
        <v>23</v>
      </c>
      <c r="B74" s="247"/>
      <c r="C74" s="247"/>
      <c r="D74" s="247"/>
      <c r="E74" s="247"/>
      <c r="F74" s="247"/>
      <c r="G74" s="247"/>
      <c r="H74" s="247"/>
      <c r="I74" s="247"/>
      <c r="J74" s="247"/>
      <c r="K74" s="248"/>
    </row>
    <row r="75" spans="1:21" ht="13.5" thickBot="1" x14ac:dyDescent="0.25">
      <c r="A75" s="217"/>
      <c r="K75" s="218"/>
    </row>
    <row r="76" spans="1:21" x14ac:dyDescent="0.2">
      <c r="A76" s="245" t="s">
        <v>24</v>
      </c>
      <c r="B76" s="26"/>
      <c r="K76" s="218"/>
    </row>
    <row r="77" spans="1:21" x14ac:dyDescent="0.2">
      <c r="A77" s="217" t="s">
        <v>25</v>
      </c>
      <c r="B77" s="132">
        <v>0.97391324606790208</v>
      </c>
      <c r="K77" s="218"/>
    </row>
    <row r="78" spans="1:21" x14ac:dyDescent="0.2">
      <c r="A78" s="217" t="s">
        <v>26</v>
      </c>
      <c r="B78" s="132">
        <v>0.94850701086651801</v>
      </c>
      <c r="K78" s="218"/>
    </row>
    <row r="79" spans="1:21" x14ac:dyDescent="0.2">
      <c r="A79" s="217" t="s">
        <v>27</v>
      </c>
      <c r="B79" s="249">
        <v>0.94577286985058096</v>
      </c>
      <c r="K79" s="218"/>
    </row>
    <row r="80" spans="1:21" x14ac:dyDescent="0.2">
      <c r="A80" s="217" t="s">
        <v>28</v>
      </c>
      <c r="B80">
        <v>2268628.0098441052</v>
      </c>
      <c r="K80" s="218"/>
    </row>
    <row r="81" spans="1:11" ht="13.5" thickBot="1" x14ac:dyDescent="0.25">
      <c r="A81" s="219" t="s">
        <v>29</v>
      </c>
      <c r="B81" s="24">
        <v>120</v>
      </c>
      <c r="K81" s="218"/>
    </row>
    <row r="82" spans="1:11" x14ac:dyDescent="0.2">
      <c r="A82" s="217"/>
      <c r="K82" s="218"/>
    </row>
    <row r="83" spans="1:11" ht="13.5" thickBot="1" x14ac:dyDescent="0.25">
      <c r="A83" s="217" t="s">
        <v>30</v>
      </c>
      <c r="K83" s="218"/>
    </row>
    <row r="84" spans="1:11" x14ac:dyDescent="0.2">
      <c r="A84" s="246"/>
      <c r="B84" s="25" t="s">
        <v>34</v>
      </c>
      <c r="C84" s="25" t="s">
        <v>35</v>
      </c>
      <c r="D84" s="25" t="s">
        <v>36</v>
      </c>
      <c r="E84" s="25" t="s">
        <v>37</v>
      </c>
      <c r="F84" s="25" t="s">
        <v>38</v>
      </c>
      <c r="K84" s="218"/>
    </row>
    <row r="85" spans="1:11" x14ac:dyDescent="0.2">
      <c r="A85" s="217" t="s">
        <v>31</v>
      </c>
      <c r="B85">
        <v>6</v>
      </c>
      <c r="C85">
        <v>1.0712663551680334E+16</v>
      </c>
      <c r="D85">
        <v>1785443925280055.8</v>
      </c>
      <c r="E85">
        <v>346.91224971124115</v>
      </c>
      <c r="F85">
        <v>2.480062872884213E-70</v>
      </c>
      <c r="K85" s="218"/>
    </row>
    <row r="86" spans="1:11" x14ac:dyDescent="0.2">
      <c r="A86" s="217" t="s">
        <v>32</v>
      </c>
      <c r="B86">
        <v>113</v>
      </c>
      <c r="C86">
        <v>581574054316562.63</v>
      </c>
      <c r="D86">
        <v>5146673047049.2266</v>
      </c>
      <c r="K86" s="218"/>
    </row>
    <row r="87" spans="1:11" ht="13.5" thickBot="1" x14ac:dyDescent="0.25">
      <c r="A87" s="219" t="s">
        <v>12</v>
      </c>
      <c r="B87" s="24">
        <v>119</v>
      </c>
      <c r="C87" s="24">
        <v>1.1294237605996896E+16</v>
      </c>
      <c r="D87" s="24"/>
      <c r="E87" s="24"/>
      <c r="F87" s="24"/>
      <c r="K87" s="218"/>
    </row>
    <row r="88" spans="1:11" ht="13.5" thickBot="1" x14ac:dyDescent="0.25">
      <c r="A88" s="217"/>
      <c r="K88" s="218"/>
    </row>
    <row r="89" spans="1:11" x14ac:dyDescent="0.2">
      <c r="A89" s="246"/>
      <c r="B89" s="25" t="s">
        <v>39</v>
      </c>
      <c r="C89" s="25" t="s">
        <v>28</v>
      </c>
      <c r="D89" s="25" t="s">
        <v>40</v>
      </c>
      <c r="E89" s="25" t="s">
        <v>41</v>
      </c>
      <c r="F89" s="25" t="s">
        <v>42</v>
      </c>
      <c r="G89" s="25" t="s">
        <v>43</v>
      </c>
      <c r="H89" s="25" t="s">
        <v>216</v>
      </c>
      <c r="I89" s="25" t="s">
        <v>217</v>
      </c>
      <c r="K89" s="218"/>
    </row>
    <row r="90" spans="1:11" x14ac:dyDescent="0.2">
      <c r="A90" s="217" t="s">
        <v>33</v>
      </c>
      <c r="B90">
        <v>148176058.49253801</v>
      </c>
      <c r="C90">
        <v>90431199.530100733</v>
      </c>
      <c r="D90">
        <v>1.638550182486703</v>
      </c>
      <c r="E90">
        <v>0.10408846019948409</v>
      </c>
      <c r="F90">
        <v>-30984457.894805998</v>
      </c>
      <c r="G90">
        <v>327336574.87988198</v>
      </c>
      <c r="H90">
        <v>-30984457.894805998</v>
      </c>
      <c r="I90">
        <v>327336574.87988198</v>
      </c>
      <c r="K90" s="218"/>
    </row>
    <row r="91" spans="1:11" x14ac:dyDescent="0.2">
      <c r="A91" s="217" t="s">
        <v>4</v>
      </c>
      <c r="B91">
        <v>34999.659447481979</v>
      </c>
      <c r="C91">
        <v>998.46392970550994</v>
      </c>
      <c r="D91">
        <v>35.053504093838313</v>
      </c>
      <c r="E91">
        <v>1.5090990535721882E-62</v>
      </c>
      <c r="F91">
        <v>33021.522320365439</v>
      </c>
      <c r="G91">
        <v>36977.79657459852</v>
      </c>
      <c r="H91">
        <v>33021.522320365439</v>
      </c>
      <c r="I91">
        <v>36977.79657459852</v>
      </c>
      <c r="K91" s="218"/>
    </row>
    <row r="92" spans="1:11" x14ac:dyDescent="0.2">
      <c r="A92" s="217" t="s">
        <v>5</v>
      </c>
      <c r="B92">
        <v>118261.10840906332</v>
      </c>
      <c r="C92">
        <v>19291.319086227333</v>
      </c>
      <c r="D92">
        <v>6.1302758966593203</v>
      </c>
      <c r="E92">
        <v>1.3187803087040502E-8</v>
      </c>
      <c r="F92">
        <v>80041.525928228526</v>
      </c>
      <c r="G92">
        <v>156480.69088989811</v>
      </c>
      <c r="H92">
        <v>80041.525928228526</v>
      </c>
      <c r="I92">
        <v>156480.69088989811</v>
      </c>
      <c r="K92" s="218"/>
    </row>
    <row r="93" spans="1:11" x14ac:dyDescent="0.2">
      <c r="A93" s="217" t="s">
        <v>22</v>
      </c>
      <c r="B93">
        <v>-2832930.880299014</v>
      </c>
      <c r="C93">
        <v>477717.5391526405</v>
      </c>
      <c r="D93">
        <v>-5.9301378913656233</v>
      </c>
      <c r="E93">
        <v>3.3643594181355627E-8</v>
      </c>
      <c r="F93">
        <v>-3779375.4862161302</v>
      </c>
      <c r="G93">
        <v>-1886486.2743818979</v>
      </c>
      <c r="H93">
        <v>-3779375.4862161302</v>
      </c>
      <c r="I93">
        <v>-1886486.2743818979</v>
      </c>
      <c r="K93" s="218"/>
    </row>
    <row r="94" spans="1:11" x14ac:dyDescent="0.2">
      <c r="A94" s="217" t="s">
        <v>6</v>
      </c>
      <c r="B94">
        <v>1834427.6159020858</v>
      </c>
      <c r="C94">
        <v>261710.96013830748</v>
      </c>
      <c r="D94">
        <v>7.0093648922178815</v>
      </c>
      <c r="E94">
        <v>1.8487085202701192E-10</v>
      </c>
      <c r="F94">
        <v>1315931.0018325173</v>
      </c>
      <c r="G94">
        <v>2352924.2299716542</v>
      </c>
      <c r="H94">
        <v>1315931.0018325173</v>
      </c>
      <c r="I94">
        <v>2352924.2299716542</v>
      </c>
      <c r="K94" s="218"/>
    </row>
    <row r="95" spans="1:11" x14ac:dyDescent="0.2">
      <c r="A95" s="217" t="s">
        <v>214</v>
      </c>
      <c r="B95">
        <v>-37696.812717419707</v>
      </c>
      <c r="C95">
        <v>15680.879507459525</v>
      </c>
      <c r="D95">
        <v>-2.4039986213456341</v>
      </c>
      <c r="E95">
        <v>1.7843003799706488E-2</v>
      </c>
      <c r="F95">
        <v>-68763.46321594638</v>
      </c>
      <c r="G95">
        <v>-6630.1622188930342</v>
      </c>
      <c r="H95">
        <v>-68763.46321594638</v>
      </c>
      <c r="I95">
        <v>-6630.1622188930342</v>
      </c>
      <c r="K95" s="218"/>
    </row>
    <row r="96" spans="1:11" ht="13.5" thickBot="1" x14ac:dyDescent="0.25">
      <c r="A96" s="219" t="s">
        <v>81</v>
      </c>
      <c r="B96" s="24">
        <v>-4723.8322093197512</v>
      </c>
      <c r="C96" s="24">
        <v>2722.3066462795969</v>
      </c>
      <c r="D96" s="24">
        <v>-1.7352314867891581</v>
      </c>
      <c r="E96" s="24">
        <v>8.5426101984385744E-2</v>
      </c>
      <c r="F96" s="24">
        <v>-10117.212669232886</v>
      </c>
      <c r="G96" s="24">
        <v>669.54825059338418</v>
      </c>
      <c r="H96" s="24">
        <v>-10117.212669232886</v>
      </c>
      <c r="I96" s="24">
        <v>669.54825059338418</v>
      </c>
      <c r="J96" s="24"/>
      <c r="K96" s="221"/>
    </row>
    <row r="97" spans="1:11" ht="13.5" thickBot="1" x14ac:dyDescent="0.25"/>
    <row r="98" spans="1:11" x14ac:dyDescent="0.2">
      <c r="A98" s="213" t="s">
        <v>23</v>
      </c>
      <c r="B98" s="247"/>
      <c r="C98" s="247"/>
      <c r="D98" s="247"/>
      <c r="E98" s="247"/>
      <c r="F98" s="247"/>
      <c r="G98" s="247"/>
      <c r="H98" s="247"/>
      <c r="I98" s="247"/>
      <c r="J98" s="247"/>
      <c r="K98" s="248"/>
    </row>
    <row r="99" spans="1:11" ht="13.5" thickBot="1" x14ac:dyDescent="0.25">
      <c r="A99" s="217"/>
      <c r="K99" s="218"/>
    </row>
    <row r="100" spans="1:11" x14ac:dyDescent="0.2">
      <c r="A100" s="245" t="s">
        <v>24</v>
      </c>
      <c r="B100" s="26"/>
      <c r="K100" s="218"/>
    </row>
    <row r="101" spans="1:11" x14ac:dyDescent="0.2">
      <c r="A101" s="217" t="s">
        <v>25</v>
      </c>
      <c r="B101" s="132">
        <v>0.97450325543087102</v>
      </c>
      <c r="K101" s="218"/>
    </row>
    <row r="102" spans="1:11" x14ac:dyDescent="0.2">
      <c r="A102" s="217" t="s">
        <v>26</v>
      </c>
      <c r="B102" s="132">
        <v>0.94965659484536535</v>
      </c>
      <c r="K102" s="218"/>
    </row>
    <row r="103" spans="1:11" x14ac:dyDescent="0.2">
      <c r="A103" s="217" t="s">
        <v>27</v>
      </c>
      <c r="B103" s="249">
        <v>0.94724011139794284</v>
      </c>
      <c r="K103" s="218"/>
    </row>
    <row r="104" spans="1:11" x14ac:dyDescent="0.2">
      <c r="A104" s="217" t="s">
        <v>28</v>
      </c>
      <c r="B104">
        <v>2282254.0927971997</v>
      </c>
      <c r="K104" s="218"/>
    </row>
    <row r="105" spans="1:11" ht="13.5" thickBot="1" x14ac:dyDescent="0.25">
      <c r="A105" s="219" t="s">
        <v>29</v>
      </c>
      <c r="B105" s="24">
        <v>132</v>
      </c>
      <c r="K105" s="218"/>
    </row>
    <row r="106" spans="1:11" x14ac:dyDescent="0.2">
      <c r="A106" s="217"/>
      <c r="K106" s="218"/>
    </row>
    <row r="107" spans="1:11" ht="13.5" thickBot="1" x14ac:dyDescent="0.25">
      <c r="A107" s="217" t="s">
        <v>30</v>
      </c>
      <c r="K107" s="218"/>
    </row>
    <row r="108" spans="1:11" x14ac:dyDescent="0.2">
      <c r="A108" s="246"/>
      <c r="B108" s="25" t="s">
        <v>34</v>
      </c>
      <c r="C108" s="25" t="s">
        <v>35</v>
      </c>
      <c r="D108" s="25" t="s">
        <v>36</v>
      </c>
      <c r="E108" s="25" t="s">
        <v>37</v>
      </c>
      <c r="F108" s="25" t="s">
        <v>38</v>
      </c>
      <c r="K108" s="218"/>
    </row>
    <row r="109" spans="1:11" x14ac:dyDescent="0.2">
      <c r="A109" s="217" t="s">
        <v>31</v>
      </c>
      <c r="B109">
        <v>6</v>
      </c>
      <c r="C109">
        <v>1.2281799504932616E+16</v>
      </c>
      <c r="D109">
        <v>2046966584155436</v>
      </c>
      <c r="E109">
        <v>392.99114415963214</v>
      </c>
      <c r="F109">
        <v>1.3758574698403953E-78</v>
      </c>
      <c r="K109" s="218"/>
    </row>
    <row r="110" spans="1:11" x14ac:dyDescent="0.2">
      <c r="A110" s="217" t="s">
        <v>32</v>
      </c>
      <c r="B110">
        <v>125</v>
      </c>
      <c r="C110">
        <v>651085468011196</v>
      </c>
      <c r="D110">
        <v>5208683744089.5684</v>
      </c>
      <c r="K110" s="218"/>
    </row>
    <row r="111" spans="1:11" ht="13.5" thickBot="1" x14ac:dyDescent="0.25">
      <c r="A111" s="219" t="s">
        <v>12</v>
      </c>
      <c r="B111" s="24">
        <v>131</v>
      </c>
      <c r="C111" s="24">
        <v>1.2932884972943812E+16</v>
      </c>
      <c r="D111" s="24"/>
      <c r="E111" s="24"/>
      <c r="F111" s="24"/>
      <c r="K111" s="218"/>
    </row>
    <row r="112" spans="1:11" ht="13.5" thickBot="1" x14ac:dyDescent="0.25">
      <c r="A112" s="217"/>
      <c r="K112" s="218"/>
    </row>
    <row r="113" spans="1:11" x14ac:dyDescent="0.2">
      <c r="A113" s="246"/>
      <c r="B113" s="25" t="s">
        <v>39</v>
      </c>
      <c r="C113" s="25" t="s">
        <v>28</v>
      </c>
      <c r="D113" s="25" t="s">
        <v>40</v>
      </c>
      <c r="E113" s="25" t="s">
        <v>41</v>
      </c>
      <c r="F113" s="25" t="s">
        <v>42</v>
      </c>
      <c r="G113" s="25" t="s">
        <v>43</v>
      </c>
      <c r="H113" s="25" t="s">
        <v>216</v>
      </c>
      <c r="I113" s="25" t="s">
        <v>217</v>
      </c>
      <c r="K113" s="218"/>
    </row>
    <row r="114" spans="1:11" x14ac:dyDescent="0.2">
      <c r="A114" s="217" t="s">
        <v>33</v>
      </c>
      <c r="B114">
        <v>148889227.64916861</v>
      </c>
      <c r="C114">
        <v>86804134.429895148</v>
      </c>
      <c r="D114">
        <v>1.7152319832117524</v>
      </c>
      <c r="E114">
        <v>8.8780549259966549E-2</v>
      </c>
      <c r="F114">
        <v>-22906927.598701358</v>
      </c>
      <c r="G114">
        <v>320685382.89703858</v>
      </c>
      <c r="H114">
        <v>-22906927.598701358</v>
      </c>
      <c r="I114">
        <v>320685382.89703858</v>
      </c>
      <c r="K114" s="218"/>
    </row>
    <row r="115" spans="1:11" x14ac:dyDescent="0.2">
      <c r="A115" s="217" t="s">
        <v>4</v>
      </c>
      <c r="B115">
        <v>35127.422356156385</v>
      </c>
      <c r="C115">
        <v>945.14932111166979</v>
      </c>
      <c r="D115">
        <v>37.166002843698877</v>
      </c>
      <c r="E115">
        <v>2.0338346771775599E-69</v>
      </c>
      <c r="F115">
        <v>33256.854547738745</v>
      </c>
      <c r="G115">
        <v>36997.990164574025</v>
      </c>
      <c r="H115">
        <v>33256.854547738745</v>
      </c>
      <c r="I115">
        <v>36997.990164574025</v>
      </c>
      <c r="K115" s="218"/>
    </row>
    <row r="116" spans="1:11" x14ac:dyDescent="0.2">
      <c r="A116" s="217" t="s">
        <v>5</v>
      </c>
      <c r="B116">
        <v>112139.65443166804</v>
      </c>
      <c r="C116">
        <v>17742.529231856613</v>
      </c>
      <c r="D116">
        <v>6.3203871875449362</v>
      </c>
      <c r="E116">
        <v>4.1997886526375771E-9</v>
      </c>
      <c r="F116">
        <v>77024.987066744099</v>
      </c>
      <c r="G116">
        <v>147254.32179659198</v>
      </c>
      <c r="H116">
        <v>77024.987066744099</v>
      </c>
      <c r="I116">
        <v>147254.32179659198</v>
      </c>
      <c r="K116" s="218"/>
    </row>
    <row r="117" spans="1:11" x14ac:dyDescent="0.2">
      <c r="A117" s="217" t="s">
        <v>22</v>
      </c>
      <c r="B117">
        <v>-2805481.1792871025</v>
      </c>
      <c r="C117">
        <v>458734.78157885064</v>
      </c>
      <c r="D117">
        <v>-6.1156931890608695</v>
      </c>
      <c r="E117">
        <v>1.136739197511997E-8</v>
      </c>
      <c r="F117">
        <v>-3713374.2453410663</v>
      </c>
      <c r="G117">
        <v>-1897588.1132331388</v>
      </c>
      <c r="H117">
        <v>-3713374.2453410663</v>
      </c>
      <c r="I117">
        <v>-1897588.1132331388</v>
      </c>
      <c r="K117" s="218"/>
    </row>
    <row r="118" spans="1:11" x14ac:dyDescent="0.2">
      <c r="A118" s="217" t="s">
        <v>6</v>
      </c>
      <c r="B118">
        <v>1781641.7485775251</v>
      </c>
      <c r="C118">
        <v>250332.03884731021</v>
      </c>
      <c r="D118">
        <v>7.1171143605163376</v>
      </c>
      <c r="E118">
        <v>7.5931991102836059E-11</v>
      </c>
      <c r="F118">
        <v>1286203.5751335984</v>
      </c>
      <c r="G118">
        <v>2277079.9220214519</v>
      </c>
      <c r="H118">
        <v>1286203.5751335984</v>
      </c>
      <c r="I118">
        <v>2277079.9220214519</v>
      </c>
      <c r="K118" s="218"/>
    </row>
    <row r="119" spans="1:11" x14ac:dyDescent="0.2">
      <c r="A119" s="217" t="s">
        <v>214</v>
      </c>
      <c r="B119">
        <v>-42693.64184757894</v>
      </c>
      <c r="C119">
        <v>15503.205967699161</v>
      </c>
      <c r="D119">
        <v>-2.7538589074112085</v>
      </c>
      <c r="E119">
        <v>6.7687128995339019E-3</v>
      </c>
      <c r="F119">
        <v>-73376.410551615263</v>
      </c>
      <c r="G119">
        <v>-12010.873143542609</v>
      </c>
      <c r="H119">
        <v>-73376.410551615263</v>
      </c>
      <c r="I119">
        <v>-12010.873143542609</v>
      </c>
      <c r="K119" s="218"/>
    </row>
    <row r="120" spans="1:11" ht="13.5" thickBot="1" x14ac:dyDescent="0.25">
      <c r="A120" s="219" t="s">
        <v>81</v>
      </c>
      <c r="B120" s="24">
        <v>-4684.0055009696844</v>
      </c>
      <c r="C120" s="24">
        <v>2617.5416181879077</v>
      </c>
      <c r="D120" s="24">
        <v>-1.7894674409082996</v>
      </c>
      <c r="E120" s="24">
        <v>7.5960964786916829E-2</v>
      </c>
      <c r="F120" s="24">
        <v>-9864.4452249455571</v>
      </c>
      <c r="G120" s="24">
        <v>496.4342230061884</v>
      </c>
      <c r="H120" s="24">
        <v>-9864.4452249455571</v>
      </c>
      <c r="I120" s="24">
        <v>496.4342230061884</v>
      </c>
      <c r="J120" s="24"/>
      <c r="K120" s="221"/>
    </row>
    <row r="121" spans="1:11" ht="13.5" thickBot="1" x14ac:dyDescent="0.25"/>
    <row r="122" spans="1:11" x14ac:dyDescent="0.2">
      <c r="A122" s="213" t="s">
        <v>23</v>
      </c>
      <c r="B122" s="247"/>
      <c r="C122" s="247"/>
      <c r="D122" s="247"/>
      <c r="E122" s="247"/>
      <c r="F122" s="247"/>
      <c r="G122" s="247"/>
      <c r="H122" s="247"/>
      <c r="I122" s="247"/>
      <c r="J122" s="247"/>
      <c r="K122" s="248"/>
    </row>
    <row r="123" spans="1:11" ht="13.5" thickBot="1" x14ac:dyDescent="0.25">
      <c r="A123" s="217"/>
      <c r="K123" s="218"/>
    </row>
    <row r="124" spans="1:11" x14ac:dyDescent="0.2">
      <c r="A124" s="245" t="s">
        <v>24</v>
      </c>
      <c r="B124" s="26"/>
      <c r="K124" s="218"/>
    </row>
    <row r="125" spans="1:11" x14ac:dyDescent="0.2">
      <c r="A125" s="217" t="s">
        <v>25</v>
      </c>
      <c r="B125" s="132">
        <v>0.97384132185787575</v>
      </c>
      <c r="K125" s="218"/>
    </row>
    <row r="126" spans="1:11" x14ac:dyDescent="0.2">
      <c r="A126" s="217" t="s">
        <v>26</v>
      </c>
      <c r="B126" s="132">
        <v>0.9483669201578947</v>
      </c>
      <c r="K126" s="218"/>
    </row>
    <row r="127" spans="1:11" x14ac:dyDescent="0.2">
      <c r="A127" s="217" t="s">
        <v>27</v>
      </c>
      <c r="B127" s="249">
        <v>0.94631798841812864</v>
      </c>
      <c r="K127" s="218"/>
    </row>
    <row r="128" spans="1:11" x14ac:dyDescent="0.2">
      <c r="A128" s="217" t="s">
        <v>28</v>
      </c>
      <c r="B128">
        <v>2302112.0089087081</v>
      </c>
      <c r="K128" s="218"/>
    </row>
    <row r="129" spans="1:11" ht="13.5" thickBot="1" x14ac:dyDescent="0.25">
      <c r="A129" s="219" t="s">
        <v>29</v>
      </c>
      <c r="B129" s="24">
        <v>132</v>
      </c>
      <c r="K129" s="218"/>
    </row>
    <row r="130" spans="1:11" x14ac:dyDescent="0.2">
      <c r="A130" s="217"/>
      <c r="K130" s="218"/>
    </row>
    <row r="131" spans="1:11" ht="13.5" thickBot="1" x14ac:dyDescent="0.25">
      <c r="A131" s="217" t="s">
        <v>30</v>
      </c>
      <c r="K131" s="218"/>
    </row>
    <row r="132" spans="1:11" x14ac:dyDescent="0.2">
      <c r="A132" s="246"/>
      <c r="B132" s="25" t="s">
        <v>34</v>
      </c>
      <c r="C132" s="25" t="s">
        <v>35</v>
      </c>
      <c r="D132" s="25" t="s">
        <v>36</v>
      </c>
      <c r="E132" s="25" t="s">
        <v>37</v>
      </c>
      <c r="F132" s="25" t="s">
        <v>38</v>
      </c>
      <c r="K132" s="218"/>
    </row>
    <row r="133" spans="1:11" x14ac:dyDescent="0.2">
      <c r="A133" s="217" t="s">
        <v>31</v>
      </c>
      <c r="B133">
        <v>5</v>
      </c>
      <c r="C133">
        <v>1.226512029054704E+16</v>
      </c>
      <c r="D133">
        <v>2453024058109408</v>
      </c>
      <c r="E133">
        <v>462.85920694759886</v>
      </c>
      <c r="F133">
        <v>2.942048815044899E-79</v>
      </c>
      <c r="K133" s="218"/>
    </row>
    <row r="134" spans="1:11" x14ac:dyDescent="0.2">
      <c r="A134" s="217" t="s">
        <v>32</v>
      </c>
      <c r="B134">
        <v>126</v>
      </c>
      <c r="C134">
        <v>667764682396772.63</v>
      </c>
      <c r="D134">
        <v>5299719701561.6875</v>
      </c>
      <c r="K134" s="218"/>
    </row>
    <row r="135" spans="1:11" ht="13.5" thickBot="1" x14ac:dyDescent="0.25">
      <c r="A135" s="219" t="s">
        <v>12</v>
      </c>
      <c r="B135" s="24">
        <v>131</v>
      </c>
      <c r="C135" s="24">
        <v>1.2932884972943812E+16</v>
      </c>
      <c r="D135" s="24"/>
      <c r="E135" s="24"/>
      <c r="F135" s="24"/>
      <c r="K135" s="218"/>
    </row>
    <row r="136" spans="1:11" ht="13.5" thickBot="1" x14ac:dyDescent="0.25">
      <c r="A136" s="217"/>
      <c r="K136" s="218"/>
    </row>
    <row r="137" spans="1:11" x14ac:dyDescent="0.2">
      <c r="A137" s="246"/>
      <c r="B137" s="25" t="s">
        <v>39</v>
      </c>
      <c r="C137" s="25" t="s">
        <v>28</v>
      </c>
      <c r="D137" s="25" t="s">
        <v>40</v>
      </c>
      <c r="E137" s="25" t="s">
        <v>41</v>
      </c>
      <c r="F137" s="25" t="s">
        <v>42</v>
      </c>
      <c r="G137" s="25" t="s">
        <v>43</v>
      </c>
      <c r="H137" s="25" t="s">
        <v>216</v>
      </c>
      <c r="I137" s="25" t="s">
        <v>217</v>
      </c>
      <c r="K137" s="218"/>
    </row>
    <row r="138" spans="1:11" x14ac:dyDescent="0.2">
      <c r="A138" s="217" t="s">
        <v>33</v>
      </c>
      <c r="B138">
        <v>-5843549.0959483655</v>
      </c>
      <c r="C138">
        <v>7691028.5962680634</v>
      </c>
      <c r="D138">
        <v>-0.75978772186386678</v>
      </c>
      <c r="E138">
        <v>0.44880072676745175</v>
      </c>
      <c r="F138">
        <v>-21063868.587032098</v>
      </c>
      <c r="G138">
        <v>9376770.3951353692</v>
      </c>
      <c r="H138">
        <v>-21063868.587032098</v>
      </c>
      <c r="I138">
        <v>9376770.3951353692</v>
      </c>
      <c r="K138" s="218"/>
    </row>
    <row r="139" spans="1:11" x14ac:dyDescent="0.2">
      <c r="A139" s="217" t="s">
        <v>4</v>
      </c>
      <c r="B139">
        <v>34920.224019068919</v>
      </c>
      <c r="C139">
        <v>946.19189703956374</v>
      </c>
      <c r="D139">
        <v>36.9060696126515</v>
      </c>
      <c r="E139">
        <v>2.0801067056708086E-69</v>
      </c>
      <c r="F139">
        <v>33047.738070985877</v>
      </c>
      <c r="G139">
        <v>36792.709967151961</v>
      </c>
      <c r="H139">
        <v>33047.738070985877</v>
      </c>
      <c r="I139">
        <v>36792.709967151961</v>
      </c>
      <c r="K139" s="218"/>
    </row>
    <row r="140" spans="1:11" x14ac:dyDescent="0.2">
      <c r="A140" s="217" t="s">
        <v>5</v>
      </c>
      <c r="B140">
        <v>109845.68557187488</v>
      </c>
      <c r="C140">
        <v>17850.132324251888</v>
      </c>
      <c r="D140">
        <v>6.1537743013049955</v>
      </c>
      <c r="E140">
        <v>9.2984501488521896E-9</v>
      </c>
      <c r="F140">
        <v>74520.798460537786</v>
      </c>
      <c r="G140">
        <v>145170.572683212</v>
      </c>
      <c r="H140">
        <v>74520.798460537786</v>
      </c>
      <c r="I140">
        <v>145170.572683212</v>
      </c>
      <c r="K140" s="218"/>
    </row>
    <row r="141" spans="1:11" x14ac:dyDescent="0.2">
      <c r="A141" s="217" t="s">
        <v>22</v>
      </c>
      <c r="B141">
        <v>-2807605.9252172778</v>
      </c>
      <c r="C141">
        <v>462724.68756441749</v>
      </c>
      <c r="D141">
        <v>-6.0675516147523929</v>
      </c>
      <c r="E141">
        <v>1.4104562282724832E-8</v>
      </c>
      <c r="F141">
        <v>-3723324.4787225574</v>
      </c>
      <c r="G141">
        <v>-1891887.371711998</v>
      </c>
      <c r="H141">
        <v>-3723324.4787225574</v>
      </c>
      <c r="I141">
        <v>-1891887.371711998</v>
      </c>
      <c r="K141" s="218"/>
    </row>
    <row r="142" spans="1:11" x14ac:dyDescent="0.2">
      <c r="A142" s="217" t="s">
        <v>6</v>
      </c>
      <c r="B142">
        <v>1774323.1116475302</v>
      </c>
      <c r="C142">
        <v>252476.47830174383</v>
      </c>
      <c r="D142">
        <v>7.0276768892782639</v>
      </c>
      <c r="E142">
        <v>1.1725398746945632E-10</v>
      </c>
      <c r="F142">
        <v>1274679.5833942548</v>
      </c>
      <c r="G142">
        <v>2273966.6399008054</v>
      </c>
      <c r="H142">
        <v>1274679.5833942548</v>
      </c>
      <c r="I142">
        <v>2273966.6399008054</v>
      </c>
      <c r="K142" s="218"/>
    </row>
    <row r="143" spans="1:11" ht="13.5" thickBot="1" x14ac:dyDescent="0.25">
      <c r="A143" s="219" t="s">
        <v>214</v>
      </c>
      <c r="B143" s="24">
        <v>-68818.902875028536</v>
      </c>
      <c r="C143" s="24">
        <v>5261.2358389855672</v>
      </c>
      <c r="D143" s="24">
        <v>-13.080368373735112</v>
      </c>
      <c r="E143" s="24">
        <v>3.155727647529567E-25</v>
      </c>
      <c r="F143" s="24">
        <v>-79230.733930520466</v>
      </c>
      <c r="G143" s="24">
        <v>-58407.071819536606</v>
      </c>
      <c r="H143" s="24">
        <v>-79230.733930520466</v>
      </c>
      <c r="I143" s="24">
        <v>-58407.071819536606</v>
      </c>
      <c r="J143" s="24"/>
      <c r="K143" s="221"/>
    </row>
  </sheetData>
  <mergeCells count="1">
    <mergeCell ref="A1:K1"/>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FF00"/>
    <pageSetUpPr fitToPage="1"/>
  </sheetPr>
  <dimension ref="A2:AE227"/>
  <sheetViews>
    <sheetView zoomScale="130" zoomScaleNormal="130" workbookViewId="0">
      <pane xSplit="1" ySplit="2" topLeftCell="B90" activePane="bottomRight" state="frozen"/>
      <selection activeCell="M35" sqref="M35"/>
      <selection pane="topRight" activeCell="M35" sqref="M35"/>
      <selection pane="bottomLeft" activeCell="M35" sqref="M35"/>
      <selection pane="bottomRight" activeCell="B116" sqref="B116"/>
    </sheetView>
  </sheetViews>
  <sheetFormatPr defaultRowHeight="12.75" x14ac:dyDescent="0.2"/>
  <cols>
    <col min="1" max="1" width="11.85546875" style="30" customWidth="1"/>
    <col min="2" max="6" width="18" style="6" customWidth="1"/>
    <col min="7" max="7" width="11.7109375" style="1" customWidth="1"/>
    <col min="8" max="8" width="13.42578125" style="1" customWidth="1"/>
    <col min="9" max="9" width="12.42578125" style="1" hidden="1" customWidth="1"/>
    <col min="10" max="10" width="12.28515625" style="97" hidden="1" customWidth="1"/>
    <col min="11" max="11" width="12.7109375" style="1" hidden="1" customWidth="1"/>
    <col min="12" max="12" width="14.85546875" style="1" hidden="1" customWidth="1"/>
    <col min="13" max="13" width="18.7109375" style="1" hidden="1" customWidth="1"/>
    <col min="14" max="14" width="10.140625" style="1" hidden="1" customWidth="1"/>
    <col min="15" max="16" width="14.85546875" style="1" hidden="1" customWidth="1"/>
    <col min="17" max="17" width="16.42578125" style="1" bestFit="1" customWidth="1"/>
    <col min="18" max="18" width="14.85546875" style="1" customWidth="1"/>
    <col min="19" max="19" width="16.42578125" style="1" bestFit="1" customWidth="1"/>
    <col min="20" max="20" width="16" style="1" customWidth="1"/>
    <col min="21" max="21" width="14.140625" style="1" customWidth="1"/>
    <col min="22" max="22" width="13" style="1" customWidth="1"/>
    <col min="23" max="23" width="22.42578125" style="1" bestFit="1" customWidth="1"/>
    <col min="24" max="24" width="18.85546875" style="1" bestFit="1" customWidth="1"/>
    <col min="25" max="25" width="42.140625" customWidth="1"/>
    <col min="26" max="26" width="15.85546875" bestFit="1" customWidth="1"/>
    <col min="27" max="27" width="15.28515625" bestFit="1" customWidth="1"/>
    <col min="28" max="28" width="13" bestFit="1" customWidth="1"/>
    <col min="29" max="29" width="17.140625" customWidth="1"/>
    <col min="30" max="30" width="17.140625" bestFit="1" customWidth="1"/>
    <col min="31" max="31" width="16" bestFit="1" customWidth="1"/>
    <col min="32" max="32" width="26.140625" bestFit="1" customWidth="1"/>
    <col min="33" max="33" width="23" bestFit="1" customWidth="1"/>
    <col min="36" max="36" width="40.7109375" bestFit="1" customWidth="1"/>
    <col min="37" max="37" width="42.85546875" bestFit="1" customWidth="1"/>
  </cols>
  <sheetData>
    <row r="2" spans="1:28" ht="38.25" x14ac:dyDescent="0.2">
      <c r="A2" s="89"/>
      <c r="B2" s="81" t="s">
        <v>60</v>
      </c>
      <c r="C2" s="82" t="s">
        <v>4</v>
      </c>
      <c r="D2" s="82" t="s">
        <v>5</v>
      </c>
      <c r="E2" s="82" t="s">
        <v>22</v>
      </c>
      <c r="F2" s="83" t="s">
        <v>6</v>
      </c>
      <c r="G2" s="82" t="s">
        <v>214</v>
      </c>
      <c r="H2" s="82" t="s">
        <v>81</v>
      </c>
      <c r="I2" s="82" t="s">
        <v>7</v>
      </c>
      <c r="J2" s="81" t="s">
        <v>0</v>
      </c>
      <c r="K2" s="88" t="s">
        <v>86</v>
      </c>
      <c r="L2" s="81" t="s">
        <v>212</v>
      </c>
      <c r="M2" s="81" t="s">
        <v>213</v>
      </c>
      <c r="N2" s="84" t="s">
        <v>8</v>
      </c>
      <c r="O2" s="82" t="s">
        <v>108</v>
      </c>
      <c r="P2" s="82" t="s">
        <v>109</v>
      </c>
      <c r="Q2" s="82" t="s">
        <v>13</v>
      </c>
      <c r="R2" s="83" t="s">
        <v>14</v>
      </c>
      <c r="S2" s="82" t="s">
        <v>15</v>
      </c>
      <c r="T2" s="82" t="s">
        <v>82</v>
      </c>
      <c r="U2"/>
      <c r="V2"/>
      <c r="W2" s="211" t="s">
        <v>23</v>
      </c>
      <c r="X2" s="212">
        <v>44623</v>
      </c>
    </row>
    <row r="3" spans="1:28" ht="13.5" thickBot="1" x14ac:dyDescent="0.25">
      <c r="A3" s="90">
        <v>40574</v>
      </c>
      <c r="B3" s="92">
        <v>83643833</v>
      </c>
      <c r="C3" s="105">
        <f>'Weather Analysis '!R8</f>
        <v>935</v>
      </c>
      <c r="D3" s="105">
        <f>+'Weather Analysis '!R28</f>
        <v>0</v>
      </c>
      <c r="E3" s="91">
        <v>0</v>
      </c>
      <c r="F3" s="91">
        <v>31</v>
      </c>
      <c r="G3" s="108">
        <v>1</v>
      </c>
      <c r="H3" s="109">
        <v>33040</v>
      </c>
      <c r="I3" s="112">
        <v>336</v>
      </c>
      <c r="J3" s="118">
        <f>'Rate Class Energy Model'!F6</f>
        <v>1.0465217405234657</v>
      </c>
      <c r="K3" s="129" t="e">
        <f>#REF!</f>
        <v>#REF!</v>
      </c>
      <c r="L3" s="93" t="e">
        <f t="shared" ref="L3:L34" si="0">K3*J3</f>
        <v>#REF!</v>
      </c>
      <c r="M3" s="93" t="e">
        <f t="shared" ref="M3:M34" si="1">B3+L3</f>
        <v>#REF!</v>
      </c>
      <c r="N3" s="110">
        <v>139.10070640604135</v>
      </c>
      <c r="O3" s="91">
        <v>189.3</v>
      </c>
      <c r="P3" s="91">
        <v>17.399999999999999</v>
      </c>
      <c r="Q3" s="108">
        <f>$X$69+C3*$X$70+D3*$X$71+E3*$X$72+F3*$X$73+G3*$X$74+ H3*$X$75</f>
        <v>81611129.080963105</v>
      </c>
      <c r="R3" s="36">
        <f t="shared" ref="R3:R34" si="2">Q3-B3</f>
        <v>-2032703.919036895</v>
      </c>
      <c r="S3" s="58">
        <f t="shared" ref="S3:S34" si="3">R3/B3</f>
        <v>-2.4301898252760547E-2</v>
      </c>
      <c r="T3" s="13">
        <f t="shared" ref="T3:T34" si="4">ABS(S3)</f>
        <v>2.4301898252760547E-2</v>
      </c>
      <c r="U3" s="113"/>
      <c r="V3" s="13"/>
      <c r="W3"/>
      <c r="X3"/>
    </row>
    <row r="4" spans="1:28" x14ac:dyDescent="0.2">
      <c r="A4" s="90">
        <v>40602</v>
      </c>
      <c r="B4" s="92">
        <v>72687185</v>
      </c>
      <c r="C4" s="105">
        <f>'Weather Analysis '!R9</f>
        <v>732.3</v>
      </c>
      <c r="D4" s="105">
        <f>+'Weather Analysis '!R29</f>
        <v>0</v>
      </c>
      <c r="E4" s="91">
        <v>0</v>
      </c>
      <c r="F4" s="91">
        <v>28</v>
      </c>
      <c r="G4" s="108">
        <v>2</v>
      </c>
      <c r="H4" s="109">
        <v>33045</v>
      </c>
      <c r="I4" s="112">
        <v>304</v>
      </c>
      <c r="J4" s="118">
        <f>J3</f>
        <v>1.0465217405234657</v>
      </c>
      <c r="K4" s="129" t="e">
        <f>#REF!</f>
        <v>#REF!</v>
      </c>
      <c r="L4" s="93" t="e">
        <f t="shared" si="0"/>
        <v>#REF!</v>
      </c>
      <c r="M4" s="93" t="e">
        <f t="shared" si="1"/>
        <v>#REF!</v>
      </c>
      <c r="N4" s="110">
        <v>139.39855831733732</v>
      </c>
      <c r="O4" s="91">
        <v>185.4</v>
      </c>
      <c r="P4" s="91">
        <v>17.600000000000001</v>
      </c>
      <c r="Q4" s="108">
        <f t="shared" ref="Q4:Q67" si="5">$X$69+C4*$X$70+D4*$X$71+E4*$X$72+F4*$X$73+G4*$X$74+ H4*$X$75</f>
        <v>69285409.518989205</v>
      </c>
      <c r="R4" s="36">
        <f t="shared" si="2"/>
        <v>-3401775.4810107946</v>
      </c>
      <c r="S4" s="58">
        <f t="shared" si="3"/>
        <v>-4.6800209431838567E-2</v>
      </c>
      <c r="T4" s="13">
        <f t="shared" si="4"/>
        <v>4.6800209431838567E-2</v>
      </c>
      <c r="U4" s="113"/>
      <c r="V4" s="13"/>
      <c r="W4" s="26" t="s">
        <v>24</v>
      </c>
      <c r="X4" s="26"/>
    </row>
    <row r="5" spans="1:28" x14ac:dyDescent="0.2">
      <c r="A5" s="90">
        <v>40633</v>
      </c>
      <c r="B5" s="92">
        <v>72688244</v>
      </c>
      <c r="C5" s="105">
        <f>'Weather Analysis '!R10</f>
        <v>699.2</v>
      </c>
      <c r="D5" s="105">
        <f>+'Weather Analysis '!R30</f>
        <v>0</v>
      </c>
      <c r="E5" s="91">
        <v>1</v>
      </c>
      <c r="F5" s="91">
        <v>31</v>
      </c>
      <c r="G5" s="108">
        <v>3</v>
      </c>
      <c r="H5" s="109">
        <v>33047</v>
      </c>
      <c r="I5" s="112">
        <v>368</v>
      </c>
      <c r="J5" s="118">
        <f t="shared" ref="J5:J14" si="6">J4</f>
        <v>1.0465217405234657</v>
      </c>
      <c r="K5" s="129" t="e">
        <f>#REF!</f>
        <v>#REF!</v>
      </c>
      <c r="L5" s="93" t="e">
        <f t="shared" si="0"/>
        <v>#REF!</v>
      </c>
      <c r="M5" s="93" t="e">
        <f t="shared" si="1"/>
        <v>#REF!</v>
      </c>
      <c r="N5" s="110">
        <v>139.69704800944226</v>
      </c>
      <c r="O5" s="91">
        <v>182.9</v>
      </c>
      <c r="P5" s="91">
        <v>18.399999999999999</v>
      </c>
      <c r="Q5" s="108">
        <f t="shared" si="5"/>
        <v>70381930.465468332</v>
      </c>
      <c r="R5" s="36">
        <f t="shared" si="2"/>
        <v>-2306313.5345316678</v>
      </c>
      <c r="S5" s="58">
        <f t="shared" si="3"/>
        <v>-3.1728838222198186E-2</v>
      </c>
      <c r="T5" s="13">
        <f t="shared" si="4"/>
        <v>3.1728838222198186E-2</v>
      </c>
      <c r="U5" s="113"/>
      <c r="V5" s="13"/>
      <c r="W5" t="s">
        <v>25</v>
      </c>
      <c r="X5" s="132">
        <v>0.97391324606790208</v>
      </c>
    </row>
    <row r="6" spans="1:28" x14ac:dyDescent="0.2">
      <c r="A6" s="90">
        <v>40663</v>
      </c>
      <c r="B6" s="92">
        <v>60902854</v>
      </c>
      <c r="C6" s="105">
        <f>'Weather Analysis '!R11</f>
        <v>444.6</v>
      </c>
      <c r="D6" s="105">
        <f>+'Weather Analysis '!R31</f>
        <v>0</v>
      </c>
      <c r="E6" s="91">
        <v>1</v>
      </c>
      <c r="F6" s="91">
        <v>30</v>
      </c>
      <c r="G6" s="108">
        <v>4</v>
      </c>
      <c r="H6" s="109">
        <v>33047</v>
      </c>
      <c r="I6" s="112">
        <v>320</v>
      </c>
      <c r="J6" s="118">
        <f t="shared" si="6"/>
        <v>1.0465217405234657</v>
      </c>
      <c r="K6" s="129" t="e">
        <f>#REF!</f>
        <v>#REF!</v>
      </c>
      <c r="L6" s="93" t="e">
        <f t="shared" si="0"/>
        <v>#REF!</v>
      </c>
      <c r="M6" s="93" t="e">
        <f t="shared" si="1"/>
        <v>#REF!</v>
      </c>
      <c r="N6" s="110">
        <v>139.99617684801592</v>
      </c>
      <c r="O6" s="91">
        <v>182.2</v>
      </c>
      <c r="P6" s="91">
        <v>19.899999999999999</v>
      </c>
      <c r="Q6" s="108">
        <f t="shared" si="5"/>
        <v>59664918.489915699</v>
      </c>
      <c r="R6" s="36">
        <f t="shared" si="2"/>
        <v>-1237935.5100843012</v>
      </c>
      <c r="S6" s="58">
        <f t="shared" si="3"/>
        <v>-2.0326395706912213E-2</v>
      </c>
      <c r="T6" s="13">
        <f t="shared" si="4"/>
        <v>2.0326395706912213E-2</v>
      </c>
      <c r="U6" s="113"/>
      <c r="V6" s="13"/>
      <c r="W6" t="s">
        <v>26</v>
      </c>
      <c r="X6" s="132">
        <v>0.94850701086651801</v>
      </c>
    </row>
    <row r="7" spans="1:28" x14ac:dyDescent="0.2">
      <c r="A7" s="90">
        <v>40694</v>
      </c>
      <c r="B7" s="92">
        <v>52597908</v>
      </c>
      <c r="C7" s="105">
        <f>'Weather Analysis '!R12</f>
        <v>221.9</v>
      </c>
      <c r="D7" s="105">
        <f>+'Weather Analysis '!R32</f>
        <v>3.2</v>
      </c>
      <c r="E7" s="91">
        <v>1</v>
      </c>
      <c r="F7" s="91">
        <v>31</v>
      </c>
      <c r="G7" s="108">
        <v>5</v>
      </c>
      <c r="H7" s="109">
        <v>33046</v>
      </c>
      <c r="I7" s="112">
        <v>336</v>
      </c>
      <c r="J7" s="118">
        <f t="shared" si="6"/>
        <v>1.0465217405234657</v>
      </c>
      <c r="K7" s="129" t="e">
        <f>#REF!</f>
        <v>#REF!</v>
      </c>
      <c r="L7" s="93" t="e">
        <f t="shared" si="0"/>
        <v>#REF!</v>
      </c>
      <c r="M7" s="93" t="e">
        <f t="shared" si="1"/>
        <v>#REF!</v>
      </c>
      <c r="N7" s="110">
        <v>140.29594620164227</v>
      </c>
      <c r="O7" s="91">
        <v>186.5</v>
      </c>
      <c r="P7" s="91">
        <v>20.2</v>
      </c>
      <c r="Q7" s="108">
        <f t="shared" si="5"/>
        <v>53891241.72841046</v>
      </c>
      <c r="R7" s="36">
        <f t="shared" si="2"/>
        <v>1293333.7284104601</v>
      </c>
      <c r="S7" s="58">
        <f t="shared" si="3"/>
        <v>2.4589071649208177E-2</v>
      </c>
      <c r="T7" s="13">
        <f t="shared" si="4"/>
        <v>2.4589071649208177E-2</v>
      </c>
      <c r="U7" s="113"/>
      <c r="V7" s="13"/>
      <c r="W7" t="s">
        <v>27</v>
      </c>
      <c r="X7" s="249">
        <v>0.94577286985058096</v>
      </c>
    </row>
    <row r="8" spans="1:28" x14ac:dyDescent="0.2">
      <c r="A8" s="90">
        <v>40724</v>
      </c>
      <c r="B8" s="92">
        <v>48777799</v>
      </c>
      <c r="C8" s="105">
        <f>'Weather Analysis '!R13</f>
        <v>99.4</v>
      </c>
      <c r="D8" s="105">
        <f>+'Weather Analysis '!R33</f>
        <v>2.7</v>
      </c>
      <c r="E8" s="91">
        <v>0</v>
      </c>
      <c r="F8" s="91">
        <v>30</v>
      </c>
      <c r="G8" s="108">
        <v>6</v>
      </c>
      <c r="H8" s="109">
        <v>33056</v>
      </c>
      <c r="I8" s="112">
        <v>352</v>
      </c>
      <c r="J8" s="118">
        <f t="shared" si="6"/>
        <v>1.0465217405234657</v>
      </c>
      <c r="K8" s="129" t="e">
        <f>#REF!</f>
        <v>#REF!</v>
      </c>
      <c r="L8" s="93" t="e">
        <f t="shared" si="0"/>
        <v>#REF!</v>
      </c>
      <c r="M8" s="93" t="e">
        <f t="shared" si="1"/>
        <v>#REF!</v>
      </c>
      <c r="N8" s="110">
        <v>140.59635744183578</v>
      </c>
      <c r="O8" s="91">
        <v>193</v>
      </c>
      <c r="P8" s="91">
        <v>19.3</v>
      </c>
      <c r="Q8" s="108">
        <f t="shared" si="5"/>
        <v>50569604.929630913</v>
      </c>
      <c r="R8" s="36">
        <f t="shared" si="2"/>
        <v>1791805.9296309128</v>
      </c>
      <c r="S8" s="58">
        <f t="shared" si="3"/>
        <v>3.6734046356435901E-2</v>
      </c>
      <c r="T8" s="13">
        <f t="shared" si="4"/>
        <v>3.6734046356435901E-2</v>
      </c>
      <c r="U8" s="113"/>
      <c r="V8" s="13"/>
      <c r="W8" t="s">
        <v>28</v>
      </c>
      <c r="X8">
        <v>2268628.0098441052</v>
      </c>
    </row>
    <row r="9" spans="1:28" ht="13.5" thickBot="1" x14ac:dyDescent="0.25">
      <c r="A9" s="90">
        <v>40755</v>
      </c>
      <c r="B9" s="92">
        <v>54638457</v>
      </c>
      <c r="C9" s="105">
        <f>'Weather Analysis '!R14</f>
        <v>14</v>
      </c>
      <c r="D9" s="105">
        <f>+'Weather Analysis '!R34</f>
        <v>73.599999999999994</v>
      </c>
      <c r="E9" s="91">
        <v>0</v>
      </c>
      <c r="F9" s="91">
        <v>31</v>
      </c>
      <c r="G9" s="108">
        <v>7</v>
      </c>
      <c r="H9" s="109">
        <v>33071</v>
      </c>
      <c r="I9" s="112">
        <v>320</v>
      </c>
      <c r="J9" s="118">
        <f t="shared" si="6"/>
        <v>1.0465217405234657</v>
      </c>
      <c r="K9" s="129" t="e">
        <f>#REF!</f>
        <v>#REF!</v>
      </c>
      <c r="L9" s="93" t="e">
        <f t="shared" si="0"/>
        <v>#REF!</v>
      </c>
      <c r="M9" s="93" t="e">
        <f t="shared" si="1"/>
        <v>#REF!</v>
      </c>
      <c r="N9" s="110">
        <v>140.89741194304773</v>
      </c>
      <c r="O9" s="91">
        <v>198.4</v>
      </c>
      <c r="P9" s="91">
        <v>17.8</v>
      </c>
      <c r="Q9" s="108">
        <f t="shared" si="5"/>
        <v>57940637.01002384</v>
      </c>
      <c r="R9" s="36">
        <f t="shared" si="2"/>
        <v>3302180.0100238398</v>
      </c>
      <c r="S9" s="58">
        <f t="shared" si="3"/>
        <v>6.0436919183567715E-2</v>
      </c>
      <c r="T9" s="13">
        <f t="shared" si="4"/>
        <v>6.0436919183567715E-2</v>
      </c>
      <c r="U9" s="113"/>
      <c r="V9" s="13"/>
      <c r="W9" s="24" t="s">
        <v>29</v>
      </c>
      <c r="X9" s="24">
        <v>120</v>
      </c>
    </row>
    <row r="10" spans="1:28" x14ac:dyDescent="0.2">
      <c r="A10" s="90">
        <v>40786</v>
      </c>
      <c r="B10" s="92">
        <v>54146196</v>
      </c>
      <c r="C10" s="105">
        <f>'Weather Analysis '!R15</f>
        <v>24.2</v>
      </c>
      <c r="D10" s="105">
        <f>+'Weather Analysis '!R35</f>
        <v>35.4</v>
      </c>
      <c r="E10" s="91">
        <v>0</v>
      </c>
      <c r="F10" s="91">
        <v>31</v>
      </c>
      <c r="G10" s="108">
        <v>8</v>
      </c>
      <c r="H10" s="109">
        <v>33098</v>
      </c>
      <c r="I10" s="112">
        <v>352</v>
      </c>
      <c r="J10" s="118">
        <f t="shared" si="6"/>
        <v>1.0465217405234657</v>
      </c>
      <c r="K10" s="129" t="e">
        <f>#REF!</f>
        <v>#REF!</v>
      </c>
      <c r="L10" s="93" t="e">
        <f t="shared" si="0"/>
        <v>#REF!</v>
      </c>
      <c r="M10" s="93" t="e">
        <f t="shared" si="1"/>
        <v>#REF!</v>
      </c>
      <c r="N10" s="110">
        <v>141.19911108267243</v>
      </c>
      <c r="O10" s="91">
        <v>200.6</v>
      </c>
      <c r="P10" s="91">
        <v>16.899999999999999</v>
      </c>
      <c r="Q10" s="108">
        <f t="shared" si="5"/>
        <v>53533313.008986689</v>
      </c>
      <c r="R10" s="36">
        <f t="shared" si="2"/>
        <v>-612882.99101331085</v>
      </c>
      <c r="S10" s="58">
        <f t="shared" si="3"/>
        <v>-1.1319040602839595E-2</v>
      </c>
      <c r="T10" s="13">
        <f t="shared" si="4"/>
        <v>1.1319040602839595E-2</v>
      </c>
      <c r="U10" s="113"/>
      <c r="V10" s="13"/>
      <c r="W10"/>
      <c r="X10"/>
    </row>
    <row r="11" spans="1:28" ht="13.5" thickBot="1" x14ac:dyDescent="0.25">
      <c r="A11" s="90">
        <v>40816</v>
      </c>
      <c r="B11" s="92">
        <v>52585712</v>
      </c>
      <c r="C11" s="105">
        <f>'Weather Analysis '!R16</f>
        <v>129.6</v>
      </c>
      <c r="D11" s="105">
        <f>+'Weather Analysis '!R36</f>
        <v>11</v>
      </c>
      <c r="E11" s="91">
        <v>1</v>
      </c>
      <c r="F11" s="91">
        <v>30</v>
      </c>
      <c r="G11" s="108">
        <v>9</v>
      </c>
      <c r="H11" s="109">
        <v>33126</v>
      </c>
      <c r="I11" s="112">
        <v>336</v>
      </c>
      <c r="J11" s="118">
        <f t="shared" si="6"/>
        <v>1.0465217405234657</v>
      </c>
      <c r="K11" s="129" t="e">
        <f>#REF!</f>
        <v>#REF!</v>
      </c>
      <c r="L11" s="93" t="e">
        <f t="shared" si="0"/>
        <v>#REF!</v>
      </c>
      <c r="M11" s="93" t="e">
        <f t="shared" si="1"/>
        <v>#REF!</v>
      </c>
      <c r="N11" s="110">
        <v>141.50145624105357</v>
      </c>
      <c r="O11" s="91">
        <v>200.6</v>
      </c>
      <c r="P11" s="91">
        <v>16.399999999999999</v>
      </c>
      <c r="Q11" s="108">
        <f t="shared" si="5"/>
        <v>49628688.850074343</v>
      </c>
      <c r="R11" s="36">
        <f t="shared" si="2"/>
        <v>-2957023.1499256566</v>
      </c>
      <c r="S11" s="58">
        <f t="shared" si="3"/>
        <v>-5.6232444849765591E-2</v>
      </c>
      <c r="T11" s="13">
        <f t="shared" si="4"/>
        <v>5.6232444849765591E-2</v>
      </c>
      <c r="U11" s="113"/>
      <c r="V11" s="13"/>
      <c r="W11" t="s">
        <v>30</v>
      </c>
      <c r="X11"/>
    </row>
    <row r="12" spans="1:28" x14ac:dyDescent="0.2">
      <c r="A12" s="90">
        <v>40847</v>
      </c>
      <c r="B12" s="92">
        <v>56921149</v>
      </c>
      <c r="C12" s="105">
        <f>'Weather Analysis '!R17</f>
        <v>269.5</v>
      </c>
      <c r="D12" s="105">
        <f>+'Weather Analysis '!R37</f>
        <v>1.5</v>
      </c>
      <c r="E12" s="91">
        <v>1</v>
      </c>
      <c r="F12" s="91">
        <v>31</v>
      </c>
      <c r="G12" s="108">
        <v>10</v>
      </c>
      <c r="H12" s="109">
        <v>33143</v>
      </c>
      <c r="I12" s="112">
        <v>320</v>
      </c>
      <c r="J12" s="118">
        <f t="shared" si="6"/>
        <v>1.0465217405234657</v>
      </c>
      <c r="K12" s="129" t="e">
        <f>#REF!</f>
        <v>#REF!</v>
      </c>
      <c r="L12" s="93" t="e">
        <f t="shared" si="0"/>
        <v>#REF!</v>
      </c>
      <c r="M12" s="93" t="e">
        <f t="shared" si="1"/>
        <v>#REF!</v>
      </c>
      <c r="N12" s="110">
        <v>141.80444880149057</v>
      </c>
      <c r="O12" s="91">
        <v>200.2</v>
      </c>
      <c r="P12" s="91">
        <v>15.5</v>
      </c>
      <c r="Q12" s="108">
        <f t="shared" si="5"/>
        <v>55018888.669840239</v>
      </c>
      <c r="R12" s="36">
        <f t="shared" si="2"/>
        <v>-1902260.330159761</v>
      </c>
      <c r="S12" s="58">
        <f t="shared" si="3"/>
        <v>-3.3419218753995304E-2</v>
      </c>
      <c r="T12" s="13">
        <f t="shared" si="4"/>
        <v>3.3419218753995304E-2</v>
      </c>
      <c r="U12" s="113"/>
      <c r="V12" s="13"/>
      <c r="W12" s="25"/>
      <c r="X12" s="25" t="s">
        <v>34</v>
      </c>
      <c r="Y12" s="25" t="s">
        <v>35</v>
      </c>
      <c r="Z12" s="25" t="s">
        <v>36</v>
      </c>
      <c r="AA12" s="25" t="s">
        <v>37</v>
      </c>
      <c r="AB12" s="25" t="s">
        <v>38</v>
      </c>
    </row>
    <row r="13" spans="1:28" x14ac:dyDescent="0.2">
      <c r="A13" s="90">
        <v>40877</v>
      </c>
      <c r="B13" s="92">
        <v>61640573</v>
      </c>
      <c r="C13" s="105">
        <f>'Weather Analysis '!R18</f>
        <v>428.9</v>
      </c>
      <c r="D13" s="105">
        <f>+'Weather Analysis '!R38</f>
        <v>0</v>
      </c>
      <c r="E13" s="91">
        <v>1</v>
      </c>
      <c r="F13" s="91">
        <v>30</v>
      </c>
      <c r="G13" s="108">
        <v>11</v>
      </c>
      <c r="H13" s="109">
        <v>33199</v>
      </c>
      <c r="I13" s="112">
        <v>352</v>
      </c>
      <c r="J13" s="118">
        <f t="shared" si="6"/>
        <v>1.0465217405234657</v>
      </c>
      <c r="K13" s="129" t="e">
        <f>#REF!</f>
        <v>#REF!</v>
      </c>
      <c r="L13" s="93" t="e">
        <f t="shared" si="0"/>
        <v>#REF!</v>
      </c>
      <c r="M13" s="93" t="e">
        <f t="shared" si="1"/>
        <v>#REF!</v>
      </c>
      <c r="N13" s="110">
        <v>142.10809015024478</v>
      </c>
      <c r="O13" s="91">
        <v>198</v>
      </c>
      <c r="P13" s="91">
        <v>14.6</v>
      </c>
      <c r="Q13" s="108">
        <f t="shared" si="5"/>
        <v>58645654.57335519</v>
      </c>
      <c r="R13" s="36">
        <f t="shared" si="2"/>
        <v>-2994918.4266448095</v>
      </c>
      <c r="S13" s="58">
        <f t="shared" si="3"/>
        <v>-4.8586803802826581E-2</v>
      </c>
      <c r="T13" s="13">
        <f t="shared" si="4"/>
        <v>4.8586803802826581E-2</v>
      </c>
      <c r="U13" s="113"/>
      <c r="V13" s="13"/>
      <c r="W13" t="s">
        <v>31</v>
      </c>
      <c r="X13">
        <v>6</v>
      </c>
      <c r="Y13">
        <v>1.0712663551680334E+16</v>
      </c>
      <c r="Z13">
        <v>1785443925280055.8</v>
      </c>
      <c r="AA13">
        <v>346.91224971124115</v>
      </c>
      <c r="AB13">
        <v>2.480062872884213E-70</v>
      </c>
    </row>
    <row r="14" spans="1:28" x14ac:dyDescent="0.2">
      <c r="A14" s="90">
        <v>40908</v>
      </c>
      <c r="B14" s="92">
        <v>73819284</v>
      </c>
      <c r="C14" s="105">
        <f>'Weather Analysis '!R19</f>
        <v>650.4</v>
      </c>
      <c r="D14" s="105">
        <f>+'Weather Analysis '!R39</f>
        <v>0</v>
      </c>
      <c r="E14" s="91">
        <v>0</v>
      </c>
      <c r="F14" s="91">
        <v>31</v>
      </c>
      <c r="G14" s="108">
        <v>12</v>
      </c>
      <c r="H14" s="109">
        <v>33248</v>
      </c>
      <c r="I14" s="112">
        <v>336</v>
      </c>
      <c r="J14" s="118">
        <f t="shared" si="6"/>
        <v>1.0465217405234657</v>
      </c>
      <c r="K14" s="129" t="e">
        <f>#REF!</f>
        <v>#REF!</v>
      </c>
      <c r="L14" s="93" t="e">
        <f t="shared" si="0"/>
        <v>#REF!</v>
      </c>
      <c r="M14" s="93" t="e">
        <f t="shared" si="1"/>
        <v>#REF!</v>
      </c>
      <c r="N14" s="110">
        <v>142.41238167654581</v>
      </c>
      <c r="O14" s="91">
        <v>197.3</v>
      </c>
      <c r="P14" s="91">
        <v>14.1</v>
      </c>
      <c r="Q14" s="108">
        <f t="shared" si="5"/>
        <v>70887720.644545391</v>
      </c>
      <c r="R14" s="36">
        <f t="shared" si="2"/>
        <v>-2931563.3554546088</v>
      </c>
      <c r="S14" s="58">
        <f t="shared" si="3"/>
        <v>-3.9712703735444096E-2</v>
      </c>
      <c r="T14" s="13">
        <f t="shared" si="4"/>
        <v>3.9712703735444096E-2</v>
      </c>
      <c r="U14" s="113"/>
      <c r="V14" s="13"/>
      <c r="W14" t="s">
        <v>32</v>
      </c>
      <c r="X14">
        <v>113</v>
      </c>
      <c r="Y14">
        <v>581574054316562.63</v>
      </c>
      <c r="Z14">
        <v>5146673047049.2266</v>
      </c>
    </row>
    <row r="15" spans="1:28" ht="13.5" thickBot="1" x14ac:dyDescent="0.25">
      <c r="A15" s="90">
        <v>40939</v>
      </c>
      <c r="B15" s="92">
        <v>73790226</v>
      </c>
      <c r="C15" s="105">
        <f>+'Weather Analysis '!S8</f>
        <v>756.79999999999973</v>
      </c>
      <c r="D15" s="105">
        <f>'Weather Analysis '!S28</f>
        <v>0</v>
      </c>
      <c r="E15" s="91">
        <v>0</v>
      </c>
      <c r="F15" s="91">
        <v>31</v>
      </c>
      <c r="G15" s="108">
        <v>13</v>
      </c>
      <c r="H15" s="109">
        <f>33198+5</f>
        <v>33203</v>
      </c>
      <c r="I15" s="112">
        <v>336</v>
      </c>
      <c r="J15" s="118">
        <f>'Rate Class Energy Model'!F7</f>
        <v>1.0446059893380324</v>
      </c>
      <c r="K15" s="129" t="e">
        <f>#REF!</f>
        <v>#REF!</v>
      </c>
      <c r="L15" s="93" t="e">
        <f t="shared" si="0"/>
        <v>#REF!</v>
      </c>
      <c r="M15" s="93" t="e">
        <f t="shared" si="1"/>
        <v>#REF!</v>
      </c>
      <c r="N15" s="110">
        <v>142.61257743956915</v>
      </c>
      <c r="O15" s="91">
        <v>196.5</v>
      </c>
      <c r="P15" s="91">
        <v>15</v>
      </c>
      <c r="Q15" s="108">
        <f t="shared" si="5"/>
        <v>74558152.530764639</v>
      </c>
      <c r="R15" s="36">
        <f t="shared" si="2"/>
        <v>767926.53076463938</v>
      </c>
      <c r="S15" s="58">
        <f t="shared" si="3"/>
        <v>1.0406886824884361E-2</v>
      </c>
      <c r="T15" s="13">
        <f t="shared" si="4"/>
        <v>1.0406886824884361E-2</v>
      </c>
      <c r="U15" s="113"/>
      <c r="V15" s="13"/>
      <c r="W15" s="24" t="s">
        <v>12</v>
      </c>
      <c r="X15" s="24">
        <v>119</v>
      </c>
      <c r="Y15" s="24">
        <v>1.1294237605996896E+16</v>
      </c>
      <c r="Z15" s="24"/>
      <c r="AA15" s="24"/>
      <c r="AB15" s="24"/>
    </row>
    <row r="16" spans="1:28" ht="13.5" thickBot="1" x14ac:dyDescent="0.25">
      <c r="A16" s="90">
        <v>40968</v>
      </c>
      <c r="B16" s="92">
        <v>68046427</v>
      </c>
      <c r="C16" s="105">
        <f>+'Weather Analysis '!S9</f>
        <v>622.6</v>
      </c>
      <c r="D16" s="105">
        <f>'Weather Analysis '!S29</f>
        <v>0</v>
      </c>
      <c r="E16" s="91">
        <v>0</v>
      </c>
      <c r="F16" s="91">
        <v>29</v>
      </c>
      <c r="G16" s="108">
        <v>14</v>
      </c>
      <c r="H16" s="109">
        <f>33198+5</f>
        <v>33203</v>
      </c>
      <c r="I16" s="112">
        <v>320</v>
      </c>
      <c r="J16" s="118">
        <f>J15</f>
        <v>1.0446059893380324</v>
      </c>
      <c r="K16" s="129" t="e">
        <f>#REF!</f>
        <v>#REF!</v>
      </c>
      <c r="L16" s="93" t="e">
        <f t="shared" si="0"/>
        <v>#REF!</v>
      </c>
      <c r="M16" s="93" t="e">
        <f t="shared" si="1"/>
        <v>#REF!</v>
      </c>
      <c r="N16" s="110">
        <v>142.81305462716429</v>
      </c>
      <c r="O16" s="91">
        <v>198.1</v>
      </c>
      <c r="P16" s="91">
        <v>15.7</v>
      </c>
      <c r="Q16" s="108">
        <f t="shared" si="5"/>
        <v>66351922.742816128</v>
      </c>
      <c r="R16" s="36">
        <f t="shared" si="2"/>
        <v>-1694504.2571838722</v>
      </c>
      <c r="S16" s="58">
        <f t="shared" si="3"/>
        <v>-2.4902178290476178E-2</v>
      </c>
      <c r="T16" s="13">
        <f t="shared" si="4"/>
        <v>2.4902178290476178E-2</v>
      </c>
      <c r="U16" s="113"/>
      <c r="V16" s="13"/>
      <c r="W16"/>
      <c r="X16"/>
    </row>
    <row r="17" spans="1:31" x14ac:dyDescent="0.2">
      <c r="A17" s="90">
        <v>40999</v>
      </c>
      <c r="B17" s="92">
        <v>64860708</v>
      </c>
      <c r="C17" s="105">
        <f>+'Weather Analysis '!S10</f>
        <v>479.7000000000001</v>
      </c>
      <c r="D17" s="105">
        <f>'Weather Analysis '!S30</f>
        <v>0</v>
      </c>
      <c r="E17" s="91">
        <v>1</v>
      </c>
      <c r="F17" s="91">
        <v>31</v>
      </c>
      <c r="G17" s="108">
        <v>15</v>
      </c>
      <c r="H17" s="109">
        <f>33198+5</f>
        <v>33203</v>
      </c>
      <c r="I17" s="112">
        <v>352</v>
      </c>
      <c r="J17" s="118">
        <f t="shared" ref="J17:J26" si="7">J16</f>
        <v>1.0446059893380324</v>
      </c>
      <c r="K17" s="129" t="e">
        <f>#REF!</f>
        <v>#REF!</v>
      </c>
      <c r="L17" s="93" t="e">
        <f t="shared" si="0"/>
        <v>#REF!</v>
      </c>
      <c r="M17" s="93" t="e">
        <f t="shared" si="1"/>
        <v>#REF!</v>
      </c>
      <c r="N17" s="110">
        <v>143.01381363494295</v>
      </c>
      <c r="O17" s="91">
        <v>195.9</v>
      </c>
      <c r="P17" s="91">
        <v>17.899999999999999</v>
      </c>
      <c r="Q17" s="108">
        <f t="shared" si="5"/>
        <v>61879697.672929429</v>
      </c>
      <c r="R17" s="36">
        <f t="shared" si="2"/>
        <v>-2981010.3270705715</v>
      </c>
      <c r="S17" s="58">
        <f t="shared" si="3"/>
        <v>-4.596018790097961E-2</v>
      </c>
      <c r="T17" s="13">
        <f t="shared" si="4"/>
        <v>4.596018790097961E-2</v>
      </c>
      <c r="U17" s="113"/>
      <c r="V17" s="13"/>
      <c r="W17" s="25"/>
      <c r="X17" s="25" t="s">
        <v>39</v>
      </c>
      <c r="Y17" s="25" t="s">
        <v>28</v>
      </c>
      <c r="Z17" s="25" t="s">
        <v>40</v>
      </c>
      <c r="AA17" s="25" t="s">
        <v>41</v>
      </c>
      <c r="AB17" s="25" t="s">
        <v>42</v>
      </c>
      <c r="AC17" s="25" t="s">
        <v>43</v>
      </c>
      <c r="AD17" s="25" t="s">
        <v>216</v>
      </c>
      <c r="AE17" s="25" t="s">
        <v>217</v>
      </c>
    </row>
    <row r="18" spans="1:31" x14ac:dyDescent="0.2">
      <c r="A18" s="90">
        <v>41029</v>
      </c>
      <c r="B18" s="92">
        <v>55490558</v>
      </c>
      <c r="C18" s="105">
        <f>+'Weather Analysis '!S11</f>
        <v>437.50000000000006</v>
      </c>
      <c r="D18" s="105">
        <f>'Weather Analysis '!S31</f>
        <v>0</v>
      </c>
      <c r="E18" s="91">
        <v>1</v>
      </c>
      <c r="F18" s="91">
        <v>30</v>
      </c>
      <c r="G18" s="108">
        <v>16</v>
      </c>
      <c r="H18" s="109">
        <f>33205+5</f>
        <v>33210</v>
      </c>
      <c r="I18" s="112">
        <v>320</v>
      </c>
      <c r="J18" s="118">
        <f t="shared" si="7"/>
        <v>1.0446059893380324</v>
      </c>
      <c r="K18" s="129" t="e">
        <f>#REF!</f>
        <v>#REF!</v>
      </c>
      <c r="L18" s="93" t="e">
        <f t="shared" si="0"/>
        <v>#REF!</v>
      </c>
      <c r="M18" s="93" t="e">
        <f t="shared" si="1"/>
        <v>#REF!</v>
      </c>
      <c r="N18" s="110">
        <v>143.21485485907297</v>
      </c>
      <c r="O18" s="91">
        <v>194.4</v>
      </c>
      <c r="P18" s="91">
        <v>17.600000000000001</v>
      </c>
      <c r="Q18" s="108">
        <f t="shared" si="5"/>
        <v>58617250.314760335</v>
      </c>
      <c r="R18" s="36">
        <f t="shared" si="2"/>
        <v>3126692.3147603348</v>
      </c>
      <c r="S18" s="58">
        <f t="shared" si="3"/>
        <v>5.6346384456258933E-2</v>
      </c>
      <c r="T18" s="13">
        <f t="shared" si="4"/>
        <v>5.6346384456258933E-2</v>
      </c>
      <c r="U18" s="113"/>
      <c r="V18" s="13"/>
      <c r="W18" t="s">
        <v>33</v>
      </c>
      <c r="X18" s="130">
        <v>148176058.49253801</v>
      </c>
      <c r="Y18">
        <v>90431199.530100733</v>
      </c>
      <c r="Z18">
        <v>1.638550182486703</v>
      </c>
      <c r="AA18">
        <v>0.10408846019948409</v>
      </c>
      <c r="AB18">
        <v>-30984457.894805998</v>
      </c>
      <c r="AC18">
        <v>327336574.87988198</v>
      </c>
      <c r="AD18">
        <v>-30984457.894805998</v>
      </c>
      <c r="AE18">
        <v>327336574.87988198</v>
      </c>
    </row>
    <row r="19" spans="1:31" x14ac:dyDescent="0.2">
      <c r="A19" s="90">
        <v>41060</v>
      </c>
      <c r="B19" s="92">
        <v>50211578</v>
      </c>
      <c r="C19" s="105">
        <f>+'Weather Analysis '!S12</f>
        <v>188.29999999999998</v>
      </c>
      <c r="D19" s="105">
        <f>'Weather Analysis '!S32</f>
        <v>10.95</v>
      </c>
      <c r="E19" s="91">
        <v>1</v>
      </c>
      <c r="F19" s="91">
        <v>31</v>
      </c>
      <c r="G19" s="108">
        <v>17</v>
      </c>
      <c r="H19" s="109">
        <f>33205+5</f>
        <v>33210</v>
      </c>
      <c r="I19" s="112">
        <v>352</v>
      </c>
      <c r="J19" s="118">
        <f t="shared" si="7"/>
        <v>1.0446059893380324</v>
      </c>
      <c r="K19" s="129" t="e">
        <f>#REF!</f>
        <v>#REF!</v>
      </c>
      <c r="L19" s="93" t="e">
        <f t="shared" si="0"/>
        <v>#REF!</v>
      </c>
      <c r="M19" s="93" t="e">
        <f t="shared" si="1"/>
        <v>#REF!</v>
      </c>
      <c r="N19" s="110">
        <v>143.41617869627913</v>
      </c>
      <c r="O19" s="91">
        <v>192.8</v>
      </c>
      <c r="P19" s="91">
        <v>18.2</v>
      </c>
      <c r="Q19" s="108">
        <f t="shared" si="5"/>
        <v>52866598.147102349</v>
      </c>
      <c r="R19" s="36">
        <f t="shared" si="2"/>
        <v>2655020.1471023485</v>
      </c>
      <c r="S19" s="58">
        <f t="shared" si="3"/>
        <v>5.2876652215597536E-2</v>
      </c>
      <c r="T19" s="13">
        <f t="shared" si="4"/>
        <v>5.2876652215597536E-2</v>
      </c>
      <c r="U19" s="113"/>
      <c r="V19" s="13"/>
      <c r="W19" t="s">
        <v>4</v>
      </c>
      <c r="X19" s="130">
        <v>34999.659447481979</v>
      </c>
      <c r="Y19">
        <v>998.46392970550994</v>
      </c>
      <c r="Z19">
        <v>35.053504093838313</v>
      </c>
      <c r="AA19">
        <v>1.5090990535721882E-62</v>
      </c>
      <c r="AB19">
        <v>33021.522320365439</v>
      </c>
      <c r="AC19">
        <v>36977.79657459852</v>
      </c>
      <c r="AD19">
        <v>33021.522320365439</v>
      </c>
      <c r="AE19">
        <v>36977.79657459852</v>
      </c>
    </row>
    <row r="20" spans="1:31" x14ac:dyDescent="0.2">
      <c r="A20" s="90">
        <v>41090</v>
      </c>
      <c r="B20" s="92">
        <v>50441593</v>
      </c>
      <c r="C20" s="105">
        <f>+'Weather Analysis '!S13</f>
        <v>59.062499999999993</v>
      </c>
      <c r="D20" s="105">
        <f>'Weather Analysis '!S33</f>
        <v>33.662499999999994</v>
      </c>
      <c r="E20" s="91">
        <v>0</v>
      </c>
      <c r="F20" s="91">
        <v>30</v>
      </c>
      <c r="G20" s="108">
        <v>18</v>
      </c>
      <c r="H20" s="109">
        <f>33205+5</f>
        <v>33210</v>
      </c>
      <c r="I20" s="112">
        <v>336</v>
      </c>
      <c r="J20" s="118">
        <f t="shared" si="7"/>
        <v>1.0446059893380324</v>
      </c>
      <c r="K20" s="129" t="e">
        <f>#REF!</f>
        <v>#REF!</v>
      </c>
      <c r="L20" s="93" t="e">
        <f t="shared" si="0"/>
        <v>#REF!</v>
      </c>
      <c r="M20" s="93" t="e">
        <f t="shared" si="1"/>
        <v>#REF!</v>
      </c>
      <c r="N20" s="110">
        <v>143.61778554384387</v>
      </c>
      <c r="O20" s="91">
        <v>193.4</v>
      </c>
      <c r="P20" s="91">
        <v>17.399999999999999</v>
      </c>
      <c r="Q20" s="108">
        <f t="shared" si="5"/>
        <v>52163817.402990751</v>
      </c>
      <c r="R20" s="36">
        <f t="shared" si="2"/>
        <v>1722224.402990751</v>
      </c>
      <c r="S20" s="58">
        <f t="shared" si="3"/>
        <v>3.4142942372790468E-2</v>
      </c>
      <c r="T20" s="13">
        <f t="shared" si="4"/>
        <v>3.4142942372790468E-2</v>
      </c>
      <c r="U20" s="113"/>
      <c r="V20" s="13"/>
      <c r="W20" t="s">
        <v>5</v>
      </c>
      <c r="X20" s="130">
        <v>118261.10840906332</v>
      </c>
      <c r="Y20">
        <v>19291.319086227333</v>
      </c>
      <c r="Z20">
        <v>6.1302758966593203</v>
      </c>
      <c r="AA20">
        <v>1.3187803087040502E-8</v>
      </c>
      <c r="AB20">
        <v>80041.525928228526</v>
      </c>
      <c r="AC20">
        <v>156480.69088989811</v>
      </c>
      <c r="AD20">
        <v>80041.525928228526</v>
      </c>
      <c r="AE20">
        <v>156480.69088989811</v>
      </c>
    </row>
    <row r="21" spans="1:31" x14ac:dyDescent="0.2">
      <c r="A21" s="90">
        <v>41121</v>
      </c>
      <c r="B21" s="92">
        <v>52218431</v>
      </c>
      <c r="C21" s="105">
        <f>+'Weather Analysis '!S14</f>
        <v>9.5</v>
      </c>
      <c r="D21" s="105">
        <f>'Weather Analysis '!S34</f>
        <v>68.674999999999997</v>
      </c>
      <c r="E21" s="91">
        <v>0</v>
      </c>
      <c r="F21" s="91">
        <v>31</v>
      </c>
      <c r="G21" s="108">
        <v>19</v>
      </c>
      <c r="H21" s="109">
        <f>33207+5</f>
        <v>33212</v>
      </c>
      <c r="I21" s="112">
        <v>336</v>
      </c>
      <c r="J21" s="118">
        <f t="shared" si="7"/>
        <v>1.0446059893380324</v>
      </c>
      <c r="K21" s="129" t="e">
        <f>#REF!</f>
        <v>#REF!</v>
      </c>
      <c r="L21" s="93" t="e">
        <f t="shared" si="0"/>
        <v>#REF!</v>
      </c>
      <c r="M21" s="93" t="e">
        <f t="shared" si="1"/>
        <v>#REF!</v>
      </c>
      <c r="N21" s="110">
        <v>143.81967579960809</v>
      </c>
      <c r="O21" s="91">
        <v>194.2</v>
      </c>
      <c r="P21" s="91">
        <v>18.7</v>
      </c>
      <c r="Q21" s="108">
        <f t="shared" si="5"/>
        <v>56379445.384506449</v>
      </c>
      <c r="R21" s="36">
        <f t="shared" si="2"/>
        <v>4161014.3845064491</v>
      </c>
      <c r="S21" s="58">
        <f t="shared" si="3"/>
        <v>7.968478379801279E-2</v>
      </c>
      <c r="T21" s="13">
        <f t="shared" si="4"/>
        <v>7.968478379801279E-2</v>
      </c>
      <c r="U21" s="113"/>
      <c r="V21" s="13"/>
      <c r="W21" t="s">
        <v>22</v>
      </c>
      <c r="X21" s="130">
        <v>-2832930.880299014</v>
      </c>
      <c r="Y21">
        <v>477717.5391526405</v>
      </c>
      <c r="Z21">
        <v>-5.9301378913656233</v>
      </c>
      <c r="AA21">
        <v>3.3643594181355627E-8</v>
      </c>
      <c r="AB21">
        <v>-3779375.4862161302</v>
      </c>
      <c r="AC21">
        <v>-1886486.2743818979</v>
      </c>
      <c r="AD21">
        <v>-3779375.4862161302</v>
      </c>
      <c r="AE21">
        <v>-1886486.2743818979</v>
      </c>
    </row>
    <row r="22" spans="1:31" x14ac:dyDescent="0.2">
      <c r="A22" s="90">
        <v>41152</v>
      </c>
      <c r="B22" s="92">
        <v>51797361</v>
      </c>
      <c r="C22" s="105">
        <f>+'Weather Analysis '!S15</f>
        <v>34.299999999999997</v>
      </c>
      <c r="D22" s="105">
        <f>'Weather Analysis '!S35</f>
        <v>37.699999999999996</v>
      </c>
      <c r="E22" s="91">
        <v>0</v>
      </c>
      <c r="F22" s="91">
        <v>31</v>
      </c>
      <c r="G22" s="108">
        <v>20</v>
      </c>
      <c r="H22" s="109">
        <f>33207+5</f>
        <v>33212</v>
      </c>
      <c r="I22" s="112">
        <v>352</v>
      </c>
      <c r="J22" s="118">
        <f t="shared" si="7"/>
        <v>1.0446059893380324</v>
      </c>
      <c r="K22" s="129" t="e">
        <f>#REF!</f>
        <v>#REF!</v>
      </c>
      <c r="L22" s="93" t="e">
        <f t="shared" si="0"/>
        <v>#REF!</v>
      </c>
      <c r="M22" s="93" t="e">
        <f t="shared" si="1"/>
        <v>#REF!</v>
      </c>
      <c r="N22" s="110">
        <v>144.02184986197204</v>
      </c>
      <c r="O22" s="91">
        <v>192.2</v>
      </c>
      <c r="P22" s="91">
        <v>19.899999999999999</v>
      </c>
      <c r="Q22" s="108">
        <f t="shared" si="5"/>
        <v>53374317.690743461</v>
      </c>
      <c r="R22" s="36">
        <f t="shared" si="2"/>
        <v>1576956.6907434613</v>
      </c>
      <c r="S22" s="58">
        <f t="shared" si="3"/>
        <v>3.0444730393570846E-2</v>
      </c>
      <c r="T22" s="13">
        <f t="shared" si="4"/>
        <v>3.0444730393570846E-2</v>
      </c>
      <c r="U22" s="113"/>
      <c r="V22" s="13"/>
      <c r="W22" t="s">
        <v>6</v>
      </c>
      <c r="X22" s="130">
        <v>1834427.6159020858</v>
      </c>
      <c r="Y22">
        <v>261710.96013830748</v>
      </c>
      <c r="Z22">
        <v>7.0093648922178815</v>
      </c>
      <c r="AA22">
        <v>1.8487085202701192E-10</v>
      </c>
      <c r="AB22">
        <v>1315931.0018325173</v>
      </c>
      <c r="AC22">
        <v>2352924.2299716542</v>
      </c>
      <c r="AD22">
        <v>1315931.0018325173</v>
      </c>
      <c r="AE22">
        <v>2352924.2299716542</v>
      </c>
    </row>
    <row r="23" spans="1:31" x14ac:dyDescent="0.2">
      <c r="A23" s="90">
        <v>41182</v>
      </c>
      <c r="B23" s="92">
        <v>49181637</v>
      </c>
      <c r="C23" s="105">
        <f>+'Weather Analysis '!S16</f>
        <v>181.89999999999998</v>
      </c>
      <c r="D23" s="105">
        <f>'Weather Analysis '!S36</f>
        <v>5.3</v>
      </c>
      <c r="E23" s="91">
        <v>1</v>
      </c>
      <c r="F23" s="91">
        <v>30</v>
      </c>
      <c r="G23" s="108">
        <v>21</v>
      </c>
      <c r="H23" s="109">
        <f>33207+5</f>
        <v>33212</v>
      </c>
      <c r="I23" s="112">
        <v>304</v>
      </c>
      <c r="J23" s="118">
        <f t="shared" si="7"/>
        <v>1.0446059893380324</v>
      </c>
      <c r="K23" s="129" t="e">
        <f>#REF!</f>
        <v>#REF!</v>
      </c>
      <c r="L23" s="93" t="e">
        <f t="shared" si="0"/>
        <v>#REF!</v>
      </c>
      <c r="M23" s="93" t="e">
        <f t="shared" si="1"/>
        <v>#REF!</v>
      </c>
      <c r="N23" s="110">
        <v>144.22430812989595</v>
      </c>
      <c r="O23" s="91">
        <v>190.9</v>
      </c>
      <c r="P23" s="91">
        <v>19.899999999999999</v>
      </c>
      <c r="Q23" s="108">
        <f t="shared" si="5"/>
        <v>49968124.62711037</v>
      </c>
      <c r="R23" s="36">
        <f t="shared" si="2"/>
        <v>786487.6271103695</v>
      </c>
      <c r="S23" s="58">
        <f t="shared" si="3"/>
        <v>1.5991489407120984E-2</v>
      </c>
      <c r="T23" s="13">
        <f t="shared" si="4"/>
        <v>1.5991489407120984E-2</v>
      </c>
      <c r="U23" s="113"/>
      <c r="V23" s="13"/>
      <c r="W23" t="s">
        <v>214</v>
      </c>
      <c r="X23" s="130">
        <v>-37696.812717419707</v>
      </c>
      <c r="Y23">
        <v>15680.879507459525</v>
      </c>
      <c r="Z23">
        <v>-2.4039986213456341</v>
      </c>
      <c r="AA23">
        <v>1.7843003799706488E-2</v>
      </c>
      <c r="AB23">
        <v>-68763.46321594638</v>
      </c>
      <c r="AC23">
        <v>-6630.1622188930342</v>
      </c>
      <c r="AD23">
        <v>-68763.46321594638</v>
      </c>
      <c r="AE23">
        <v>-6630.1622188930342</v>
      </c>
    </row>
    <row r="24" spans="1:31" ht="13.5" thickBot="1" x14ac:dyDescent="0.25">
      <c r="A24" s="90">
        <v>41213</v>
      </c>
      <c r="B24" s="92">
        <v>55200719</v>
      </c>
      <c r="C24" s="105">
        <f>+'Weather Analysis '!S17</f>
        <v>343.90000000000003</v>
      </c>
      <c r="D24" s="105">
        <f>'Weather Analysis '!S37</f>
        <v>0</v>
      </c>
      <c r="E24" s="91">
        <v>1</v>
      </c>
      <c r="F24" s="91">
        <v>31</v>
      </c>
      <c r="G24" s="108">
        <v>22</v>
      </c>
      <c r="H24" s="109">
        <f>33050+5</f>
        <v>33055</v>
      </c>
      <c r="I24" s="112">
        <v>352</v>
      </c>
      <c r="J24" s="118">
        <f t="shared" si="7"/>
        <v>1.0446059893380324</v>
      </c>
      <c r="K24" s="129" t="e">
        <f>#REF!</f>
        <v>#REF!</v>
      </c>
      <c r="L24" s="93" t="e">
        <f t="shared" si="0"/>
        <v>#REF!</v>
      </c>
      <c r="M24" s="93" t="e">
        <f t="shared" si="1"/>
        <v>#REF!</v>
      </c>
      <c r="N24" s="110">
        <v>144.42705100290087</v>
      </c>
      <c r="O24" s="91">
        <v>190.6</v>
      </c>
      <c r="P24" s="91">
        <v>19</v>
      </c>
      <c r="Q24" s="108">
        <f t="shared" si="5"/>
        <v>56658033.402816847</v>
      </c>
      <c r="R24" s="36">
        <f t="shared" si="2"/>
        <v>1457314.402816847</v>
      </c>
      <c r="S24" s="58">
        <f t="shared" si="3"/>
        <v>2.6400279366231568E-2</v>
      </c>
      <c r="T24" s="13">
        <f t="shared" si="4"/>
        <v>2.6400279366231568E-2</v>
      </c>
      <c r="U24" s="113"/>
      <c r="V24" s="13"/>
      <c r="W24" s="24" t="s">
        <v>81</v>
      </c>
      <c r="X24" s="131">
        <v>-4723.8322093197512</v>
      </c>
      <c r="Y24" s="24">
        <v>2722.3066462795969</v>
      </c>
      <c r="Z24" s="24">
        <v>-1.7352314867891581</v>
      </c>
      <c r="AA24" s="24">
        <v>8.5426101984385744E-2</v>
      </c>
      <c r="AB24" s="24">
        <v>-10117.212669232886</v>
      </c>
      <c r="AC24" s="24">
        <v>669.54825059338418</v>
      </c>
      <c r="AD24" s="24">
        <v>-10117.212669232886</v>
      </c>
      <c r="AE24" s="24">
        <v>669.54825059338418</v>
      </c>
    </row>
    <row r="25" spans="1:31" x14ac:dyDescent="0.2">
      <c r="A25" s="90">
        <v>41243</v>
      </c>
      <c r="B25" s="92">
        <v>63048824</v>
      </c>
      <c r="C25" s="105">
        <f>+'Weather Analysis '!S18</f>
        <v>481.84999999999997</v>
      </c>
      <c r="D25" s="105">
        <f>'Weather Analysis '!S38</f>
        <v>0</v>
      </c>
      <c r="E25" s="91">
        <v>1</v>
      </c>
      <c r="F25" s="91">
        <v>30</v>
      </c>
      <c r="G25" s="108">
        <v>23</v>
      </c>
      <c r="H25" s="109">
        <f>33050+5</f>
        <v>33055</v>
      </c>
      <c r="I25" s="112">
        <v>352</v>
      </c>
      <c r="J25" s="118">
        <f t="shared" si="7"/>
        <v>1.0446059893380324</v>
      </c>
      <c r="K25" s="129" t="e">
        <f>#REF!</f>
        <v>#REF!</v>
      </c>
      <c r="L25" s="93" t="e">
        <f t="shared" si="0"/>
        <v>#REF!</v>
      </c>
      <c r="M25" s="93" t="e">
        <f t="shared" si="1"/>
        <v>#REF!</v>
      </c>
      <c r="N25" s="110">
        <v>144.63007888106955</v>
      </c>
      <c r="O25" s="91">
        <v>193.1</v>
      </c>
      <c r="P25" s="91">
        <v>18</v>
      </c>
      <c r="Q25" s="108">
        <f t="shared" si="5"/>
        <v>59718834.417463891</v>
      </c>
      <c r="R25" s="36">
        <f t="shared" si="2"/>
        <v>-3329989.5825361088</v>
      </c>
      <c r="S25" s="58">
        <f t="shared" si="3"/>
        <v>-5.2816045903347993E-2</v>
      </c>
      <c r="T25" s="13">
        <f t="shared" si="4"/>
        <v>5.2816045903347993E-2</v>
      </c>
      <c r="U25" s="113"/>
      <c r="V25" s="13"/>
      <c r="W25"/>
      <c r="X25"/>
    </row>
    <row r="26" spans="1:31" x14ac:dyDescent="0.2">
      <c r="A26" s="90">
        <v>41274</v>
      </c>
      <c r="B26" s="92">
        <v>72665451</v>
      </c>
      <c r="C26" s="105">
        <f>+'Weather Analysis '!S19</f>
        <v>445.9</v>
      </c>
      <c r="D26" s="105">
        <f>'Weather Analysis '!S39</f>
        <v>0</v>
      </c>
      <c r="E26" s="91">
        <v>0</v>
      </c>
      <c r="F26" s="91">
        <v>31</v>
      </c>
      <c r="G26" s="108">
        <v>24</v>
      </c>
      <c r="H26" s="109">
        <f>33050+5</f>
        <v>33055</v>
      </c>
      <c r="I26" s="112">
        <v>304</v>
      </c>
      <c r="J26" s="118">
        <f t="shared" si="7"/>
        <v>1.0446059893380324</v>
      </c>
      <c r="K26" s="129" t="e">
        <f>#REF!</f>
        <v>#REF!</v>
      </c>
      <c r="L26" s="93" t="e">
        <f t="shared" si="0"/>
        <v>#REF!</v>
      </c>
      <c r="M26" s="93" t="e">
        <f t="shared" si="1"/>
        <v>#REF!</v>
      </c>
      <c r="N26" s="110">
        <v>144.83339216504706</v>
      </c>
      <c r="O26" s="91">
        <v>194.2</v>
      </c>
      <c r="P26" s="91">
        <v>18.7</v>
      </c>
      <c r="Q26" s="108">
        <f t="shared" si="5"/>
        <v>62926965.997824028</v>
      </c>
      <c r="R26" s="36">
        <f t="shared" si="2"/>
        <v>-9738485.0021759719</v>
      </c>
      <c r="S26" s="58">
        <f t="shared" si="3"/>
        <v>-0.13401809069038836</v>
      </c>
      <c r="T26" s="13">
        <f t="shared" si="4"/>
        <v>0.13401809069038836</v>
      </c>
      <c r="U26" s="113"/>
      <c r="V26" s="13"/>
      <c r="W26"/>
      <c r="X26"/>
    </row>
    <row r="27" spans="1:31" x14ac:dyDescent="0.2">
      <c r="A27" s="90">
        <v>41305</v>
      </c>
      <c r="B27" s="92">
        <v>77430385</v>
      </c>
      <c r="C27" s="105">
        <f>'Weather Analysis '!T8</f>
        <v>798.19999999999982</v>
      </c>
      <c r="D27" s="105">
        <f>+'Weather Analysis '!T28</f>
        <v>0</v>
      </c>
      <c r="E27" s="91">
        <v>0</v>
      </c>
      <c r="F27" s="91">
        <v>31</v>
      </c>
      <c r="G27" s="108">
        <v>25</v>
      </c>
      <c r="H27" s="109">
        <f>33301+5</f>
        <v>33306</v>
      </c>
      <c r="I27" s="91">
        <v>352</v>
      </c>
      <c r="J27" s="118">
        <f>'Rate Class Energy Model'!F8</f>
        <v>1.0614958266693164</v>
      </c>
      <c r="K27" s="129" t="e">
        <f>#REF!</f>
        <v>#REF!</v>
      </c>
      <c r="L27" s="93" t="e">
        <f t="shared" si="0"/>
        <v>#REF!</v>
      </c>
      <c r="M27" s="93" t="e">
        <f t="shared" si="1"/>
        <v>#REF!</v>
      </c>
      <c r="N27" s="110">
        <v>144.98936781896037</v>
      </c>
      <c r="O27" s="91">
        <v>193.9</v>
      </c>
      <c r="P27" s="91">
        <v>19.3</v>
      </c>
      <c r="Q27" s="108">
        <f t="shared" si="5"/>
        <v>75215328.442456558</v>
      </c>
      <c r="R27" s="36">
        <f t="shared" si="2"/>
        <v>-2215056.5575434417</v>
      </c>
      <c r="S27" s="58">
        <f t="shared" si="3"/>
        <v>-2.8607071468693353E-2</v>
      </c>
      <c r="T27" s="13">
        <f t="shared" si="4"/>
        <v>2.8607071468693353E-2</v>
      </c>
      <c r="U27" s="113"/>
      <c r="V27" s="13"/>
      <c r="W27"/>
      <c r="X27"/>
    </row>
    <row r="28" spans="1:31" x14ac:dyDescent="0.2">
      <c r="A28" s="90">
        <v>41333</v>
      </c>
      <c r="B28" s="92">
        <v>69794850</v>
      </c>
      <c r="C28" s="105">
        <f>'Weather Analysis '!T9</f>
        <v>786.07500000000005</v>
      </c>
      <c r="D28" s="105">
        <f>+'Weather Analysis '!T29</f>
        <v>0</v>
      </c>
      <c r="E28" s="91">
        <v>0</v>
      </c>
      <c r="F28" s="91">
        <v>28</v>
      </c>
      <c r="G28" s="108">
        <v>26</v>
      </c>
      <c r="H28" s="109">
        <f>33301+5</f>
        <v>33306</v>
      </c>
      <c r="I28" s="91">
        <v>304</v>
      </c>
      <c r="J28" s="118">
        <f>J27</f>
        <v>1.0614958266693164</v>
      </c>
      <c r="K28" s="129" t="e">
        <f>#REF!</f>
        <v>#REF!</v>
      </c>
      <c r="L28" s="93" t="e">
        <f t="shared" si="0"/>
        <v>#REF!</v>
      </c>
      <c r="M28" s="93" t="e">
        <f t="shared" si="1"/>
        <v>#REF!</v>
      </c>
      <c r="N28" s="110">
        <v>145.14551144798114</v>
      </c>
      <c r="O28" s="91">
        <v>193.3</v>
      </c>
      <c r="P28" s="91">
        <v>19.2</v>
      </c>
      <c r="Q28" s="108">
        <f t="shared" si="5"/>
        <v>69578670.389325455</v>
      </c>
      <c r="R28" s="36">
        <f t="shared" si="2"/>
        <v>-216179.61067454517</v>
      </c>
      <c r="S28" s="58">
        <f t="shared" si="3"/>
        <v>-3.0973576227263928E-3</v>
      </c>
      <c r="T28" s="13">
        <f t="shared" si="4"/>
        <v>3.0973576227263928E-3</v>
      </c>
      <c r="U28" s="113"/>
      <c r="V28" s="13"/>
      <c r="W28" s="211" t="s">
        <v>23</v>
      </c>
      <c r="X28" s="212">
        <v>44698</v>
      </c>
    </row>
    <row r="29" spans="1:31" ht="13.5" thickBot="1" x14ac:dyDescent="0.25">
      <c r="A29" s="90">
        <v>41364</v>
      </c>
      <c r="B29" s="92">
        <v>69264159</v>
      </c>
      <c r="C29" s="105">
        <f>'Weather Analysis '!T10</f>
        <v>722.44999999999982</v>
      </c>
      <c r="D29" s="105">
        <f>+'Weather Analysis '!T30</f>
        <v>0</v>
      </c>
      <c r="E29" s="91">
        <v>1</v>
      </c>
      <c r="F29" s="91">
        <v>31</v>
      </c>
      <c r="G29" s="108">
        <v>27</v>
      </c>
      <c r="H29" s="109">
        <f>33301+5</f>
        <v>33306</v>
      </c>
      <c r="I29" s="91">
        <v>320</v>
      </c>
      <c r="J29" s="118">
        <f t="shared" ref="J29:J38" si="8">J28</f>
        <v>1.0614958266693164</v>
      </c>
      <c r="K29" s="129" t="e">
        <f>#REF!</f>
        <v>#REF!</v>
      </c>
      <c r="L29" s="93" t="e">
        <f t="shared" si="0"/>
        <v>#REF!</v>
      </c>
      <c r="M29" s="93" t="e">
        <f t="shared" si="1"/>
        <v>#REF!</v>
      </c>
      <c r="N29" s="110">
        <v>145.30182323300707</v>
      </c>
      <c r="O29" s="91">
        <v>193.6</v>
      </c>
      <c r="P29" s="91">
        <v>18.399999999999999</v>
      </c>
      <c r="Q29" s="108">
        <f t="shared" si="5"/>
        <v>69603903.633218214</v>
      </c>
      <c r="R29" s="36">
        <f t="shared" si="2"/>
        <v>339744.63321821392</v>
      </c>
      <c r="S29" s="58">
        <f t="shared" si="3"/>
        <v>4.9050567872803291E-3</v>
      </c>
      <c r="T29" s="13">
        <f t="shared" si="4"/>
        <v>4.9050567872803291E-3</v>
      </c>
      <c r="U29" s="113"/>
      <c r="V29" s="13"/>
      <c r="W29"/>
      <c r="X29"/>
    </row>
    <row r="30" spans="1:31" x14ac:dyDescent="0.2">
      <c r="A30" s="90">
        <v>41394</v>
      </c>
      <c r="B30" s="92">
        <v>62490524</v>
      </c>
      <c r="C30" s="105">
        <f>'Weather Analysis '!T11</f>
        <v>495.71875</v>
      </c>
      <c r="D30" s="105">
        <f>+'Weather Analysis '!T31</f>
        <v>0</v>
      </c>
      <c r="E30" s="91">
        <v>1</v>
      </c>
      <c r="F30" s="91">
        <v>30</v>
      </c>
      <c r="G30" s="108">
        <v>28</v>
      </c>
      <c r="H30" s="109">
        <f>33289+5</f>
        <v>33294</v>
      </c>
      <c r="I30" s="91">
        <v>352</v>
      </c>
      <c r="J30" s="118">
        <f t="shared" si="8"/>
        <v>1.0614958266693164</v>
      </c>
      <c r="K30" s="129" t="e">
        <f>#REF!</f>
        <v>#REF!</v>
      </c>
      <c r="L30" s="93" t="e">
        <f t="shared" si="0"/>
        <v>#REF!</v>
      </c>
      <c r="M30" s="93" t="e">
        <f t="shared" si="1"/>
        <v>#REF!</v>
      </c>
      <c r="N30" s="110">
        <v>145.45830335513068</v>
      </c>
      <c r="O30" s="91">
        <v>193.6</v>
      </c>
      <c r="P30" s="91">
        <v>17.399999999999999</v>
      </c>
      <c r="Q30" s="108">
        <f t="shared" si="5"/>
        <v>59865551.57111375</v>
      </c>
      <c r="R30" s="36">
        <f t="shared" si="2"/>
        <v>-2624972.4288862497</v>
      </c>
      <c r="S30" s="58">
        <f t="shared" si="3"/>
        <v>-4.2005927632903985E-2</v>
      </c>
      <c r="T30" s="13">
        <f t="shared" si="4"/>
        <v>4.2005927632903985E-2</v>
      </c>
      <c r="U30" s="113"/>
      <c r="V30" s="13"/>
      <c r="W30" s="26" t="s">
        <v>24</v>
      </c>
      <c r="X30" s="26"/>
    </row>
    <row r="31" spans="1:31" x14ac:dyDescent="0.2">
      <c r="A31" s="90">
        <v>41425</v>
      </c>
      <c r="B31" s="92">
        <v>51260742</v>
      </c>
      <c r="C31" s="105">
        <f>'Weather Analysis '!T12</f>
        <v>248.35000000000005</v>
      </c>
      <c r="D31" s="105">
        <f>+'Weather Analysis '!T32</f>
        <v>3</v>
      </c>
      <c r="E31" s="91">
        <v>1</v>
      </c>
      <c r="F31" s="91">
        <v>31</v>
      </c>
      <c r="G31" s="108">
        <v>29</v>
      </c>
      <c r="H31" s="109">
        <f>33289+5</f>
        <v>33294</v>
      </c>
      <c r="I31" s="91">
        <v>352</v>
      </c>
      <c r="J31" s="118">
        <f t="shared" si="8"/>
        <v>1.0614958266693164</v>
      </c>
      <c r="K31" s="129" t="e">
        <f>#REF!</f>
        <v>#REF!</v>
      </c>
      <c r="L31" s="93" t="e">
        <f t="shared" si="0"/>
        <v>#REF!</v>
      </c>
      <c r="M31" s="93" t="e">
        <f t="shared" si="1"/>
        <v>#REF!</v>
      </c>
      <c r="N31" s="110">
        <v>145.6149519956395</v>
      </c>
      <c r="O31" s="91">
        <v>195.9</v>
      </c>
      <c r="P31" s="91">
        <v>15.8</v>
      </c>
      <c r="Q31" s="108">
        <f t="shared" si="5"/>
        <v>53201404.221047588</v>
      </c>
      <c r="R31" s="36">
        <f t="shared" si="2"/>
        <v>1940662.2210475877</v>
      </c>
      <c r="S31" s="58">
        <f t="shared" si="3"/>
        <v>3.785864475093996E-2</v>
      </c>
      <c r="T31" s="13">
        <f t="shared" si="4"/>
        <v>3.785864475093996E-2</v>
      </c>
      <c r="U31" s="113"/>
      <c r="V31" s="13"/>
      <c r="W31" t="s">
        <v>25</v>
      </c>
      <c r="X31" s="132">
        <v>0.97880782086668372</v>
      </c>
    </row>
    <row r="32" spans="1:31" x14ac:dyDescent="0.2">
      <c r="A32" s="90">
        <v>41455</v>
      </c>
      <c r="B32" s="92">
        <v>48246051</v>
      </c>
      <c r="C32" s="105">
        <f>'Weather Analysis '!T13</f>
        <v>106.19999999999999</v>
      </c>
      <c r="D32" s="105">
        <f>+'Weather Analysis '!T33</f>
        <v>12.399999999999999</v>
      </c>
      <c r="E32" s="91">
        <v>0</v>
      </c>
      <c r="F32" s="91">
        <v>30</v>
      </c>
      <c r="G32" s="108">
        <v>30</v>
      </c>
      <c r="H32" s="109">
        <f>33289+5</f>
        <v>33294</v>
      </c>
      <c r="I32" s="91">
        <v>320</v>
      </c>
      <c r="J32" s="118">
        <f t="shared" si="8"/>
        <v>1.0614958266693164</v>
      </c>
      <c r="K32" s="129" t="e">
        <f>#REF!</f>
        <v>#REF!</v>
      </c>
      <c r="L32" s="93" t="e">
        <f t="shared" si="0"/>
        <v>#REF!</v>
      </c>
      <c r="M32" s="93" t="e">
        <f t="shared" si="1"/>
        <v>#REF!</v>
      </c>
      <c r="N32" s="110">
        <v>145.77176933601632</v>
      </c>
      <c r="O32" s="91">
        <v>199</v>
      </c>
      <c r="P32" s="91">
        <v>14.9</v>
      </c>
      <c r="Q32" s="108">
        <f t="shared" si="5"/>
        <v>50408115.912680164</v>
      </c>
      <c r="R32" s="36">
        <f t="shared" si="2"/>
        <v>2162064.912680164</v>
      </c>
      <c r="S32" s="58">
        <f t="shared" si="3"/>
        <v>4.4813303221027646E-2</v>
      </c>
      <c r="T32" s="13">
        <f t="shared" si="4"/>
        <v>4.4813303221027646E-2</v>
      </c>
      <c r="U32" s="113"/>
      <c r="V32" s="13"/>
      <c r="W32" t="s">
        <v>26</v>
      </c>
      <c r="X32" s="132">
        <v>0.95806475018978599</v>
      </c>
    </row>
    <row r="33" spans="1:31" x14ac:dyDescent="0.2">
      <c r="A33" s="90">
        <v>41486</v>
      </c>
      <c r="B33" s="92">
        <v>52370705</v>
      </c>
      <c r="C33" s="105">
        <f>'Weather Analysis '!T14</f>
        <v>47.749999999999993</v>
      </c>
      <c r="D33" s="105">
        <f>+'Weather Analysis '!T34</f>
        <v>50.3</v>
      </c>
      <c r="E33" s="91">
        <v>0</v>
      </c>
      <c r="F33" s="91">
        <v>31</v>
      </c>
      <c r="G33" s="108">
        <v>31</v>
      </c>
      <c r="H33" s="109">
        <f>33510+5</f>
        <v>33515</v>
      </c>
      <c r="I33" s="91">
        <v>352</v>
      </c>
      <c r="J33" s="118">
        <f t="shared" si="8"/>
        <v>1.0614958266693164</v>
      </c>
      <c r="K33" s="129" t="e">
        <f>#REF!</f>
        <v>#REF!</v>
      </c>
      <c r="L33" s="93" t="e">
        <f t="shared" si="0"/>
        <v>#REF!</v>
      </c>
      <c r="M33" s="93" t="e">
        <f t="shared" si="1"/>
        <v>#REF!</v>
      </c>
      <c r="N33" s="110">
        <v>145.92875555793933</v>
      </c>
      <c r="O33" s="91">
        <v>203.9</v>
      </c>
      <c r="P33" s="91">
        <v>14</v>
      </c>
      <c r="Q33" s="108">
        <f t="shared" si="5"/>
        <v>54657525.842856057</v>
      </c>
      <c r="R33" s="36">
        <f t="shared" si="2"/>
        <v>2286820.842856057</v>
      </c>
      <c r="S33" s="58">
        <f t="shared" si="3"/>
        <v>4.3666031283253817E-2</v>
      </c>
      <c r="T33" s="13">
        <f t="shared" si="4"/>
        <v>4.3666031283253817E-2</v>
      </c>
      <c r="U33" s="113"/>
      <c r="V33" s="13"/>
      <c r="W33" t="s">
        <v>27</v>
      </c>
      <c r="X33" s="249">
        <v>0.95605185819889571</v>
      </c>
    </row>
    <row r="34" spans="1:31" x14ac:dyDescent="0.2">
      <c r="A34" s="90">
        <v>41517</v>
      </c>
      <c r="B34" s="92">
        <v>51254455</v>
      </c>
      <c r="C34" s="105">
        <f>'Weather Analysis '!T15</f>
        <v>57.699999999999989</v>
      </c>
      <c r="D34" s="105">
        <f>+'Weather Analysis '!T35</f>
        <v>31.400000000000002</v>
      </c>
      <c r="E34" s="91">
        <v>0</v>
      </c>
      <c r="F34" s="91">
        <v>31</v>
      </c>
      <c r="G34" s="108">
        <v>32</v>
      </c>
      <c r="H34" s="109">
        <f>33510+5</f>
        <v>33515</v>
      </c>
      <c r="I34" s="91">
        <v>336</v>
      </c>
      <c r="J34" s="118">
        <f t="shared" si="8"/>
        <v>1.0614958266693164</v>
      </c>
      <c r="K34" s="129" t="e">
        <f>#REF!</f>
        <v>#REF!</v>
      </c>
      <c r="L34" s="93" t="e">
        <f t="shared" si="0"/>
        <v>#REF!</v>
      </c>
      <c r="M34" s="93" t="e">
        <f t="shared" si="1"/>
        <v>#REF!</v>
      </c>
      <c r="N34" s="110">
        <v>146.08591084328242</v>
      </c>
      <c r="O34" s="91">
        <v>205</v>
      </c>
      <c r="P34" s="91">
        <v>14.4</v>
      </c>
      <c r="Q34" s="108">
        <f t="shared" si="5"/>
        <v>52616291.039767772</v>
      </c>
      <c r="R34" s="36">
        <f t="shared" si="2"/>
        <v>1361836.039767772</v>
      </c>
      <c r="S34" s="58">
        <f t="shared" si="3"/>
        <v>2.6570100877431474E-2</v>
      </c>
      <c r="T34" s="13">
        <f t="shared" si="4"/>
        <v>2.6570100877431474E-2</v>
      </c>
      <c r="U34" s="113"/>
      <c r="V34" s="13"/>
      <c r="W34" t="s">
        <v>28</v>
      </c>
      <c r="X34">
        <v>2086826.2541409917</v>
      </c>
    </row>
    <row r="35" spans="1:31" ht="13.5" thickBot="1" x14ac:dyDescent="0.25">
      <c r="A35" s="90">
        <v>41547</v>
      </c>
      <c r="B35" s="92">
        <v>48184318</v>
      </c>
      <c r="C35" s="105">
        <f>'Weather Analysis '!T16</f>
        <v>165.6</v>
      </c>
      <c r="D35" s="105">
        <f>+'Weather Analysis '!T36</f>
        <v>5.8</v>
      </c>
      <c r="E35" s="91">
        <v>1</v>
      </c>
      <c r="F35" s="91">
        <v>30</v>
      </c>
      <c r="G35" s="108">
        <v>33</v>
      </c>
      <c r="H35" s="109">
        <f>33510+5</f>
        <v>33515</v>
      </c>
      <c r="I35" s="91">
        <v>320</v>
      </c>
      <c r="J35" s="118">
        <f t="shared" si="8"/>
        <v>1.0614958266693164</v>
      </c>
      <c r="K35" s="129" t="e">
        <f>#REF!</f>
        <v>#REF!</v>
      </c>
      <c r="L35" s="93" t="e">
        <f t="shared" ref="L35:L66" si="9">K35*J35</f>
        <v>#REF!</v>
      </c>
      <c r="M35" s="93" t="e">
        <f t="shared" ref="M35:M66" si="10">B35+L35</f>
        <v>#REF!</v>
      </c>
      <c r="N35" s="110">
        <v>146.2432353741153</v>
      </c>
      <c r="O35" s="91">
        <v>203.1</v>
      </c>
      <c r="P35" s="91">
        <v>14.2</v>
      </c>
      <c r="Q35" s="108">
        <f t="shared" si="5"/>
        <v>48653028.532453053</v>
      </c>
      <c r="R35" s="36">
        <f t="shared" ref="R35:R66" si="11">Q35-B35</f>
        <v>468710.5324530527</v>
      </c>
      <c r="S35" s="58">
        <f t="shared" ref="S35:S66" si="12">R35/B35</f>
        <v>9.7274497576795155E-3</v>
      </c>
      <c r="T35" s="13">
        <f t="shared" ref="T35:T74" si="13">ABS(S35)</f>
        <v>9.7274497576795155E-3</v>
      </c>
      <c r="U35" s="113"/>
      <c r="V35" s="13"/>
      <c r="W35" s="24" t="s">
        <v>29</v>
      </c>
      <c r="X35" s="24">
        <v>132</v>
      </c>
    </row>
    <row r="36" spans="1:31" x14ac:dyDescent="0.2">
      <c r="A36" s="90">
        <v>41578</v>
      </c>
      <c r="B36" s="92">
        <v>54286247</v>
      </c>
      <c r="C36" s="105">
        <f>'Weather Analysis '!T17</f>
        <v>326.0625</v>
      </c>
      <c r="D36" s="105">
        <f>+'Weather Analysis '!T37</f>
        <v>0</v>
      </c>
      <c r="E36" s="91">
        <v>1</v>
      </c>
      <c r="F36" s="91">
        <v>31</v>
      </c>
      <c r="G36" s="108">
        <v>34</v>
      </c>
      <c r="H36" s="109">
        <f>33388+5</f>
        <v>33393</v>
      </c>
      <c r="I36" s="91">
        <v>352</v>
      </c>
      <c r="J36" s="118">
        <f t="shared" si="8"/>
        <v>1.0614958266693164</v>
      </c>
      <c r="K36" s="129" t="e">
        <f>#REF!</f>
        <v>#REF!</v>
      </c>
      <c r="L36" s="93" t="e">
        <f t="shared" si="9"/>
        <v>#REF!</v>
      </c>
      <c r="M36" s="93" t="e">
        <f t="shared" si="10"/>
        <v>#REF!</v>
      </c>
      <c r="N36" s="110">
        <v>146.4007293327038</v>
      </c>
      <c r="O36" s="91">
        <v>200.2</v>
      </c>
      <c r="P36" s="91">
        <v>14.7</v>
      </c>
      <c r="Q36" s="108">
        <f t="shared" si="5"/>
        <v>55225974.115459189</v>
      </c>
      <c r="R36" s="36">
        <f t="shared" si="11"/>
        <v>939727.11545918882</v>
      </c>
      <c r="S36" s="58">
        <f t="shared" si="12"/>
        <v>1.7310592781615366E-2</v>
      </c>
      <c r="T36" s="13">
        <f t="shared" si="13"/>
        <v>1.7310592781615366E-2</v>
      </c>
      <c r="U36" s="113"/>
      <c r="V36" s="13"/>
      <c r="W36"/>
      <c r="X36"/>
    </row>
    <row r="37" spans="1:31" ht="13.5" thickBot="1" x14ac:dyDescent="0.25">
      <c r="A37" s="90">
        <v>41608</v>
      </c>
      <c r="B37" s="92">
        <v>64675563</v>
      </c>
      <c r="C37" s="105">
        <f>'Weather Analysis '!T18</f>
        <v>543.69999999999993</v>
      </c>
      <c r="D37" s="105">
        <f>+'Weather Analysis '!T38</f>
        <v>0</v>
      </c>
      <c r="E37" s="91">
        <v>1</v>
      </c>
      <c r="F37" s="91">
        <v>30</v>
      </c>
      <c r="G37" s="108">
        <v>35</v>
      </c>
      <c r="H37" s="109">
        <f>33388+5</f>
        <v>33393</v>
      </c>
      <c r="I37" s="91">
        <v>336</v>
      </c>
      <c r="J37" s="118">
        <f t="shared" si="8"/>
        <v>1.0614958266693164</v>
      </c>
      <c r="K37" s="129" t="e">
        <f>#REF!</f>
        <v>#REF!</v>
      </c>
      <c r="L37" s="93" t="e">
        <f t="shared" si="9"/>
        <v>#REF!</v>
      </c>
      <c r="M37" s="93" t="e">
        <f t="shared" si="10"/>
        <v>#REF!</v>
      </c>
      <c r="N37" s="110">
        <v>146.55839290151005</v>
      </c>
      <c r="O37" s="91">
        <v>197.8</v>
      </c>
      <c r="P37" s="91">
        <v>14.1</v>
      </c>
      <c r="Q37" s="108">
        <f t="shared" si="5"/>
        <v>61083665.902381197</v>
      </c>
      <c r="R37" s="36">
        <f t="shared" si="11"/>
        <v>-3591897.0976188034</v>
      </c>
      <c r="S37" s="58">
        <f t="shared" si="12"/>
        <v>-5.5537160111289688E-2</v>
      </c>
      <c r="T37" s="13">
        <f t="shared" si="13"/>
        <v>5.5537160111289688E-2</v>
      </c>
      <c r="U37" s="113"/>
      <c r="V37" s="13"/>
      <c r="W37" t="s">
        <v>30</v>
      </c>
      <c r="X37"/>
    </row>
    <row r="38" spans="1:31" x14ac:dyDescent="0.2">
      <c r="A38" s="90">
        <v>41639</v>
      </c>
      <c r="B38" s="92">
        <v>81310312</v>
      </c>
      <c r="C38" s="105">
        <f>'Weather Analysis '!T19</f>
        <v>874.5</v>
      </c>
      <c r="D38" s="105">
        <f>+'Weather Analysis '!T39</f>
        <v>0</v>
      </c>
      <c r="E38" s="91">
        <v>0</v>
      </c>
      <c r="F38" s="91">
        <v>31</v>
      </c>
      <c r="G38" s="108">
        <v>36</v>
      </c>
      <c r="H38" s="109">
        <f>33388+5</f>
        <v>33393</v>
      </c>
      <c r="I38" s="91">
        <v>320</v>
      </c>
      <c r="J38" s="118">
        <f t="shared" si="8"/>
        <v>1.0614958266693164</v>
      </c>
      <c r="K38" s="129" t="e">
        <f>#REF!</f>
        <v>#REF!</v>
      </c>
      <c r="L38" s="93" t="e">
        <f t="shared" si="9"/>
        <v>#REF!</v>
      </c>
      <c r="M38" s="93" t="e">
        <f t="shared" si="10"/>
        <v>#REF!</v>
      </c>
      <c r="N38" s="110">
        <v>146.71622626319265</v>
      </c>
      <c r="O38" s="91">
        <v>196.9</v>
      </c>
      <c r="P38" s="91">
        <v>14.5</v>
      </c>
      <c r="Q38" s="108">
        <f t="shared" si="5"/>
        <v>77164075.954670325</v>
      </c>
      <c r="R38" s="36">
        <f t="shared" si="11"/>
        <v>-4146236.0453296751</v>
      </c>
      <c r="S38" s="58">
        <f t="shared" si="12"/>
        <v>-5.0992745487554829E-2</v>
      </c>
      <c r="T38" s="13">
        <f t="shared" si="13"/>
        <v>5.0992745487554829E-2</v>
      </c>
      <c r="U38" s="113"/>
      <c r="V38" s="13"/>
      <c r="W38" s="25"/>
      <c r="X38" s="25" t="s">
        <v>34</v>
      </c>
      <c r="Y38" s="25" t="s">
        <v>35</v>
      </c>
      <c r="Z38" s="25" t="s">
        <v>36</v>
      </c>
      <c r="AA38" s="25" t="s">
        <v>37</v>
      </c>
      <c r="AB38" s="25" t="s">
        <v>38</v>
      </c>
    </row>
    <row r="39" spans="1:31" x14ac:dyDescent="0.2">
      <c r="A39" s="90">
        <v>41670</v>
      </c>
      <c r="B39" s="92">
        <v>84076330.890000001</v>
      </c>
      <c r="C39" s="105">
        <f>+'Weather Analysis '!U8</f>
        <v>980.30000000000018</v>
      </c>
      <c r="D39" s="105">
        <f>'Weather Analysis '!U28</f>
        <v>0</v>
      </c>
      <c r="E39" s="91">
        <v>0</v>
      </c>
      <c r="F39" s="91">
        <v>31</v>
      </c>
      <c r="G39" s="108">
        <v>37</v>
      </c>
      <c r="H39" s="108">
        <v>33166</v>
      </c>
      <c r="I39" s="91">
        <v>352</v>
      </c>
      <c r="J39" s="118">
        <f>'Rate Class Energy Model'!F9</f>
        <v>1.0408170385773401</v>
      </c>
      <c r="K39" s="129" t="e">
        <f>#REF!</f>
        <v>#REF!</v>
      </c>
      <c r="L39" s="93" t="e">
        <f t="shared" si="9"/>
        <v>#REF!</v>
      </c>
      <c r="M39" s="93" t="e">
        <f t="shared" si="10"/>
        <v>#REF!</v>
      </c>
      <c r="N39" s="110">
        <v>146.94652822408554</v>
      </c>
      <c r="O39" s="91">
        <v>193.9</v>
      </c>
      <c r="P39" s="91">
        <v>14.9</v>
      </c>
      <c r="Q39" s="108">
        <f t="shared" si="5"/>
        <v>80821273.641126812</v>
      </c>
      <c r="R39" s="36">
        <f t="shared" si="11"/>
        <v>-3255057.2488731891</v>
      </c>
      <c r="S39" s="58">
        <f t="shared" si="12"/>
        <v>-3.8715500717221997E-2</v>
      </c>
      <c r="T39" s="13">
        <f t="shared" si="13"/>
        <v>3.8715500717221997E-2</v>
      </c>
      <c r="U39" s="113"/>
      <c r="V39" s="13"/>
      <c r="W39" t="s">
        <v>31</v>
      </c>
      <c r="X39">
        <v>6</v>
      </c>
      <c r="Y39">
        <v>1.2436501423590526E+16</v>
      </c>
      <c r="Z39">
        <v>2072750237265087.8</v>
      </c>
      <c r="AA39">
        <v>475.9643113121283</v>
      </c>
      <c r="AB39">
        <v>1.5342425993569334E-83</v>
      </c>
    </row>
    <row r="40" spans="1:31" x14ac:dyDescent="0.2">
      <c r="A40" s="90">
        <v>41698</v>
      </c>
      <c r="B40" s="92">
        <v>73283049.849999994</v>
      </c>
      <c r="C40" s="105">
        <f>+'Weather Analysis '!U9</f>
        <v>912</v>
      </c>
      <c r="D40" s="105">
        <f>'Weather Analysis '!U29</f>
        <v>0</v>
      </c>
      <c r="E40" s="91">
        <v>0</v>
      </c>
      <c r="F40" s="91">
        <v>28</v>
      </c>
      <c r="G40" s="108">
        <v>38</v>
      </c>
      <c r="H40" s="108">
        <v>33166</v>
      </c>
      <c r="I40" s="91">
        <v>304</v>
      </c>
      <c r="J40" s="118">
        <f>J39</f>
        <v>1.0408170385773401</v>
      </c>
      <c r="K40" s="129" t="e">
        <f>#REF!</f>
        <v>#REF!</v>
      </c>
      <c r="L40" s="93" t="e">
        <f t="shared" si="9"/>
        <v>#REF!</v>
      </c>
      <c r="M40" s="93" t="e">
        <f t="shared" si="10"/>
        <v>#REF!</v>
      </c>
      <c r="N40" s="110">
        <v>147.17719169232183</v>
      </c>
      <c r="O40" s="91">
        <v>193.1</v>
      </c>
      <c r="P40" s="91">
        <v>15.4</v>
      </c>
      <c r="Q40" s="108">
        <f t="shared" si="5"/>
        <v>73212972.116528466</v>
      </c>
      <c r="R40" s="36">
        <f t="shared" si="11"/>
        <v>-70077.733471527696</v>
      </c>
      <c r="S40" s="58">
        <f t="shared" si="12"/>
        <v>-9.562611492693996E-4</v>
      </c>
      <c r="T40" s="13">
        <f t="shared" si="13"/>
        <v>9.562611492693996E-4</v>
      </c>
      <c r="U40" s="113"/>
      <c r="V40" s="13"/>
      <c r="W40" t="s">
        <v>32</v>
      </c>
      <c r="X40">
        <v>125</v>
      </c>
      <c r="Y40">
        <v>544355476871515.31</v>
      </c>
      <c r="Z40">
        <v>4354843814972.1226</v>
      </c>
    </row>
    <row r="41" spans="1:31" ht="13.5" thickBot="1" x14ac:dyDescent="0.25">
      <c r="A41" s="90">
        <v>41729</v>
      </c>
      <c r="B41" s="92">
        <v>75936435.359999999</v>
      </c>
      <c r="C41" s="105">
        <f>+'Weather Analysis '!U10</f>
        <v>895.00000000000011</v>
      </c>
      <c r="D41" s="105">
        <f>'Weather Analysis '!U30</f>
        <v>0</v>
      </c>
      <c r="E41" s="91">
        <v>1</v>
      </c>
      <c r="F41" s="91">
        <v>31</v>
      </c>
      <c r="G41" s="108">
        <v>39</v>
      </c>
      <c r="H41" s="108">
        <v>33166</v>
      </c>
      <c r="I41" s="91">
        <v>336</v>
      </c>
      <c r="J41" s="118">
        <f t="shared" ref="J41:J50" si="14">J40</f>
        <v>1.0408170385773401</v>
      </c>
      <c r="K41" s="129" t="e">
        <f>#REF!</f>
        <v>#REF!</v>
      </c>
      <c r="L41" s="93" t="e">
        <f t="shared" si="9"/>
        <v>#REF!</v>
      </c>
      <c r="M41" s="93" t="e">
        <f t="shared" si="10"/>
        <v>#REF!</v>
      </c>
      <c r="N41" s="110">
        <v>147.40821723536328</v>
      </c>
      <c r="O41" s="91">
        <v>193.3</v>
      </c>
      <c r="P41" s="91">
        <v>15.5</v>
      </c>
      <c r="Q41" s="108">
        <f t="shared" si="5"/>
        <v>74874660.667179763</v>
      </c>
      <c r="R41" s="36">
        <f t="shared" si="11"/>
        <v>-1061774.6928202361</v>
      </c>
      <c r="S41" s="58">
        <f t="shared" si="12"/>
        <v>-1.3982414209813339E-2</v>
      </c>
      <c r="T41" s="13">
        <f t="shared" si="13"/>
        <v>1.3982414209813339E-2</v>
      </c>
      <c r="U41" s="113"/>
      <c r="V41" s="13"/>
      <c r="W41" s="24" t="s">
        <v>12</v>
      </c>
      <c r="X41" s="24">
        <v>131</v>
      </c>
      <c r="Y41" s="24">
        <v>1.2980856900462042E+16</v>
      </c>
      <c r="Z41" s="24"/>
      <c r="AA41" s="24"/>
      <c r="AB41" s="24"/>
    </row>
    <row r="42" spans="1:31" ht="13.5" thickBot="1" x14ac:dyDescent="0.25">
      <c r="A42" s="90">
        <v>41759</v>
      </c>
      <c r="B42" s="92">
        <v>60945927.880000003</v>
      </c>
      <c r="C42" s="105">
        <f>+'Weather Analysis '!U11</f>
        <v>511.09999999999997</v>
      </c>
      <c r="D42" s="105">
        <f>'Weather Analysis '!U31</f>
        <v>0</v>
      </c>
      <c r="E42" s="91">
        <v>1</v>
      </c>
      <c r="F42" s="91">
        <v>30</v>
      </c>
      <c r="G42" s="108">
        <v>40</v>
      </c>
      <c r="H42" s="108">
        <v>33415</v>
      </c>
      <c r="I42" s="91">
        <v>320</v>
      </c>
      <c r="J42" s="118">
        <f t="shared" si="14"/>
        <v>1.0408170385773401</v>
      </c>
      <c r="K42" s="129" t="e">
        <f>#REF!</f>
        <v>#REF!</v>
      </c>
      <c r="L42" s="93" t="e">
        <f t="shared" si="9"/>
        <v>#REF!</v>
      </c>
      <c r="M42" s="93" t="e">
        <f t="shared" si="10"/>
        <v>#REF!</v>
      </c>
      <c r="N42" s="110">
        <v>147.63960542156246</v>
      </c>
      <c r="O42" s="91">
        <v>195.9</v>
      </c>
      <c r="P42" s="91">
        <v>15.2</v>
      </c>
      <c r="Q42" s="108">
        <f t="shared" si="5"/>
        <v>59608741.349526018</v>
      </c>
      <c r="R42" s="36">
        <f t="shared" si="11"/>
        <v>-1337186.5304739848</v>
      </c>
      <c r="S42" s="58">
        <f t="shared" si="12"/>
        <v>-2.1940539376262339E-2</v>
      </c>
      <c r="T42" s="13">
        <f t="shared" si="13"/>
        <v>2.1940539376262339E-2</v>
      </c>
      <c r="U42" s="113"/>
      <c r="V42" s="13"/>
      <c r="W42"/>
      <c r="X42"/>
    </row>
    <row r="43" spans="1:31" x14ac:dyDescent="0.2">
      <c r="A43" s="90">
        <v>41790</v>
      </c>
      <c r="B43" s="92">
        <v>53127584.270000003</v>
      </c>
      <c r="C43" s="105">
        <f>+'Weather Analysis '!U12</f>
        <v>267.89999999999992</v>
      </c>
      <c r="D43" s="105">
        <f>'Weather Analysis '!U32</f>
        <v>0.8</v>
      </c>
      <c r="E43" s="91">
        <v>1</v>
      </c>
      <c r="F43" s="91">
        <v>31</v>
      </c>
      <c r="G43" s="108">
        <v>41</v>
      </c>
      <c r="H43" s="108">
        <v>33415</v>
      </c>
      <c r="I43" s="91">
        <v>336</v>
      </c>
      <c r="J43" s="118">
        <f t="shared" si="14"/>
        <v>1.0408170385773401</v>
      </c>
      <c r="K43" s="129" t="e">
        <f>#REF!</f>
        <v>#REF!</v>
      </c>
      <c r="L43" s="93" t="e">
        <f t="shared" si="9"/>
        <v>#REF!</v>
      </c>
      <c r="M43" s="93" t="e">
        <f t="shared" si="10"/>
        <v>#REF!</v>
      </c>
      <c r="N43" s="110">
        <v>147.87135682016401</v>
      </c>
      <c r="O43" s="91">
        <v>199</v>
      </c>
      <c r="P43" s="91">
        <v>16</v>
      </c>
      <c r="Q43" s="108">
        <f t="shared" si="5"/>
        <v>52820332.237913378</v>
      </c>
      <c r="R43" s="36">
        <f t="shared" si="11"/>
        <v>-307252.0320866257</v>
      </c>
      <c r="S43" s="58">
        <f t="shared" si="12"/>
        <v>-5.7832863343670656E-3</v>
      </c>
      <c r="T43" s="13">
        <f t="shared" si="13"/>
        <v>5.7832863343670656E-3</v>
      </c>
      <c r="U43" s="113"/>
      <c r="V43" s="13"/>
      <c r="W43" s="25"/>
      <c r="X43" s="25" t="s">
        <v>39</v>
      </c>
      <c r="Y43" s="25" t="s">
        <v>28</v>
      </c>
      <c r="Z43" s="25" t="s">
        <v>40</v>
      </c>
      <c r="AA43" s="25" t="s">
        <v>41</v>
      </c>
      <c r="AB43" s="25" t="s">
        <v>42</v>
      </c>
      <c r="AC43" s="25" t="s">
        <v>43</v>
      </c>
      <c r="AD43" s="25" t="s">
        <v>216</v>
      </c>
      <c r="AE43" s="25" t="s">
        <v>217</v>
      </c>
    </row>
    <row r="44" spans="1:31" x14ac:dyDescent="0.2">
      <c r="A44" s="90">
        <v>41820</v>
      </c>
      <c r="B44" s="92">
        <v>47524355.130000003</v>
      </c>
      <c r="C44" s="105">
        <f>+'Weather Analysis '!U13</f>
        <v>96.899999999999991</v>
      </c>
      <c r="D44" s="105">
        <f>'Weather Analysis '!U33</f>
        <v>12</v>
      </c>
      <c r="E44" s="91">
        <v>0</v>
      </c>
      <c r="F44" s="91">
        <v>30</v>
      </c>
      <c r="G44" s="108">
        <v>42</v>
      </c>
      <c r="H44" s="108">
        <v>33415</v>
      </c>
      <c r="I44" s="91">
        <v>336</v>
      </c>
      <c r="J44" s="118">
        <f t="shared" si="14"/>
        <v>1.0408170385773401</v>
      </c>
      <c r="K44" s="129" t="e">
        <f>#REF!</f>
        <v>#REF!</v>
      </c>
      <c r="L44" s="93" t="e">
        <f t="shared" si="9"/>
        <v>#REF!</v>
      </c>
      <c r="M44" s="93" t="e">
        <f t="shared" si="10"/>
        <v>#REF!</v>
      </c>
      <c r="N44" s="110">
        <v>148.10347200130616</v>
      </c>
      <c r="O44" s="91">
        <v>204.6</v>
      </c>
      <c r="P44" s="91">
        <v>15.4</v>
      </c>
      <c r="Q44" s="108">
        <f t="shared" si="5"/>
        <v>49235841.409691341</v>
      </c>
      <c r="R44" s="36">
        <f t="shared" si="11"/>
        <v>1711486.2796913385</v>
      </c>
      <c r="S44" s="58">
        <f t="shared" si="12"/>
        <v>3.6012824898090066E-2</v>
      </c>
      <c r="T44" s="13">
        <f t="shared" si="13"/>
        <v>3.6012824898090066E-2</v>
      </c>
      <c r="U44" s="113"/>
      <c r="V44" s="13"/>
      <c r="W44" t="s">
        <v>33</v>
      </c>
      <c r="X44" s="130">
        <v>121225300.246337</v>
      </c>
      <c r="Y44">
        <v>79382137.64499034</v>
      </c>
      <c r="Z44">
        <v>1.5271105546247192</v>
      </c>
      <c r="AA44">
        <v>0.12925995834317849</v>
      </c>
      <c r="AB44">
        <v>-35881802.224461943</v>
      </c>
      <c r="AC44">
        <v>278332402.71713591</v>
      </c>
      <c r="AD44">
        <v>-35881802.224461943</v>
      </c>
      <c r="AE44">
        <v>278332402.71713591</v>
      </c>
    </row>
    <row r="45" spans="1:31" x14ac:dyDescent="0.2">
      <c r="A45" s="90">
        <v>41851</v>
      </c>
      <c r="B45" s="92">
        <v>48026904.079999998</v>
      </c>
      <c r="C45" s="105">
        <f>+'Weather Analysis '!U14</f>
        <v>88.100000000000023</v>
      </c>
      <c r="D45" s="105">
        <f>'Weather Analysis '!U34</f>
        <v>6.4</v>
      </c>
      <c r="E45" s="91">
        <v>0</v>
      </c>
      <c r="F45" s="91">
        <v>31</v>
      </c>
      <c r="G45" s="108">
        <v>43</v>
      </c>
      <c r="H45" s="108">
        <v>33400</v>
      </c>
      <c r="I45" s="91">
        <v>352</v>
      </c>
      <c r="J45" s="118">
        <f t="shared" si="14"/>
        <v>1.0408170385773401</v>
      </c>
      <c r="K45" s="129" t="e">
        <f>#REF!</f>
        <v>#REF!</v>
      </c>
      <c r="L45" s="93" t="e">
        <f t="shared" si="9"/>
        <v>#REF!</v>
      </c>
      <c r="M45" s="93" t="e">
        <f t="shared" si="10"/>
        <v>#REF!</v>
      </c>
      <c r="N45" s="110">
        <v>148.33595153602209</v>
      </c>
      <c r="O45" s="91">
        <v>209.4</v>
      </c>
      <c r="P45" s="91">
        <v>16.600000000000001</v>
      </c>
      <c r="Q45" s="108">
        <f t="shared" si="5"/>
        <v>49887969.325656168</v>
      </c>
      <c r="R45" s="36">
        <f t="shared" si="11"/>
        <v>1861065.24565617</v>
      </c>
      <c r="S45" s="58">
        <f t="shared" si="12"/>
        <v>3.8750472913184911E-2</v>
      </c>
      <c r="T45" s="13">
        <f t="shared" si="13"/>
        <v>3.8750472913184911E-2</v>
      </c>
      <c r="U45" s="113"/>
      <c r="V45" s="13"/>
      <c r="W45" t="s">
        <v>4</v>
      </c>
      <c r="X45" s="130">
        <v>35228.506894355545</v>
      </c>
      <c r="Y45">
        <v>864.9106449521571</v>
      </c>
      <c r="Z45">
        <v>40.730805083690726</v>
      </c>
      <c r="AA45">
        <v>5.1624303664100568E-74</v>
      </c>
      <c r="AB45">
        <v>33516.741384433444</v>
      </c>
      <c r="AC45">
        <v>36940.272404277646</v>
      </c>
      <c r="AD45">
        <v>33516.741384433444</v>
      </c>
      <c r="AE45">
        <v>36940.272404277646</v>
      </c>
    </row>
    <row r="46" spans="1:31" x14ac:dyDescent="0.2">
      <c r="A46" s="90">
        <v>41882</v>
      </c>
      <c r="B46" s="92">
        <v>48878136.899999999</v>
      </c>
      <c r="C46" s="105">
        <f>+'Weather Analysis '!U15</f>
        <v>63.399999999999991</v>
      </c>
      <c r="D46" s="105">
        <f>'Weather Analysis '!U35</f>
        <v>13.5</v>
      </c>
      <c r="E46" s="91">
        <v>0</v>
      </c>
      <c r="F46" s="91">
        <v>31</v>
      </c>
      <c r="G46" s="108">
        <v>44</v>
      </c>
      <c r="H46" s="108">
        <v>33400</v>
      </c>
      <c r="I46" s="91">
        <v>320</v>
      </c>
      <c r="J46" s="118">
        <f t="shared" si="14"/>
        <v>1.0408170385773401</v>
      </c>
      <c r="K46" s="129" t="e">
        <f>#REF!</f>
        <v>#REF!</v>
      </c>
      <c r="L46" s="93" t="e">
        <f t="shared" si="9"/>
        <v>#REF!</v>
      </c>
      <c r="M46" s="93" t="e">
        <f t="shared" si="10"/>
        <v>#REF!</v>
      </c>
      <c r="N46" s="110">
        <v>148.56879599624133</v>
      </c>
      <c r="O46" s="111" t="s">
        <v>215</v>
      </c>
      <c r="P46" s="91">
        <v>17.5</v>
      </c>
      <c r="Q46" s="108">
        <f t="shared" si="5"/>
        <v>49828315.141254678</v>
      </c>
      <c r="R46" s="36">
        <f t="shared" si="11"/>
        <v>950178.24125467986</v>
      </c>
      <c r="S46" s="58">
        <f t="shared" si="12"/>
        <v>1.9439739350103583E-2</v>
      </c>
      <c r="T46" s="13">
        <f t="shared" si="13"/>
        <v>1.9439739350103583E-2</v>
      </c>
      <c r="U46" s="113"/>
      <c r="V46" s="13"/>
      <c r="W46" t="s">
        <v>5</v>
      </c>
      <c r="X46" s="130">
        <v>122343.97324913689</v>
      </c>
      <c r="Y46">
        <v>16214.741423019961</v>
      </c>
      <c r="Z46">
        <v>7.5452312224631575</v>
      </c>
      <c r="AA46">
        <v>8.1369639106707744E-12</v>
      </c>
      <c r="AB46">
        <v>90252.987570765326</v>
      </c>
      <c r="AC46">
        <v>154434.95892750844</v>
      </c>
      <c r="AD46">
        <v>90252.987570765326</v>
      </c>
      <c r="AE46">
        <v>154434.95892750844</v>
      </c>
    </row>
    <row r="47" spans="1:31" x14ac:dyDescent="0.2">
      <c r="A47" s="90">
        <v>41912</v>
      </c>
      <c r="B47" s="92">
        <v>47959876.32</v>
      </c>
      <c r="C47" s="105">
        <f>+'Weather Analysis '!U16</f>
        <v>158.20000000000002</v>
      </c>
      <c r="D47" s="105">
        <f>'Weather Analysis '!U36</f>
        <v>1.4</v>
      </c>
      <c r="E47" s="91">
        <v>1</v>
      </c>
      <c r="F47" s="91">
        <v>30</v>
      </c>
      <c r="G47" s="108">
        <v>45</v>
      </c>
      <c r="H47" s="108">
        <v>33400</v>
      </c>
      <c r="I47" s="91">
        <v>336</v>
      </c>
      <c r="J47" s="118">
        <f t="shared" si="14"/>
        <v>1.0408170385773401</v>
      </c>
      <c r="K47" s="129" t="e">
        <f>#REF!</f>
        <v>#REF!</v>
      </c>
      <c r="L47" s="93" t="e">
        <f t="shared" si="9"/>
        <v>#REF!</v>
      </c>
      <c r="M47" s="93" t="e">
        <f t="shared" si="10"/>
        <v>#REF!</v>
      </c>
      <c r="N47" s="110">
        <v>148.80200595479118</v>
      </c>
      <c r="O47" s="91"/>
      <c r="P47" s="91">
        <v>0</v>
      </c>
      <c r="Q47" s="108">
        <f t="shared" si="5"/>
        <v>47065627.890126131</v>
      </c>
      <c r="R47" s="36">
        <f t="shared" si="11"/>
        <v>-894248.42987386882</v>
      </c>
      <c r="S47" s="58">
        <f t="shared" si="12"/>
        <v>-1.8645761801119442E-2</v>
      </c>
      <c r="T47" s="13">
        <f t="shared" si="13"/>
        <v>1.8645761801119442E-2</v>
      </c>
      <c r="U47" s="113"/>
      <c r="V47" s="13"/>
      <c r="W47" t="s">
        <v>22</v>
      </c>
      <c r="X47" s="130">
        <v>-2841993.5826409128</v>
      </c>
      <c r="Y47">
        <v>419205.51120497141</v>
      </c>
      <c r="Z47">
        <v>-6.7794757146007898</v>
      </c>
      <c r="AA47">
        <v>4.2636140543539206E-10</v>
      </c>
      <c r="AB47">
        <v>-3671653.3166700006</v>
      </c>
      <c r="AC47">
        <v>-2012333.8486118251</v>
      </c>
      <c r="AD47">
        <v>-3671653.3166700006</v>
      </c>
      <c r="AE47">
        <v>-2012333.8486118251</v>
      </c>
    </row>
    <row r="48" spans="1:31" x14ac:dyDescent="0.2">
      <c r="A48" s="90">
        <v>41943</v>
      </c>
      <c r="B48" s="92">
        <v>54613898.210000001</v>
      </c>
      <c r="C48" s="105">
        <f>+'Weather Analysis '!U17</f>
        <v>340.99999999999989</v>
      </c>
      <c r="D48" s="105">
        <f>'Weather Analysis '!U37</f>
        <v>0</v>
      </c>
      <c r="E48" s="91">
        <v>1</v>
      </c>
      <c r="F48" s="91">
        <v>31</v>
      </c>
      <c r="G48" s="108">
        <v>46</v>
      </c>
      <c r="H48" s="108">
        <v>33513</v>
      </c>
      <c r="I48" s="91">
        <v>352</v>
      </c>
      <c r="J48" s="118">
        <f t="shared" si="14"/>
        <v>1.0408170385773401</v>
      </c>
      <c r="K48" s="129" t="e">
        <f>#REF!</f>
        <v>#REF!</v>
      </c>
      <c r="L48" s="93" t="e">
        <f t="shared" si="9"/>
        <v>#REF!</v>
      </c>
      <c r="M48" s="93" t="e">
        <f t="shared" si="10"/>
        <v>#REF!</v>
      </c>
      <c r="N48" s="110">
        <v>149.0355819853981</v>
      </c>
      <c r="O48" s="91"/>
      <c r="P48" s="91">
        <v>0</v>
      </c>
      <c r="Q48" s="108">
        <f t="shared" si="5"/>
        <v>54953632.044230349</v>
      </c>
      <c r="R48" s="36">
        <f t="shared" si="11"/>
        <v>339733.83423034847</v>
      </c>
      <c r="S48" s="58">
        <f t="shared" si="12"/>
        <v>6.2206479552880918E-3</v>
      </c>
      <c r="T48" s="13">
        <f t="shared" si="13"/>
        <v>6.2206479552880918E-3</v>
      </c>
      <c r="U48" s="113"/>
      <c r="V48" s="13"/>
      <c r="W48" t="s">
        <v>6</v>
      </c>
      <c r="X48" s="130">
        <v>1741733.53727437</v>
      </c>
      <c r="Y48">
        <v>228923.53117451974</v>
      </c>
      <c r="Z48">
        <v>7.608363929816198</v>
      </c>
      <c r="AA48">
        <v>5.8309163701212434E-12</v>
      </c>
      <c r="AB48">
        <v>1288665.4575124471</v>
      </c>
      <c r="AC48">
        <v>2194801.6170362928</v>
      </c>
      <c r="AD48">
        <v>1288665.4575124471</v>
      </c>
      <c r="AE48">
        <v>2194801.6170362928</v>
      </c>
    </row>
    <row r="49" spans="1:31" x14ac:dyDescent="0.2">
      <c r="A49" s="90">
        <v>41973</v>
      </c>
      <c r="B49" s="92">
        <v>64852403.060000002</v>
      </c>
      <c r="C49" s="105">
        <f>+'Weather Analysis '!U18</f>
        <v>616.1</v>
      </c>
      <c r="D49" s="105">
        <f>'Weather Analysis '!U38</f>
        <v>0</v>
      </c>
      <c r="E49" s="91">
        <v>1</v>
      </c>
      <c r="F49" s="91">
        <v>30</v>
      </c>
      <c r="G49" s="108">
        <v>47</v>
      </c>
      <c r="H49" s="108">
        <v>33513</v>
      </c>
      <c r="I49" s="91">
        <v>304</v>
      </c>
      <c r="J49" s="118">
        <f t="shared" si="14"/>
        <v>1.0408170385773401</v>
      </c>
      <c r="K49" s="129" t="e">
        <f>#REF!</f>
        <v>#REF!</v>
      </c>
      <c r="L49" s="93" t="e">
        <f t="shared" si="9"/>
        <v>#REF!</v>
      </c>
      <c r="M49" s="93" t="e">
        <f t="shared" si="10"/>
        <v>#REF!</v>
      </c>
      <c r="N49" s="110">
        <v>149.26952466268912</v>
      </c>
      <c r="O49" s="91"/>
      <c r="P49" s="91">
        <v>0</v>
      </c>
      <c r="Q49" s="108">
        <f t="shared" si="5"/>
        <v>62828156.282940291</v>
      </c>
      <c r="R49" s="36">
        <f t="shared" si="11"/>
        <v>-2024246.7770597115</v>
      </c>
      <c r="S49" s="58">
        <f t="shared" si="12"/>
        <v>-3.1213134464530532E-2</v>
      </c>
      <c r="T49" s="13">
        <f t="shared" si="13"/>
        <v>3.1213134464530532E-2</v>
      </c>
      <c r="U49" s="113"/>
      <c r="V49" s="13"/>
      <c r="W49" t="s">
        <v>214</v>
      </c>
      <c r="X49" s="130">
        <v>-55517.839006193237</v>
      </c>
      <c r="Y49">
        <v>14179.522188285111</v>
      </c>
      <c r="Z49">
        <v>-3.9153533009780235</v>
      </c>
      <c r="AA49">
        <v>1.4755086244547765E-4</v>
      </c>
      <c r="AB49">
        <v>-83580.873229138</v>
      </c>
      <c r="AC49">
        <v>-27454.804783248466</v>
      </c>
      <c r="AD49">
        <v>-83580.873229138</v>
      </c>
      <c r="AE49">
        <v>-27454.804783248466</v>
      </c>
    </row>
    <row r="50" spans="1:31" ht="13.5" thickBot="1" x14ac:dyDescent="0.25">
      <c r="A50" s="90">
        <v>42004</v>
      </c>
      <c r="B50" s="92">
        <v>71265383.040000007</v>
      </c>
      <c r="C50" s="105">
        <f>+'Weather Analysis '!U19</f>
        <v>691.4</v>
      </c>
      <c r="D50" s="105">
        <f>'Weather Analysis '!U39</f>
        <v>0</v>
      </c>
      <c r="E50" s="91">
        <v>0</v>
      </c>
      <c r="F50" s="91">
        <v>31</v>
      </c>
      <c r="G50" s="108">
        <v>48</v>
      </c>
      <c r="H50" s="108">
        <v>33513</v>
      </c>
      <c r="I50" s="91">
        <v>336</v>
      </c>
      <c r="J50" s="118">
        <f t="shared" si="14"/>
        <v>1.0408170385773401</v>
      </c>
      <c r="K50" s="129" t="e">
        <f>#REF!</f>
        <v>#REF!</v>
      </c>
      <c r="L50" s="93" t="e">
        <f t="shared" si="9"/>
        <v>#REF!</v>
      </c>
      <c r="M50" s="93" t="e">
        <f t="shared" si="10"/>
        <v>#REF!</v>
      </c>
      <c r="N50" s="110">
        <v>149.5038345621933</v>
      </c>
      <c r="O50" s="91"/>
      <c r="P50" s="91">
        <v>0</v>
      </c>
      <c r="Q50" s="108">
        <f t="shared" si="5"/>
        <v>69940966.745378405</v>
      </c>
      <c r="R50" s="36">
        <f t="shared" si="11"/>
        <v>-1324416.2946216017</v>
      </c>
      <c r="S50" s="58">
        <f t="shared" si="12"/>
        <v>-1.85842864813935E-2</v>
      </c>
      <c r="T50" s="13">
        <f t="shared" si="13"/>
        <v>1.85842864813935E-2</v>
      </c>
      <c r="U50" s="113"/>
      <c r="V50" s="13"/>
      <c r="W50" s="24" t="s">
        <v>81</v>
      </c>
      <c r="X50" s="131">
        <v>-3805.0783025697378</v>
      </c>
      <c r="Y50" s="24">
        <v>2393.8178169765988</v>
      </c>
      <c r="Z50" s="24">
        <v>-1.5895438138962332</v>
      </c>
      <c r="AA50" s="24">
        <v>0.11446377578537957</v>
      </c>
      <c r="AB50" s="24">
        <v>-8542.7408577163715</v>
      </c>
      <c r="AC50" s="24">
        <v>932.58425257689623</v>
      </c>
      <c r="AD50" s="24">
        <v>-8542.7408577163715</v>
      </c>
      <c r="AE50" s="24">
        <v>932.58425257689623</v>
      </c>
    </row>
    <row r="51" spans="1:31" x14ac:dyDescent="0.2">
      <c r="A51" s="90">
        <v>42035</v>
      </c>
      <c r="B51" s="92">
        <v>79807046.409999996</v>
      </c>
      <c r="C51" s="106">
        <f>+'Weather Analysis '!V8</f>
        <v>954.19999999999993</v>
      </c>
      <c r="D51" s="106">
        <f>'Weather Analysis '!V28</f>
        <v>0</v>
      </c>
      <c r="E51" s="91">
        <v>0</v>
      </c>
      <c r="F51" s="91">
        <v>31</v>
      </c>
      <c r="G51" s="108">
        <v>49</v>
      </c>
      <c r="H51" s="108">
        <v>33539</v>
      </c>
      <c r="I51" s="91">
        <v>336</v>
      </c>
      <c r="J51" s="118">
        <f>'Rate Class Energy Model'!F10</f>
        <v>1.0435171705156632</v>
      </c>
      <c r="K51" s="129" t="e">
        <f>#REF!</f>
        <v>#REF!</v>
      </c>
      <c r="L51" s="93" t="e">
        <f t="shared" si="9"/>
        <v>#REF!</v>
      </c>
      <c r="M51" s="93" t="e">
        <f t="shared" si="10"/>
        <v>#REF!</v>
      </c>
      <c r="N51" s="110">
        <v>149.79960271328571</v>
      </c>
      <c r="O51" s="91"/>
      <c r="P51" s="112">
        <v>0</v>
      </c>
      <c r="Q51" s="108">
        <f t="shared" si="5"/>
        <v>79097710.411203697</v>
      </c>
      <c r="R51" s="36">
        <f t="shared" si="11"/>
        <v>-709335.9987962991</v>
      </c>
      <c r="S51" s="58">
        <f t="shared" si="12"/>
        <v>-8.8881374603460798E-3</v>
      </c>
      <c r="T51" s="13">
        <f t="shared" si="13"/>
        <v>8.8881374603460798E-3</v>
      </c>
      <c r="U51" s="113"/>
      <c r="V51" s="13"/>
      <c r="W51"/>
      <c r="X51"/>
    </row>
    <row r="52" spans="1:31" x14ac:dyDescent="0.2">
      <c r="A52" s="90">
        <v>42063</v>
      </c>
      <c r="B52" s="92">
        <v>75728989.640000001</v>
      </c>
      <c r="C52" s="106">
        <f>+'Weather Analysis '!V9</f>
        <v>1015.2</v>
      </c>
      <c r="D52" s="106">
        <f>'Weather Analysis '!V29</f>
        <v>0</v>
      </c>
      <c r="E52" s="91">
        <v>0</v>
      </c>
      <c r="F52" s="91">
        <v>28</v>
      </c>
      <c r="G52" s="108">
        <v>50</v>
      </c>
      <c r="H52" s="108">
        <v>33539</v>
      </c>
      <c r="I52" s="91">
        <v>304</v>
      </c>
      <c r="J52" s="118">
        <f>J51</f>
        <v>1.0435171705156632</v>
      </c>
      <c r="K52" s="129" t="e">
        <f>#REF!</f>
        <v>#REF!</v>
      </c>
      <c r="L52" s="93" t="e">
        <f t="shared" si="9"/>
        <v>#REF!</v>
      </c>
      <c r="M52" s="93" t="e">
        <f t="shared" si="10"/>
        <v>#REF!</v>
      </c>
      <c r="N52" s="110">
        <v>150.09595599183959</v>
      </c>
      <c r="O52" s="91"/>
      <c r="P52" s="112"/>
      <c r="Q52" s="108">
        <f t="shared" si="5"/>
        <v>76027610.949101374</v>
      </c>
      <c r="R52" s="36">
        <f t="shared" si="11"/>
        <v>298621.30910137296</v>
      </c>
      <c r="S52" s="58">
        <f t="shared" si="12"/>
        <v>3.943289228087646E-3</v>
      </c>
      <c r="T52" s="13">
        <f t="shared" si="13"/>
        <v>3.943289228087646E-3</v>
      </c>
      <c r="U52" s="113"/>
      <c r="V52" s="13"/>
      <c r="W52"/>
      <c r="X52"/>
    </row>
    <row r="53" spans="1:31" x14ac:dyDescent="0.2">
      <c r="A53" s="90">
        <v>42094</v>
      </c>
      <c r="B53" s="92">
        <v>70753090.569999993</v>
      </c>
      <c r="C53" s="106">
        <f>+'Weather Analysis '!V10</f>
        <v>786.60000000000025</v>
      </c>
      <c r="D53" s="106">
        <f>'Weather Analysis '!V30</f>
        <v>0</v>
      </c>
      <c r="E53" s="91">
        <v>1</v>
      </c>
      <c r="F53" s="91">
        <v>31</v>
      </c>
      <c r="G53" s="108">
        <v>51</v>
      </c>
      <c r="H53" s="108">
        <v>33539</v>
      </c>
      <c r="I53" s="91">
        <v>352</v>
      </c>
      <c r="J53" s="118">
        <f t="shared" ref="J53:J62" si="15">J52</f>
        <v>1.0435171705156632</v>
      </c>
      <c r="K53" s="129" t="e">
        <f>#REF!</f>
        <v>#REF!</v>
      </c>
      <c r="L53" s="93" t="e">
        <f t="shared" si="9"/>
        <v>#REF!</v>
      </c>
      <c r="M53" s="93" t="e">
        <f t="shared" si="10"/>
        <v>#REF!</v>
      </c>
      <c r="N53" s="110">
        <v>150.39289555543107</v>
      </c>
      <c r="O53" s="91"/>
      <c r="P53" s="112"/>
      <c r="Q53" s="108">
        <f t="shared" si="5"/>
        <v>70262512.520447493</v>
      </c>
      <c r="R53" s="36">
        <f t="shared" si="11"/>
        <v>-490578.04955250025</v>
      </c>
      <c r="S53" s="58">
        <f t="shared" si="12"/>
        <v>-6.9336624817419659E-3</v>
      </c>
      <c r="T53" s="13">
        <f t="shared" si="13"/>
        <v>6.9336624817419659E-3</v>
      </c>
      <c r="U53" s="113"/>
      <c r="V53" s="13"/>
      <c r="W53" s="211" t="s">
        <v>23</v>
      </c>
      <c r="X53" s="257" t="s">
        <v>351</v>
      </c>
    </row>
    <row r="54" spans="1:31" ht="13.5" thickBot="1" x14ac:dyDescent="0.25">
      <c r="A54" s="90">
        <v>42124</v>
      </c>
      <c r="B54" s="92">
        <v>57109491.909999996</v>
      </c>
      <c r="C54" s="106">
        <f>+'Weather Analysis '!V11</f>
        <v>474.40000000000003</v>
      </c>
      <c r="D54" s="106">
        <f>'Weather Analysis '!V31</f>
        <v>0</v>
      </c>
      <c r="E54" s="91">
        <v>1</v>
      </c>
      <c r="F54" s="91">
        <v>30</v>
      </c>
      <c r="G54" s="108">
        <v>52</v>
      </c>
      <c r="H54" s="108">
        <v>33261</v>
      </c>
      <c r="I54" s="91">
        <v>336</v>
      </c>
      <c r="J54" s="118">
        <f t="shared" si="15"/>
        <v>1.0435171705156632</v>
      </c>
      <c r="K54" s="129" t="e">
        <f>#REF!</f>
        <v>#REF!</v>
      </c>
      <c r="L54" s="93" t="e">
        <f t="shared" si="9"/>
        <v>#REF!</v>
      </c>
      <c r="M54" s="93" t="e">
        <f t="shared" si="10"/>
        <v>#REF!</v>
      </c>
      <c r="N54" s="110">
        <v>150.69042256392635</v>
      </c>
      <c r="O54" s="91"/>
      <c r="P54" s="112"/>
      <c r="Q54" s="108">
        <f t="shared" si="5"/>
        <v>57535794.164737694</v>
      </c>
      <c r="R54" s="36">
        <f t="shared" si="11"/>
        <v>426302.25473769754</v>
      </c>
      <c r="S54" s="58">
        <f t="shared" si="12"/>
        <v>7.4646480029889935E-3</v>
      </c>
      <c r="T54" s="13">
        <f t="shared" si="13"/>
        <v>7.4646480029889935E-3</v>
      </c>
      <c r="U54" s="113"/>
      <c r="V54" s="13"/>
      <c r="W54"/>
      <c r="X54"/>
    </row>
    <row r="55" spans="1:31" x14ac:dyDescent="0.2">
      <c r="A55" s="90">
        <v>42155</v>
      </c>
      <c r="B55" s="92">
        <v>49113111.240000002</v>
      </c>
      <c r="C55" s="106">
        <f>+'Weather Analysis '!V12</f>
        <v>242.9</v>
      </c>
      <c r="D55" s="106">
        <f>'Weather Analysis '!V32</f>
        <v>1.1000000000000001</v>
      </c>
      <c r="E55" s="91">
        <v>1</v>
      </c>
      <c r="F55" s="91">
        <v>31</v>
      </c>
      <c r="G55" s="108">
        <v>53</v>
      </c>
      <c r="H55" s="108">
        <v>33261</v>
      </c>
      <c r="I55" s="91">
        <v>320</v>
      </c>
      <c r="J55" s="118">
        <f t="shared" si="15"/>
        <v>1.0435171705156632</v>
      </c>
      <c r="K55" s="129" t="e">
        <f>#REF!</f>
        <v>#REF!</v>
      </c>
      <c r="L55" s="93" t="e">
        <f t="shared" si="9"/>
        <v>#REF!</v>
      </c>
      <c r="M55" s="93" t="e">
        <f t="shared" si="10"/>
        <v>#REF!</v>
      </c>
      <c r="N55" s="110">
        <v>150.9885381794862</v>
      </c>
      <c r="O55" s="91"/>
      <c r="P55" s="112"/>
      <c r="Q55" s="108">
        <f t="shared" si="5"/>
        <v>51194931.364639647</v>
      </c>
      <c r="R55" s="36">
        <f t="shared" si="11"/>
        <v>2081820.1246396452</v>
      </c>
      <c r="S55" s="58">
        <f t="shared" si="12"/>
        <v>4.2388276207273021E-2</v>
      </c>
      <c r="T55" s="13">
        <f t="shared" si="13"/>
        <v>4.2388276207273021E-2</v>
      </c>
      <c r="U55" s="113"/>
      <c r="V55" s="13"/>
      <c r="W55" s="26" t="s">
        <v>24</v>
      </c>
      <c r="X55" s="26"/>
    </row>
    <row r="56" spans="1:31" x14ac:dyDescent="0.2">
      <c r="A56" s="90">
        <v>42185</v>
      </c>
      <c r="B56" s="92">
        <v>46018521.689999998</v>
      </c>
      <c r="C56" s="106">
        <f>+'Weather Analysis '!V13</f>
        <v>141.80000000000001</v>
      </c>
      <c r="D56" s="106">
        <f>'Weather Analysis '!V33</f>
        <v>0.4</v>
      </c>
      <c r="E56" s="91">
        <v>0</v>
      </c>
      <c r="F56" s="91">
        <v>30</v>
      </c>
      <c r="G56" s="108">
        <v>54</v>
      </c>
      <c r="H56" s="108">
        <v>33261</v>
      </c>
      <c r="I56" s="91">
        <v>352</v>
      </c>
      <c r="J56" s="118">
        <f t="shared" si="15"/>
        <v>1.0435171705156632</v>
      </c>
      <c r="K56" s="129" t="e">
        <f>#REF!</f>
        <v>#REF!</v>
      </c>
      <c r="L56" s="93" t="e">
        <f t="shared" si="9"/>
        <v>#REF!</v>
      </c>
      <c r="M56" s="93" t="e">
        <f t="shared" si="10"/>
        <v>#REF!</v>
      </c>
      <c r="N56" s="110">
        <v>151.28724356657051</v>
      </c>
      <c r="O56" s="91"/>
      <c r="P56" s="112"/>
      <c r="Q56" s="108">
        <f t="shared" si="5"/>
        <v>48600228.813645937</v>
      </c>
      <c r="R56" s="36">
        <f t="shared" si="11"/>
        <v>2581707.1236459389</v>
      </c>
      <c r="S56" s="58">
        <f t="shared" si="12"/>
        <v>5.6101478900982465E-2</v>
      </c>
      <c r="T56" s="13">
        <f t="shared" si="13"/>
        <v>5.6101478900982465E-2</v>
      </c>
      <c r="U56" s="113"/>
      <c r="V56" s="13"/>
      <c r="W56" t="s">
        <v>25</v>
      </c>
      <c r="X56" s="261">
        <v>0.97492356897765553</v>
      </c>
    </row>
    <row r="57" spans="1:31" x14ac:dyDescent="0.2">
      <c r="A57" s="90">
        <v>42216</v>
      </c>
      <c r="B57" s="92">
        <v>50056825.770000003</v>
      </c>
      <c r="C57" s="106">
        <f>+'Weather Analysis '!V14</f>
        <v>52.599999999999994</v>
      </c>
      <c r="D57" s="106">
        <f>'Weather Analysis '!V34</f>
        <v>29.2</v>
      </c>
      <c r="E57" s="91">
        <v>0</v>
      </c>
      <c r="F57" s="91">
        <v>31</v>
      </c>
      <c r="G57" s="108">
        <v>55</v>
      </c>
      <c r="H57" s="108">
        <v>33371</v>
      </c>
      <c r="I57" s="91">
        <v>352</v>
      </c>
      <c r="J57" s="118">
        <f t="shared" si="15"/>
        <v>1.0435171705156632</v>
      </c>
      <c r="K57" s="129" t="e">
        <f>#REF!</f>
        <v>#REF!</v>
      </c>
      <c r="L57" s="93" t="e">
        <f t="shared" si="9"/>
        <v>#REF!</v>
      </c>
      <c r="M57" s="93" t="e">
        <f t="shared" si="10"/>
        <v>#REF!</v>
      </c>
      <c r="N57" s="110">
        <v>151.58653989194292</v>
      </c>
      <c r="O57" s="91"/>
      <c r="P57" s="112"/>
      <c r="Q57" s="108">
        <f t="shared" si="5"/>
        <v>50655933.097290568</v>
      </c>
      <c r="R57" s="36">
        <f t="shared" si="11"/>
        <v>599107.32729056478</v>
      </c>
      <c r="S57" s="58">
        <f t="shared" si="12"/>
        <v>1.1968544111113436E-2</v>
      </c>
      <c r="T57" s="13">
        <f t="shared" si="13"/>
        <v>1.1968544111113436E-2</v>
      </c>
      <c r="U57" s="113"/>
      <c r="V57" s="13"/>
      <c r="W57" t="s">
        <v>26</v>
      </c>
      <c r="X57" s="261">
        <v>0.95047596534812939</v>
      </c>
    </row>
    <row r="58" spans="1:31" x14ac:dyDescent="0.2">
      <c r="A58" s="90">
        <v>42247</v>
      </c>
      <c r="B58" s="92">
        <v>49818189.549999997</v>
      </c>
      <c r="C58" s="106">
        <f>+'Weather Analysis '!V15</f>
        <v>37.5</v>
      </c>
      <c r="D58" s="106">
        <f>'Weather Analysis '!V35</f>
        <v>35.6</v>
      </c>
      <c r="E58" s="91">
        <v>0</v>
      </c>
      <c r="F58" s="91">
        <v>31</v>
      </c>
      <c r="G58" s="108">
        <v>56</v>
      </c>
      <c r="H58" s="108">
        <v>33371</v>
      </c>
      <c r="I58" s="91">
        <v>320</v>
      </c>
      <c r="J58" s="118">
        <f t="shared" si="15"/>
        <v>1.0435171705156632</v>
      </c>
      <c r="K58" s="129" t="e">
        <f>#REF!</f>
        <v>#REF!</v>
      </c>
      <c r="L58" s="93" t="e">
        <f t="shared" si="9"/>
        <v>#REF!</v>
      </c>
      <c r="M58" s="93" t="e">
        <f t="shared" si="10"/>
        <v>#REF!</v>
      </c>
      <c r="N58" s="110">
        <v>151.88642832467528</v>
      </c>
      <c r="O58" s="91"/>
      <c r="P58" s="112"/>
      <c r="Q58" s="108">
        <f t="shared" si="5"/>
        <v>50847129.136571594</v>
      </c>
      <c r="R58" s="36">
        <f t="shared" si="11"/>
        <v>1028939.5865715966</v>
      </c>
      <c r="S58" s="58">
        <f t="shared" si="12"/>
        <v>2.0653893605244365E-2</v>
      </c>
      <c r="T58" s="13">
        <f t="shared" si="13"/>
        <v>2.0653893605244365E-2</v>
      </c>
      <c r="U58" s="113"/>
      <c r="V58" s="13"/>
      <c r="W58" t="s">
        <v>27</v>
      </c>
      <c r="X58" s="261">
        <v>0.94809881168483956</v>
      </c>
    </row>
    <row r="59" spans="1:31" x14ac:dyDescent="0.2">
      <c r="A59" s="90">
        <v>42277</v>
      </c>
      <c r="B59" s="92">
        <v>48683583.240000002</v>
      </c>
      <c r="C59" s="106">
        <f>+'Weather Analysis '!V16</f>
        <v>75.5</v>
      </c>
      <c r="D59" s="106">
        <f>'Weather Analysis '!V36</f>
        <v>31.4</v>
      </c>
      <c r="E59" s="91">
        <v>1</v>
      </c>
      <c r="F59" s="91">
        <v>30</v>
      </c>
      <c r="G59" s="108">
        <v>57</v>
      </c>
      <c r="H59" s="108">
        <v>33371</v>
      </c>
      <c r="I59" s="91">
        <v>336</v>
      </c>
      <c r="J59" s="118">
        <f t="shared" si="15"/>
        <v>1.0435171705156632</v>
      </c>
      <c r="K59" s="129" t="e">
        <f>#REF!</f>
        <v>#REF!</v>
      </c>
      <c r="L59" s="93" t="e">
        <f t="shared" si="9"/>
        <v>#REF!</v>
      </c>
      <c r="M59" s="93" t="e">
        <f t="shared" si="10"/>
        <v>#REF!</v>
      </c>
      <c r="N59" s="110">
        <v>152.18691003615226</v>
      </c>
      <c r="O59" s="91"/>
      <c r="P59" s="112"/>
      <c r="Q59" s="108">
        <f t="shared" si="5"/>
        <v>47062481.355445191</v>
      </c>
      <c r="R59" s="36">
        <f t="shared" si="11"/>
        <v>-1621101.8845548108</v>
      </c>
      <c r="S59" s="58">
        <f t="shared" si="12"/>
        <v>-3.3298738027624501E-2</v>
      </c>
      <c r="T59" s="13">
        <f t="shared" si="13"/>
        <v>3.3298738027624501E-2</v>
      </c>
      <c r="U59" s="113"/>
      <c r="V59" s="13"/>
      <c r="W59" t="s">
        <v>28</v>
      </c>
      <c r="X59">
        <v>2244679.7638867721</v>
      </c>
    </row>
    <row r="60" spans="1:31" ht="13.5" thickBot="1" x14ac:dyDescent="0.25">
      <c r="A60" s="90">
        <v>42308</v>
      </c>
      <c r="B60" s="92">
        <v>52100032.990000002</v>
      </c>
      <c r="C60" s="106">
        <f>+'Weather Analysis '!V17</f>
        <v>331.19999999999993</v>
      </c>
      <c r="D60" s="106">
        <f>'Weather Analysis '!V37</f>
        <v>0</v>
      </c>
      <c r="E60" s="91">
        <v>1</v>
      </c>
      <c r="F60" s="91">
        <v>31</v>
      </c>
      <c r="G60" s="108">
        <v>58</v>
      </c>
      <c r="H60" s="108">
        <v>33411</v>
      </c>
      <c r="I60" s="91">
        <v>336</v>
      </c>
      <c r="J60" s="118">
        <f t="shared" si="15"/>
        <v>1.0435171705156632</v>
      </c>
      <c r="K60" s="129" t="e">
        <f>#REF!</f>
        <v>#REF!</v>
      </c>
      <c r="L60" s="93" t="e">
        <f t="shared" si="9"/>
        <v>#REF!</v>
      </c>
      <c r="M60" s="93" t="e">
        <f t="shared" si="10"/>
        <v>#REF!</v>
      </c>
      <c r="N60" s="110">
        <v>152.48798620007588</v>
      </c>
      <c r="O60" s="91"/>
      <c r="P60" s="112"/>
      <c r="Q60" s="108">
        <f t="shared" si="5"/>
        <v>53822591.797848456</v>
      </c>
      <c r="R60" s="36">
        <f t="shared" si="11"/>
        <v>1722558.8078484535</v>
      </c>
      <c r="S60" s="58">
        <f t="shared" si="12"/>
        <v>3.3062528159609396E-2</v>
      </c>
      <c r="T60" s="13">
        <f t="shared" si="13"/>
        <v>3.3062528159609396E-2</v>
      </c>
      <c r="U60" s="113"/>
      <c r="V60" s="13"/>
      <c r="W60" s="24" t="s">
        <v>29</v>
      </c>
      <c r="X60" s="24">
        <v>132</v>
      </c>
    </row>
    <row r="61" spans="1:31" x14ac:dyDescent="0.2">
      <c r="A61" s="90">
        <v>42338</v>
      </c>
      <c r="B61" s="92">
        <v>55680534.289999999</v>
      </c>
      <c r="C61" s="106">
        <f>+'Weather Analysis '!V18</f>
        <v>413.00000000000006</v>
      </c>
      <c r="D61" s="106">
        <f>'Weather Analysis '!V38</f>
        <v>0</v>
      </c>
      <c r="E61" s="91">
        <v>1</v>
      </c>
      <c r="F61" s="91">
        <v>30</v>
      </c>
      <c r="G61" s="108">
        <v>59</v>
      </c>
      <c r="H61" s="108">
        <v>33411</v>
      </c>
      <c r="I61" s="91">
        <v>320</v>
      </c>
      <c r="J61" s="118">
        <f t="shared" si="15"/>
        <v>1.0435171705156632</v>
      </c>
      <c r="K61" s="129" t="e">
        <f>#REF!</f>
        <v>#REF!</v>
      </c>
      <c r="L61" s="93" t="e">
        <f t="shared" si="9"/>
        <v>#REF!</v>
      </c>
      <c r="M61" s="93" t="e">
        <f t="shared" si="10"/>
        <v>#REF!</v>
      </c>
      <c r="N61" s="110">
        <v>152.78965799247018</v>
      </c>
      <c r="O61" s="91"/>
      <c r="P61" s="112"/>
      <c r="Q61" s="108">
        <f t="shared" si="5"/>
        <v>54912626.796956822</v>
      </c>
      <c r="R61" s="36">
        <f t="shared" si="11"/>
        <v>-767907.49304317683</v>
      </c>
      <c r="S61" s="58">
        <f t="shared" si="12"/>
        <v>-1.3791309706974021E-2</v>
      </c>
      <c r="T61" s="13">
        <f t="shared" si="13"/>
        <v>1.3791309706974021E-2</v>
      </c>
      <c r="U61" s="113"/>
      <c r="V61" s="13"/>
      <c r="W61"/>
      <c r="X61"/>
    </row>
    <row r="62" spans="1:31" ht="13.5" thickBot="1" x14ac:dyDescent="0.25">
      <c r="A62" s="90">
        <v>42369</v>
      </c>
      <c r="B62" s="92">
        <v>63647959.810000002</v>
      </c>
      <c r="C62" s="106">
        <f>+'Weather Analysis '!V19</f>
        <v>541.20000000000005</v>
      </c>
      <c r="D62" s="106">
        <f>'Weather Analysis '!V39</f>
        <v>0</v>
      </c>
      <c r="E62" s="91">
        <v>0</v>
      </c>
      <c r="F62" s="91">
        <v>31</v>
      </c>
      <c r="G62" s="108">
        <v>60</v>
      </c>
      <c r="H62" s="108">
        <v>33411</v>
      </c>
      <c r="I62" s="91">
        <v>352</v>
      </c>
      <c r="J62" s="118">
        <f t="shared" si="15"/>
        <v>1.0435171705156632</v>
      </c>
      <c r="K62" s="129" t="e">
        <f>#REF!</f>
        <v>#REF!</v>
      </c>
      <c r="L62" s="93" t="e">
        <f t="shared" si="9"/>
        <v>#REF!</v>
      </c>
      <c r="M62" s="93" t="e">
        <f t="shared" si="10"/>
        <v>#REF!</v>
      </c>
      <c r="N62" s="110">
        <v>153.09192659168593</v>
      </c>
      <c r="O62" s="91"/>
      <c r="P62" s="112"/>
      <c r="Q62" s="108">
        <f t="shared" si="5"/>
        <v>63882134.004221246</v>
      </c>
      <c r="R62" s="36">
        <f t="shared" si="11"/>
        <v>234174.19422124326</v>
      </c>
      <c r="S62" s="58">
        <f t="shared" si="12"/>
        <v>3.6792097487538186E-3</v>
      </c>
      <c r="T62" s="13">
        <f t="shared" si="13"/>
        <v>3.6792097487538186E-3</v>
      </c>
      <c r="U62" s="113"/>
      <c r="V62" s="13"/>
      <c r="W62" t="s">
        <v>30</v>
      </c>
      <c r="X62"/>
    </row>
    <row r="63" spans="1:31" x14ac:dyDescent="0.2">
      <c r="A63" s="90">
        <v>42400</v>
      </c>
      <c r="B63" s="92">
        <v>71224982.780000001</v>
      </c>
      <c r="C63" s="106">
        <v>794.2</v>
      </c>
      <c r="D63" s="106">
        <f>'Weather Analysis '!W28</f>
        <v>0</v>
      </c>
      <c r="E63" s="91">
        <v>0</v>
      </c>
      <c r="F63" s="91">
        <v>31</v>
      </c>
      <c r="G63" s="108">
        <v>61</v>
      </c>
      <c r="H63" s="108">
        <v>33412</v>
      </c>
      <c r="I63" s="91">
        <v>320</v>
      </c>
      <c r="J63" s="118">
        <f>'Rate Class Energy Model'!F11</f>
        <v>1.0519444996030285</v>
      </c>
      <c r="K63" s="129" t="e">
        <f>#REF!</f>
        <v>#REF!</v>
      </c>
      <c r="L63" s="93" t="e">
        <f t="shared" si="9"/>
        <v>#REF!</v>
      </c>
      <c r="M63" s="93" t="e">
        <f t="shared" si="10"/>
        <v>#REF!</v>
      </c>
      <c r="N63" s="110">
        <v>153.40727089469959</v>
      </c>
      <c r="O63" s="91"/>
      <c r="P63" s="112"/>
      <c r="Q63" s="108">
        <f t="shared" si="5"/>
        <v>72695989.773321822</v>
      </c>
      <c r="R63" s="36">
        <f t="shared" si="11"/>
        <v>1471006.9933218211</v>
      </c>
      <c r="S63" s="58">
        <f t="shared" si="12"/>
        <v>2.0652963832444481E-2</v>
      </c>
      <c r="T63" s="13">
        <f t="shared" si="13"/>
        <v>2.0652963832444481E-2</v>
      </c>
      <c r="U63" s="113"/>
      <c r="W63" s="25"/>
      <c r="X63" s="25" t="s">
        <v>34</v>
      </c>
      <c r="Y63" s="25" t="s">
        <v>35</v>
      </c>
      <c r="Z63" s="25" t="s">
        <v>36</v>
      </c>
      <c r="AA63" s="25" t="s">
        <v>37</v>
      </c>
      <c r="AB63" s="25" t="s">
        <v>38</v>
      </c>
    </row>
    <row r="64" spans="1:31" x14ac:dyDescent="0.2">
      <c r="A64" s="90">
        <v>42429</v>
      </c>
      <c r="B64" s="92">
        <v>65961523.409999996</v>
      </c>
      <c r="C64" s="106">
        <v>731.2</v>
      </c>
      <c r="D64" s="106">
        <f>'Weather Analysis '!W29</f>
        <v>0</v>
      </c>
      <c r="E64" s="91">
        <v>0</v>
      </c>
      <c r="F64" s="91">
        <v>29</v>
      </c>
      <c r="G64" s="108">
        <v>62</v>
      </c>
      <c r="H64" s="108">
        <v>33412</v>
      </c>
      <c r="I64" s="91">
        <v>320</v>
      </c>
      <c r="J64" s="118">
        <f>J63</f>
        <v>1.0519444996030285</v>
      </c>
      <c r="K64" s="129" t="e">
        <f>#REF!</f>
        <v>#REF!</v>
      </c>
      <c r="L64" s="93" t="e">
        <f t="shared" si="9"/>
        <v>#REF!</v>
      </c>
      <c r="M64" s="93" t="e">
        <f t="shared" si="10"/>
        <v>#REF!</v>
      </c>
      <c r="N64" s="110">
        <v>153.72326475534609</v>
      </c>
      <c r="O64" s="91"/>
      <c r="P64" s="112"/>
      <c r="Q64" s="108">
        <f t="shared" si="5"/>
        <v>66988754.469903216</v>
      </c>
      <c r="R64" s="36">
        <f t="shared" si="11"/>
        <v>1027231.0599032193</v>
      </c>
      <c r="S64" s="58">
        <f t="shared" si="12"/>
        <v>1.5573185802853782E-2</v>
      </c>
      <c r="T64" s="13">
        <f t="shared" si="13"/>
        <v>1.5573185802853782E-2</v>
      </c>
      <c r="U64" s="113"/>
      <c r="W64" t="s">
        <v>31</v>
      </c>
      <c r="X64">
        <v>6</v>
      </c>
      <c r="Y64">
        <v>1.2087706774292098E+16</v>
      </c>
      <c r="Z64">
        <v>2014617795715349.8</v>
      </c>
      <c r="AA64">
        <v>399.83783127959282</v>
      </c>
      <c r="AB64">
        <v>4.9419642895851772E-79</v>
      </c>
    </row>
    <row r="65" spans="1:31" x14ac:dyDescent="0.2">
      <c r="A65" s="90">
        <v>42460</v>
      </c>
      <c r="B65" s="92">
        <v>61438716.170000002</v>
      </c>
      <c r="C65" s="106">
        <v>588.79999999999995</v>
      </c>
      <c r="D65" s="106">
        <f>'Weather Analysis '!W30</f>
        <v>0</v>
      </c>
      <c r="E65" s="91">
        <v>1</v>
      </c>
      <c r="F65" s="91">
        <v>31</v>
      </c>
      <c r="G65" s="108">
        <v>63</v>
      </c>
      <c r="H65" s="108">
        <v>33412</v>
      </c>
      <c r="I65" s="91">
        <v>352</v>
      </c>
      <c r="J65" s="118">
        <f t="shared" ref="J65:J74" si="16">J64</f>
        <v>1.0519444996030285</v>
      </c>
      <c r="K65" s="129" t="e">
        <f>#REF!</f>
        <v>#REF!</v>
      </c>
      <c r="L65" s="93" t="e">
        <f t="shared" si="9"/>
        <v>#REF!</v>
      </c>
      <c r="M65" s="93" t="e">
        <f t="shared" si="10"/>
        <v>#REF!</v>
      </c>
      <c r="N65" s="110">
        <v>154.03990951160779</v>
      </c>
      <c r="O65" s="91"/>
      <c r="P65" s="112"/>
      <c r="Q65" s="108">
        <f t="shared" si="5"/>
        <v>62534078.518587649</v>
      </c>
      <c r="R65" s="36">
        <f t="shared" si="11"/>
        <v>1095362.3485876471</v>
      </c>
      <c r="S65" s="58">
        <f t="shared" si="12"/>
        <v>1.7828535764920543E-2</v>
      </c>
      <c r="T65" s="13">
        <f t="shared" si="13"/>
        <v>1.7828535764920543E-2</v>
      </c>
      <c r="U65" s="113"/>
      <c r="W65" t="s">
        <v>32</v>
      </c>
      <c r="X65">
        <v>125</v>
      </c>
      <c r="Y65">
        <v>629823405300346.88</v>
      </c>
      <c r="Z65">
        <v>5038587242402.7754</v>
      </c>
    </row>
    <row r="66" spans="1:31" ht="13.5" thickBot="1" x14ac:dyDescent="0.25">
      <c r="A66" s="90">
        <v>42490</v>
      </c>
      <c r="B66" s="92">
        <v>55510527.649999999</v>
      </c>
      <c r="C66" s="106">
        <v>499.7</v>
      </c>
      <c r="D66" s="106">
        <f>'Weather Analysis '!W31</f>
        <v>0</v>
      </c>
      <c r="E66" s="91">
        <v>1</v>
      </c>
      <c r="F66" s="91">
        <v>30</v>
      </c>
      <c r="G66" s="108">
        <v>64</v>
      </c>
      <c r="H66" s="108">
        <v>33360</v>
      </c>
      <c r="I66" s="91">
        <v>336</v>
      </c>
      <c r="J66" s="118">
        <f t="shared" si="16"/>
        <v>1.0519444996030285</v>
      </c>
      <c r="K66" s="129" t="e">
        <f>#REF!</f>
        <v>#REF!</v>
      </c>
      <c r="L66" s="93" t="e">
        <f t="shared" si="9"/>
        <v>#REF!</v>
      </c>
      <c r="M66" s="93" t="e">
        <f t="shared" si="10"/>
        <v>#REF!</v>
      </c>
      <c r="N66" s="110">
        <v>154.35720650422309</v>
      </c>
      <c r="O66" s="91"/>
      <c r="P66" s="112"/>
      <c r="Q66" s="108">
        <f t="shared" si="5"/>
        <v>57628060.430802122</v>
      </c>
      <c r="R66" s="36">
        <f t="shared" si="11"/>
        <v>2117532.7808021232</v>
      </c>
      <c r="S66" s="58">
        <f t="shared" si="12"/>
        <v>3.8146507886817456E-2</v>
      </c>
      <c r="T66" s="13">
        <f t="shared" si="13"/>
        <v>3.8146507886817456E-2</v>
      </c>
      <c r="U66" s="113"/>
      <c r="W66" s="24" t="s">
        <v>12</v>
      </c>
      <c r="X66" s="24">
        <v>131</v>
      </c>
      <c r="Y66" s="24">
        <v>1.2717530179592444E+16</v>
      </c>
      <c r="Z66" s="24"/>
      <c r="AA66" s="24"/>
      <c r="AB66" s="24"/>
    </row>
    <row r="67" spans="1:31" ht="13.5" thickBot="1" x14ac:dyDescent="0.25">
      <c r="A67" s="90">
        <v>42521</v>
      </c>
      <c r="B67" s="92">
        <v>47972677.969999999</v>
      </c>
      <c r="C67" s="106">
        <v>241.2</v>
      </c>
      <c r="D67" s="106">
        <f>'Weather Analysis '!W32</f>
        <v>3.5</v>
      </c>
      <c r="E67" s="91">
        <v>1</v>
      </c>
      <c r="F67" s="91">
        <v>31</v>
      </c>
      <c r="G67" s="108">
        <v>65</v>
      </c>
      <c r="H67" s="108">
        <v>33360</v>
      </c>
      <c r="I67" s="91">
        <v>336</v>
      </c>
      <c r="J67" s="118">
        <f t="shared" si="16"/>
        <v>1.0519444996030285</v>
      </c>
      <c r="K67" s="129" t="e">
        <f>#REF!</f>
        <v>#REF!</v>
      </c>
      <c r="L67" s="93" t="e">
        <f t="shared" ref="L67:L97" si="17">K67*J67</f>
        <v>#REF!</v>
      </c>
      <c r="M67" s="93" t="e">
        <f t="shared" ref="M67:M86" si="18">B67+L67</f>
        <v>#REF!</v>
      </c>
      <c r="N67" s="110">
        <v>154.6751570766921</v>
      </c>
      <c r="O67" s="91"/>
      <c r="P67" s="112"/>
      <c r="Q67" s="108">
        <f t="shared" si="5"/>
        <v>50634720.723462686</v>
      </c>
      <c r="R67" s="36">
        <f t="shared" ref="R67:R86" si="19">Q67-B67</f>
        <v>2662042.7534626871</v>
      </c>
      <c r="S67" s="58">
        <f t="shared" ref="S67:S86" si="20">R67/B67</f>
        <v>5.5490809896570951E-2</v>
      </c>
      <c r="T67" s="13">
        <f t="shared" si="13"/>
        <v>5.5490809896570951E-2</v>
      </c>
      <c r="U67" s="113"/>
      <c r="W67"/>
      <c r="X67"/>
    </row>
    <row r="68" spans="1:31" x14ac:dyDescent="0.2">
      <c r="A68" s="90">
        <v>42551</v>
      </c>
      <c r="B68" s="92">
        <v>46020697.049999997</v>
      </c>
      <c r="C68" s="106">
        <v>116.8</v>
      </c>
      <c r="D68" s="106">
        <f>'Weather Analysis '!W33</f>
        <v>10.199999999999999</v>
      </c>
      <c r="E68" s="91">
        <v>0</v>
      </c>
      <c r="F68" s="91">
        <v>30</v>
      </c>
      <c r="G68" s="108">
        <v>66</v>
      </c>
      <c r="H68" s="108">
        <v>33360</v>
      </c>
      <c r="I68" s="91">
        <v>352</v>
      </c>
      <c r="J68" s="118">
        <f t="shared" si="16"/>
        <v>1.0519444996030285</v>
      </c>
      <c r="K68" s="129" t="e">
        <f>#REF!</f>
        <v>#REF!</v>
      </c>
      <c r="L68" s="93" t="e">
        <f t="shared" si="17"/>
        <v>#REF!</v>
      </c>
      <c r="M68" s="93" t="e">
        <f t="shared" si="18"/>
        <v>#REF!</v>
      </c>
      <c r="N68" s="110">
        <v>154.99376257528229</v>
      </c>
      <c r="O68" s="91"/>
      <c r="P68" s="112"/>
      <c r="Q68" s="108">
        <f t="shared" ref="Q68:Q122" si="21">$X$69+C68*$X$70+D68*$X$71+E68*$X$72+F68*$X$73+G68*$X$74+ H68*$X$75</f>
        <v>48132353.691820629</v>
      </c>
      <c r="R68" s="36">
        <f t="shared" si="19"/>
        <v>2111656.6418206319</v>
      </c>
      <c r="S68" s="58">
        <f t="shared" si="20"/>
        <v>4.5884933892382927E-2</v>
      </c>
      <c r="T68" s="13">
        <f t="shared" si="13"/>
        <v>4.5884933892382927E-2</v>
      </c>
      <c r="U68" s="113"/>
      <c r="W68" s="25"/>
      <c r="X68" s="25" t="s">
        <v>39</v>
      </c>
      <c r="Y68" s="25" t="s">
        <v>28</v>
      </c>
      <c r="Z68" s="25" t="s">
        <v>40</v>
      </c>
      <c r="AA68" s="25" t="s">
        <v>41</v>
      </c>
      <c r="AB68" s="25" t="s">
        <v>42</v>
      </c>
      <c r="AC68" s="25" t="s">
        <v>43</v>
      </c>
      <c r="AD68" s="25" t="s">
        <v>216</v>
      </c>
      <c r="AE68" s="25" t="s">
        <v>217</v>
      </c>
    </row>
    <row r="69" spans="1:31" x14ac:dyDescent="0.2">
      <c r="A69" s="90">
        <v>42582</v>
      </c>
      <c r="B69" s="92">
        <v>50843952.109999999</v>
      </c>
      <c r="C69" s="106">
        <v>27.2</v>
      </c>
      <c r="D69" s="106">
        <f>'Weather Analysis '!W34</f>
        <v>44.2</v>
      </c>
      <c r="E69" s="91">
        <v>0</v>
      </c>
      <c r="F69" s="91">
        <v>31</v>
      </c>
      <c r="G69" s="108">
        <v>67</v>
      </c>
      <c r="H69" s="108">
        <v>33412</v>
      </c>
      <c r="I69" s="91">
        <v>320</v>
      </c>
      <c r="J69" s="118">
        <f t="shared" si="16"/>
        <v>1.0519444996030285</v>
      </c>
      <c r="K69" s="129" t="e">
        <f>#REF!</f>
        <v>#REF!</v>
      </c>
      <c r="L69" s="93" t="e">
        <f t="shared" si="17"/>
        <v>#REF!</v>
      </c>
      <c r="M69" s="93" t="e">
        <f t="shared" si="18"/>
        <v>#REF!</v>
      </c>
      <c r="N69" s="110">
        <v>155.31302434903424</v>
      </c>
      <c r="O69" s="91"/>
      <c r="P69" s="112"/>
      <c r="Q69" s="108">
        <f t="shared" si="21"/>
        <v>50816059.187007114</v>
      </c>
      <c r="R69" s="36">
        <f t="shared" si="19"/>
        <v>-27892.922992885113</v>
      </c>
      <c r="S69" s="58">
        <f t="shared" si="20"/>
        <v>-5.4859864025792607E-4</v>
      </c>
      <c r="T69" s="13">
        <f t="shared" si="13"/>
        <v>5.4859864025792607E-4</v>
      </c>
      <c r="U69" s="113"/>
      <c r="W69" t="s">
        <v>33</v>
      </c>
      <c r="X69" s="130">
        <v>-2885688.1868697749</v>
      </c>
      <c r="Y69">
        <v>83660496.853860795</v>
      </c>
      <c r="Z69">
        <v>-3.4492840652267834E-2</v>
      </c>
      <c r="AA69">
        <v>0.97253917094104936</v>
      </c>
      <c r="AB69">
        <v>-168460194.51671958</v>
      </c>
      <c r="AC69">
        <v>162688818.14298004</v>
      </c>
      <c r="AD69">
        <v>-168460194.51671958</v>
      </c>
      <c r="AE69">
        <v>162688818.14298004</v>
      </c>
    </row>
    <row r="70" spans="1:31" x14ac:dyDescent="0.2">
      <c r="A70" s="90">
        <v>42613</v>
      </c>
      <c r="B70" s="92">
        <v>52655659.520000003</v>
      </c>
      <c r="C70" s="106">
        <v>17.100000000000001</v>
      </c>
      <c r="D70" s="106">
        <f>'Weather Analysis '!W35</f>
        <v>51.699999999999996</v>
      </c>
      <c r="E70" s="91">
        <v>0</v>
      </c>
      <c r="F70" s="91">
        <v>31</v>
      </c>
      <c r="G70" s="108">
        <v>68</v>
      </c>
      <c r="H70" s="108">
        <v>33412</v>
      </c>
      <c r="I70" s="91">
        <v>352</v>
      </c>
      <c r="J70" s="118">
        <f t="shared" si="16"/>
        <v>1.0519444996030285</v>
      </c>
      <c r="K70" s="129" t="e">
        <f>#REF!</f>
        <v>#REF!</v>
      </c>
      <c r="L70" s="93" t="e">
        <f t="shared" si="17"/>
        <v>#REF!</v>
      </c>
      <c r="M70" s="93" t="e">
        <f t="shared" si="18"/>
        <v>#REF!</v>
      </c>
      <c r="N70" s="110">
        <v>155.63294374976735</v>
      </c>
      <c r="O70" s="91"/>
      <c r="P70" s="112"/>
      <c r="Q70" s="108">
        <f t="shared" si="21"/>
        <v>51318035.180816174</v>
      </c>
      <c r="R70" s="36">
        <f t="shared" si="19"/>
        <v>-1337624.3391838297</v>
      </c>
      <c r="S70" s="58">
        <f t="shared" si="20"/>
        <v>-2.5403239677888087E-2</v>
      </c>
      <c r="T70" s="13">
        <f t="shared" si="13"/>
        <v>2.5403239677888087E-2</v>
      </c>
      <c r="U70" s="113"/>
      <c r="W70" t="s">
        <v>4</v>
      </c>
      <c r="X70" s="130">
        <v>35098.237142274003</v>
      </c>
      <c r="Y70">
        <v>930.03193716874875</v>
      </c>
      <c r="Z70">
        <v>37.738743950150649</v>
      </c>
      <c r="AA70">
        <v>3.5117093141368987E-70</v>
      </c>
      <c r="AB70">
        <v>33257.588512889211</v>
      </c>
      <c r="AC70">
        <v>36938.885771658795</v>
      </c>
      <c r="AD70">
        <v>33257.588512889211</v>
      </c>
      <c r="AE70">
        <v>36938.885771658795</v>
      </c>
    </row>
    <row r="71" spans="1:31" x14ac:dyDescent="0.2">
      <c r="A71" s="90">
        <v>42643</v>
      </c>
      <c r="B71" s="92">
        <v>47273739.93</v>
      </c>
      <c r="C71" s="106">
        <v>65.099999999999994</v>
      </c>
      <c r="D71" s="106">
        <f>'Weather Analysis '!W36</f>
        <v>13.45</v>
      </c>
      <c r="E71" s="91">
        <v>1</v>
      </c>
      <c r="F71" s="91">
        <v>30</v>
      </c>
      <c r="G71" s="108">
        <v>69</v>
      </c>
      <c r="H71" s="108">
        <v>33412</v>
      </c>
      <c r="I71" s="91">
        <v>336</v>
      </c>
      <c r="J71" s="118">
        <f t="shared" si="16"/>
        <v>1.0519444996030285</v>
      </c>
      <c r="K71" s="129" t="e">
        <f>#REF!</f>
        <v>#REF!</v>
      </c>
      <c r="L71" s="93" t="e">
        <f t="shared" si="17"/>
        <v>#REF!</v>
      </c>
      <c r="M71" s="93" t="e">
        <f t="shared" si="18"/>
        <v>#REF!</v>
      </c>
      <c r="N71" s="110">
        <v>155.95352213208551</v>
      </c>
      <c r="O71" s="91"/>
      <c r="P71" s="112"/>
      <c r="Q71" s="108">
        <f t="shared" si="21"/>
        <v>43696567.427287601</v>
      </c>
      <c r="R71" s="36">
        <f t="shared" si="19"/>
        <v>-3577172.5027123988</v>
      </c>
      <c r="S71" s="58">
        <f t="shared" si="20"/>
        <v>-7.5669335830193515E-2</v>
      </c>
      <c r="T71" s="13">
        <f t="shared" si="13"/>
        <v>7.5669335830193515E-2</v>
      </c>
      <c r="U71" s="113"/>
      <c r="W71" t="s">
        <v>5</v>
      </c>
      <c r="X71" s="130">
        <v>122989.78983333083</v>
      </c>
      <c r="Y71">
        <v>17466.920116538797</v>
      </c>
      <c r="Z71">
        <v>7.0412980086212356</v>
      </c>
      <c r="AA71">
        <v>1.1219237671268031E-10</v>
      </c>
      <c r="AB71">
        <v>88420.587113309331</v>
      </c>
      <c r="AC71">
        <v>157558.99255335232</v>
      </c>
      <c r="AD71">
        <v>88420.587113309331</v>
      </c>
      <c r="AE71">
        <v>157558.99255335232</v>
      </c>
    </row>
    <row r="72" spans="1:31" x14ac:dyDescent="0.2">
      <c r="A72" s="90">
        <v>42674</v>
      </c>
      <c r="B72" s="92">
        <v>50073797.57</v>
      </c>
      <c r="C72" s="106">
        <v>277.39999999999998</v>
      </c>
      <c r="D72" s="106">
        <f>'Weather Analysis '!W37</f>
        <v>0</v>
      </c>
      <c r="E72" s="91">
        <v>1</v>
      </c>
      <c r="F72" s="91">
        <v>31</v>
      </c>
      <c r="G72" s="108">
        <v>70</v>
      </c>
      <c r="H72" s="108">
        <v>33513</v>
      </c>
      <c r="I72" s="91">
        <v>320</v>
      </c>
      <c r="J72" s="118">
        <f t="shared" si="16"/>
        <v>1.0519444996030285</v>
      </c>
      <c r="K72" s="129" t="e">
        <f>#REF!</f>
        <v>#REF!</v>
      </c>
      <c r="L72" s="93" t="e">
        <f t="shared" si="17"/>
        <v>#REF!</v>
      </c>
      <c r="M72" s="93" t="e">
        <f t="shared" si="18"/>
        <v>#REF!</v>
      </c>
      <c r="N72" s="110">
        <v>156.2747608533829</v>
      </c>
      <c r="O72" s="91"/>
      <c r="P72" s="112"/>
      <c r="Q72" s="108">
        <f t="shared" si="21"/>
        <v>51138458.526686668</v>
      </c>
      <c r="R72" s="36">
        <f t="shared" si="19"/>
        <v>1064660.9566866681</v>
      </c>
      <c r="S72" s="58">
        <f t="shared" si="20"/>
        <v>2.1261837694621411E-2</v>
      </c>
      <c r="T72" s="13">
        <f t="shared" si="13"/>
        <v>2.1261837694621411E-2</v>
      </c>
      <c r="U72" s="113"/>
      <c r="W72" t="s">
        <v>22</v>
      </c>
      <c r="X72" s="130">
        <v>-2820822.8761031665</v>
      </c>
      <c r="Y72">
        <v>450944.88738588529</v>
      </c>
      <c r="Z72">
        <v>-6.2553605884200101</v>
      </c>
      <c r="AA72">
        <v>5.7722164249980514E-9</v>
      </c>
      <c r="AB72">
        <v>-3713298.7747499719</v>
      </c>
      <c r="AC72">
        <v>-1928346.9774563608</v>
      </c>
      <c r="AD72">
        <v>-3713298.7747499719</v>
      </c>
      <c r="AE72">
        <v>-1928346.9774563608</v>
      </c>
    </row>
    <row r="73" spans="1:31" x14ac:dyDescent="0.2">
      <c r="A73" s="90">
        <v>42704</v>
      </c>
      <c r="B73" s="92">
        <v>53720227.840000004</v>
      </c>
      <c r="C73" s="105">
        <v>485.62</v>
      </c>
      <c r="D73" s="106">
        <f>'Weather Analysis '!W38</f>
        <v>0</v>
      </c>
      <c r="E73" s="91">
        <v>1</v>
      </c>
      <c r="F73" s="91">
        <v>30</v>
      </c>
      <c r="G73" s="108">
        <v>71</v>
      </c>
      <c r="H73" s="108">
        <v>33513</v>
      </c>
      <c r="I73" s="91">
        <v>336</v>
      </c>
      <c r="J73" s="118">
        <f t="shared" si="16"/>
        <v>1.0519444996030285</v>
      </c>
      <c r="K73" s="129" t="e">
        <f>#REF!</f>
        <v>#REF!</v>
      </c>
      <c r="L73" s="93" t="e">
        <f t="shared" si="17"/>
        <v>#REF!</v>
      </c>
      <c r="M73" s="93" t="e">
        <f t="shared" si="18"/>
        <v>#REF!</v>
      </c>
      <c r="N73" s="110">
        <v>156.59666127384969</v>
      </c>
      <c r="O73" s="91"/>
      <c r="P73" s="112"/>
      <c r="Q73" s="108">
        <f t="shared" si="21"/>
        <v>56665612.665321313</v>
      </c>
      <c r="R73" s="36">
        <f t="shared" si="19"/>
        <v>2945384.8253213093</v>
      </c>
      <c r="S73" s="58">
        <f t="shared" si="20"/>
        <v>5.4828226605699165E-2</v>
      </c>
      <c r="T73" s="13">
        <f t="shared" si="13"/>
        <v>5.4828226605699165E-2</v>
      </c>
      <c r="U73" s="113"/>
      <c r="W73" t="s">
        <v>6</v>
      </c>
      <c r="X73" s="130">
        <v>1715045.564325691</v>
      </c>
      <c r="Y73">
        <v>246206.32022707412</v>
      </c>
      <c r="Z73">
        <v>6.9658876455483281</v>
      </c>
      <c r="AA73">
        <v>1.6515016447938375E-10</v>
      </c>
      <c r="AB73">
        <v>1227772.7000717721</v>
      </c>
      <c r="AC73">
        <v>2202318.4285796098</v>
      </c>
      <c r="AD73">
        <v>1227772.7000717721</v>
      </c>
      <c r="AE73">
        <v>2202318.4285796098</v>
      </c>
    </row>
    <row r="74" spans="1:31" x14ac:dyDescent="0.2">
      <c r="A74" s="90">
        <v>42735</v>
      </c>
      <c r="B74" s="92">
        <v>67261959.730000004</v>
      </c>
      <c r="C74" s="105">
        <v>640.68000000000006</v>
      </c>
      <c r="D74" s="106">
        <f>'Weather Analysis '!W39</f>
        <v>0</v>
      </c>
      <c r="E74" s="91">
        <v>0</v>
      </c>
      <c r="F74" s="91">
        <v>31</v>
      </c>
      <c r="G74" s="108">
        <v>72</v>
      </c>
      <c r="H74" s="108">
        <v>33513</v>
      </c>
      <c r="I74" s="91">
        <v>336</v>
      </c>
      <c r="J74" s="118">
        <f t="shared" si="16"/>
        <v>1.0519444996030285</v>
      </c>
      <c r="K74" s="129" t="e">
        <f>#REF!</f>
        <v>#REF!</v>
      </c>
      <c r="L74" s="93" t="e">
        <f t="shared" si="17"/>
        <v>#REF!</v>
      </c>
      <c r="M74" s="93" t="e">
        <f t="shared" si="18"/>
        <v>#REF!</v>
      </c>
      <c r="N74" s="110">
        <v>156.91922475647806</v>
      </c>
      <c r="O74" s="91"/>
      <c r="P74" s="112"/>
      <c r="Q74" s="108">
        <f t="shared" si="21"/>
        <v>66577858.522227228</v>
      </c>
      <c r="R74" s="36">
        <f t="shared" si="19"/>
        <v>-684101.20777277648</v>
      </c>
      <c r="S74" s="58">
        <f t="shared" si="20"/>
        <v>-1.0170699910006568E-2</v>
      </c>
      <c r="T74" s="13">
        <f t="shared" si="13"/>
        <v>1.0170699910006568E-2</v>
      </c>
      <c r="W74" t="s">
        <v>214</v>
      </c>
      <c r="X74" s="130">
        <v>-65955.234803960848</v>
      </c>
      <c r="Y74">
        <v>16283.993908580898</v>
      </c>
      <c r="Z74">
        <v>-4.0503107022906431</v>
      </c>
      <c r="AA74">
        <v>8.9159771976161643E-5</v>
      </c>
      <c r="AB74">
        <v>-98183.279746143584</v>
      </c>
      <c r="AC74">
        <v>-33727.189861778104</v>
      </c>
      <c r="AD74">
        <v>-98183.279746143584</v>
      </c>
      <c r="AE74">
        <v>-33727.189861778104</v>
      </c>
    </row>
    <row r="75" spans="1:31" ht="13.5" thickBot="1" x14ac:dyDescent="0.25">
      <c r="A75" s="90">
        <v>42766</v>
      </c>
      <c r="B75" s="92">
        <v>66674271</v>
      </c>
      <c r="C75" s="105">
        <f>'Weather Analysis '!X8</f>
        <v>710.9</v>
      </c>
      <c r="D75" s="105">
        <f>'Weather Analysis '!X28</f>
        <v>0</v>
      </c>
      <c r="E75" s="91">
        <v>0</v>
      </c>
      <c r="F75" s="91">
        <v>31</v>
      </c>
      <c r="G75" s="108">
        <v>73</v>
      </c>
      <c r="H75" s="108">
        <v>33528</v>
      </c>
      <c r="I75" s="91">
        <v>320</v>
      </c>
      <c r="J75" s="118">
        <f>'Rate Class Energy Model'!F12</f>
        <v>1.0488769185235338</v>
      </c>
      <c r="K75" s="129" t="e">
        <f>#REF!</f>
        <v>#REF!</v>
      </c>
      <c r="L75" s="93" t="e">
        <f t="shared" si="17"/>
        <v>#REF!</v>
      </c>
      <c r="M75" s="93" t="e">
        <f t="shared" si="18"/>
        <v>#REF!</v>
      </c>
      <c r="N75" s="110">
        <v>157.24245266706706</v>
      </c>
      <c r="O75" s="91"/>
      <c r="P75" s="112"/>
      <c r="Q75" s="108">
        <f t="shared" si="21"/>
        <v>68975856.603191987</v>
      </c>
      <c r="R75" s="36">
        <f t="shared" si="19"/>
        <v>2301585.6031919867</v>
      </c>
      <c r="S75" s="58">
        <f t="shared" si="20"/>
        <v>3.4519846541584034E-2</v>
      </c>
      <c r="T75" s="13">
        <f t="shared" ref="T75:T86" si="22">ABS(S75)</f>
        <v>3.4519846541584034E-2</v>
      </c>
      <c r="U75" s="114"/>
      <c r="W75" s="24" t="s">
        <v>81</v>
      </c>
      <c r="X75" s="131">
        <v>-42.993090783467757</v>
      </c>
      <c r="Y75" s="24">
        <v>2521.0572987768824</v>
      </c>
      <c r="Z75" s="24">
        <v>-1.7053595253200438E-2</v>
      </c>
      <c r="AA75" s="24">
        <v>0.98642104920842089</v>
      </c>
      <c r="AB75" s="24">
        <v>-5032.4783720316336</v>
      </c>
      <c r="AC75" s="24">
        <v>4946.4921904646981</v>
      </c>
      <c r="AD75" s="24">
        <v>-5032.4783720316336</v>
      </c>
      <c r="AE75" s="24">
        <v>4946.4921904646981</v>
      </c>
    </row>
    <row r="76" spans="1:31" x14ac:dyDescent="0.2">
      <c r="A76" s="90">
        <v>42794</v>
      </c>
      <c r="B76" s="92">
        <v>59162719</v>
      </c>
      <c r="C76" s="105">
        <f>'Weather Analysis '!X9</f>
        <v>638.70000000000005</v>
      </c>
      <c r="D76" s="105">
        <f>'Weather Analysis '!X29</f>
        <v>0</v>
      </c>
      <c r="E76" s="91">
        <v>0</v>
      </c>
      <c r="F76" s="91">
        <v>28</v>
      </c>
      <c r="G76" s="108">
        <v>74</v>
      </c>
      <c r="H76" s="108">
        <v>33528</v>
      </c>
      <c r="I76" s="91">
        <v>320</v>
      </c>
      <c r="J76" s="118">
        <f>J75</f>
        <v>1.0488769185235338</v>
      </c>
      <c r="K76" s="129" t="e">
        <f>#REF!</f>
        <v>#REF!</v>
      </c>
      <c r="L76" s="93" t="e">
        <f t="shared" si="17"/>
        <v>#REF!</v>
      </c>
      <c r="M76" s="93" t="e">
        <f t="shared" si="18"/>
        <v>#REF!</v>
      </c>
      <c r="N76" s="110">
        <v>157.56634637422971</v>
      </c>
      <c r="O76" s="91"/>
      <c r="P76" s="112"/>
      <c r="Q76" s="108">
        <f t="shared" si="21"/>
        <v>61230671.953738771</v>
      </c>
      <c r="R76" s="36">
        <f t="shared" si="19"/>
        <v>2067952.9537387714</v>
      </c>
      <c r="S76" s="58">
        <f t="shared" si="20"/>
        <v>3.4953649674869934E-2</v>
      </c>
      <c r="T76" s="13">
        <f t="shared" si="22"/>
        <v>3.4953649674869934E-2</v>
      </c>
      <c r="U76" s="114"/>
      <c r="W76"/>
      <c r="X76"/>
    </row>
    <row r="77" spans="1:31" x14ac:dyDescent="0.2">
      <c r="A77" s="90">
        <v>42825</v>
      </c>
      <c r="B77" s="92">
        <v>63923197</v>
      </c>
      <c r="C77" s="105">
        <f>'Weather Analysis '!X10</f>
        <v>706.19999999999993</v>
      </c>
      <c r="D77" s="105">
        <f>'Weather Analysis '!X30</f>
        <v>0</v>
      </c>
      <c r="E77" s="91">
        <v>1</v>
      </c>
      <c r="F77" s="91">
        <v>31</v>
      </c>
      <c r="G77" s="108">
        <v>75</v>
      </c>
      <c r="H77" s="108">
        <v>33528</v>
      </c>
      <c r="I77" s="91">
        <v>352</v>
      </c>
      <c r="J77" s="118">
        <f t="shared" ref="J77:J86" si="23">J76</f>
        <v>1.0488769185235338</v>
      </c>
      <c r="K77" s="129" t="e">
        <f>#REF!</f>
        <v>#REF!</v>
      </c>
      <c r="L77" s="93" t="e">
        <f t="shared" si="17"/>
        <v>#REF!</v>
      </c>
      <c r="M77" s="93" t="e">
        <f t="shared" si="18"/>
        <v>#REF!</v>
      </c>
      <c r="N77" s="110">
        <v>157.89090724939794</v>
      </c>
      <c r="O77" s="91"/>
      <c r="P77" s="112"/>
      <c r="Q77" s="108">
        <f t="shared" si="21"/>
        <v>65858161.5429122</v>
      </c>
      <c r="R77" s="36">
        <f t="shared" si="19"/>
        <v>1934964.5429122001</v>
      </c>
      <c r="S77" s="58">
        <f t="shared" si="20"/>
        <v>3.0270146577809617E-2</v>
      </c>
      <c r="T77" s="13">
        <f t="shared" si="22"/>
        <v>3.0270146577809617E-2</v>
      </c>
      <c r="U77" s="114"/>
      <c r="W77"/>
      <c r="X77"/>
    </row>
    <row r="78" spans="1:31" x14ac:dyDescent="0.2">
      <c r="A78" s="90">
        <v>42855</v>
      </c>
      <c r="B78" s="92">
        <v>51461055</v>
      </c>
      <c r="C78" s="105">
        <f>'Weather Analysis '!X11</f>
        <v>392.09999999999991</v>
      </c>
      <c r="D78" s="105">
        <f>'Weather Analysis '!X31</f>
        <v>0</v>
      </c>
      <c r="E78" s="91">
        <v>1</v>
      </c>
      <c r="F78" s="91">
        <v>30</v>
      </c>
      <c r="G78" s="108">
        <v>76</v>
      </c>
      <c r="H78" s="108">
        <v>33482</v>
      </c>
      <c r="I78" s="91">
        <v>336</v>
      </c>
      <c r="J78" s="118">
        <f t="shared" si="23"/>
        <v>1.0488769185235338</v>
      </c>
      <c r="K78" s="129" t="e">
        <f>#REF!</f>
        <v>#REF!</v>
      </c>
      <c r="L78" s="93" t="e">
        <f t="shared" si="17"/>
        <v>#REF!</v>
      </c>
      <c r="M78" s="93" t="e">
        <f t="shared" si="18"/>
        <v>#REF!</v>
      </c>
      <c r="N78" s="110">
        <v>158.21613666682862</v>
      </c>
      <c r="O78" s="91"/>
      <c r="P78" s="112"/>
      <c r="Q78" s="108">
        <f t="shared" si="21"/>
        <v>53054782.139570341</v>
      </c>
      <c r="R78" s="36">
        <f t="shared" si="19"/>
        <v>1593727.1395703405</v>
      </c>
      <c r="S78" s="58">
        <f t="shared" si="20"/>
        <v>3.096957766548588E-2</v>
      </c>
      <c r="T78" s="13">
        <f t="shared" si="22"/>
        <v>3.096957766548588E-2</v>
      </c>
      <c r="U78" s="114"/>
      <c r="W78"/>
      <c r="X78"/>
    </row>
    <row r="79" spans="1:31" x14ac:dyDescent="0.2">
      <c r="A79" s="90">
        <v>42886</v>
      </c>
      <c r="B79" s="92">
        <v>48082511</v>
      </c>
      <c r="C79" s="105">
        <f>'Weather Analysis '!X12</f>
        <v>273.79999999999995</v>
      </c>
      <c r="D79" s="105">
        <f>'Weather Analysis '!X32</f>
        <v>0</v>
      </c>
      <c r="E79" s="91">
        <v>1</v>
      </c>
      <c r="F79" s="91">
        <v>31</v>
      </c>
      <c r="G79" s="108">
        <v>77</v>
      </c>
      <c r="H79" s="108">
        <v>33482</v>
      </c>
      <c r="I79" s="91">
        <v>336</v>
      </c>
      <c r="J79" s="118">
        <f t="shared" si="23"/>
        <v>1.0488769185235338</v>
      </c>
      <c r="K79" s="129" t="e">
        <f>#REF!</f>
        <v>#REF!</v>
      </c>
      <c r="L79" s="93" t="e">
        <f t="shared" si="17"/>
        <v>#REF!</v>
      </c>
      <c r="M79" s="93" t="e">
        <f t="shared" si="18"/>
        <v>#REF!</v>
      </c>
      <c r="N79" s="110">
        <v>158.54203600360935</v>
      </c>
      <c r="O79" s="91"/>
      <c r="P79" s="112"/>
      <c r="Q79" s="108">
        <f t="shared" si="21"/>
        <v>50551751.015161045</v>
      </c>
      <c r="R79" s="36">
        <f t="shared" si="19"/>
        <v>2469240.0151610449</v>
      </c>
      <c r="S79" s="58">
        <f t="shared" si="20"/>
        <v>5.1354223475580232E-2</v>
      </c>
      <c r="T79" s="13">
        <f t="shared" si="22"/>
        <v>5.1354223475580232E-2</v>
      </c>
      <c r="U79" s="114"/>
      <c r="W79"/>
      <c r="X79"/>
    </row>
    <row r="80" spans="1:31" x14ac:dyDescent="0.2">
      <c r="A80" s="90">
        <v>42916</v>
      </c>
      <c r="B80" s="92">
        <v>44830072</v>
      </c>
      <c r="C80" s="105">
        <f>'Weather Analysis '!X13</f>
        <v>104.10000000000002</v>
      </c>
      <c r="D80" s="105">
        <f>'Weather Analysis '!X33</f>
        <v>3.5000000000000004</v>
      </c>
      <c r="E80" s="91">
        <v>0</v>
      </c>
      <c r="F80" s="91">
        <v>30</v>
      </c>
      <c r="G80" s="108">
        <v>78</v>
      </c>
      <c r="H80" s="108">
        <v>33482</v>
      </c>
      <c r="I80" s="91">
        <v>352</v>
      </c>
      <c r="J80" s="118">
        <f t="shared" si="23"/>
        <v>1.0488769185235338</v>
      </c>
      <c r="K80" s="129" t="e">
        <f>#REF!</f>
        <v>#REF!</v>
      </c>
      <c r="L80" s="93" t="e">
        <f t="shared" si="17"/>
        <v>#REF!</v>
      </c>
      <c r="M80" s="93" t="e">
        <f t="shared" si="18"/>
        <v>#REF!</v>
      </c>
      <c r="N80" s="110">
        <v>158.86860663966431</v>
      </c>
      <c r="O80" s="91"/>
      <c r="P80" s="112"/>
      <c r="Q80" s="108">
        <f t="shared" si="21"/>
        <v>46065866.513507329</v>
      </c>
      <c r="R80" s="36">
        <f t="shared" si="19"/>
        <v>1235794.5135073289</v>
      </c>
      <c r="S80" s="58">
        <f t="shared" si="20"/>
        <v>2.7566195153720229E-2</v>
      </c>
      <c r="T80" s="13">
        <f t="shared" si="22"/>
        <v>2.7566195153720229E-2</v>
      </c>
      <c r="U80" s="114"/>
      <c r="W80"/>
      <c r="X80"/>
    </row>
    <row r="81" spans="1:24" x14ac:dyDescent="0.2">
      <c r="A81" s="90">
        <v>42947</v>
      </c>
      <c r="B81" s="92">
        <v>48264067</v>
      </c>
      <c r="C81" s="105">
        <f>'Weather Analysis '!X14</f>
        <v>42.000000000000007</v>
      </c>
      <c r="D81" s="105">
        <f>'Weather Analysis '!X34</f>
        <v>13.799999999999999</v>
      </c>
      <c r="E81" s="91">
        <v>0</v>
      </c>
      <c r="F81" s="91">
        <v>31</v>
      </c>
      <c r="G81" s="108">
        <v>79</v>
      </c>
      <c r="H81" s="108">
        <v>33516</v>
      </c>
      <c r="I81" s="91">
        <v>320</v>
      </c>
      <c r="J81" s="118">
        <f t="shared" si="23"/>
        <v>1.0488769185235338</v>
      </c>
      <c r="K81" s="129" t="e">
        <f>#REF!</f>
        <v>#REF!</v>
      </c>
      <c r="L81" s="93" t="e">
        <f t="shared" si="17"/>
        <v>#REF!</v>
      </c>
      <c r="M81" s="93" t="e">
        <f t="shared" si="18"/>
        <v>#REF!</v>
      </c>
      <c r="N81" s="110">
        <v>159.19584995776006</v>
      </c>
      <c r="O81" s="91"/>
      <c r="P81" s="112"/>
      <c r="Q81" s="108">
        <f t="shared" si="21"/>
        <v>46800689.386690505</v>
      </c>
      <c r="R81" s="36">
        <f t="shared" si="19"/>
        <v>-1463377.6133094952</v>
      </c>
      <c r="S81" s="58">
        <f t="shared" si="20"/>
        <v>-3.0320230023497506E-2</v>
      </c>
      <c r="T81" s="13">
        <f t="shared" si="22"/>
        <v>3.0320230023497506E-2</v>
      </c>
      <c r="U81" s="114"/>
      <c r="W81"/>
      <c r="X81"/>
    </row>
    <row r="82" spans="1:24" x14ac:dyDescent="0.2">
      <c r="A82" s="90">
        <v>42978</v>
      </c>
      <c r="B82" s="92">
        <v>47137204</v>
      </c>
      <c r="C82" s="105">
        <f>'Weather Analysis '!X15</f>
        <v>58.35</v>
      </c>
      <c r="D82" s="105">
        <f>'Weather Analysis '!X35</f>
        <v>9.1999999999999993</v>
      </c>
      <c r="E82" s="91">
        <v>0</v>
      </c>
      <c r="F82" s="91">
        <v>31</v>
      </c>
      <c r="G82" s="108">
        <v>80</v>
      </c>
      <c r="H82" s="108">
        <v>33516</v>
      </c>
      <c r="I82" s="91">
        <v>352</v>
      </c>
      <c r="J82" s="118">
        <f t="shared" si="23"/>
        <v>1.0488769185235338</v>
      </c>
      <c r="K82" s="129" t="e">
        <f>#REF!</f>
        <v>#REF!</v>
      </c>
      <c r="L82" s="93" t="e">
        <f t="shared" si="17"/>
        <v>#REF!</v>
      </c>
      <c r="M82" s="93" t="e">
        <f t="shared" si="18"/>
        <v>#REF!</v>
      </c>
      <c r="N82" s="110">
        <v>159.52376734351151</v>
      </c>
      <c r="O82" s="91"/>
      <c r="P82" s="112"/>
      <c r="Q82" s="108">
        <f t="shared" si="21"/>
        <v>46742837.295929402</v>
      </c>
      <c r="R82" s="36">
        <f t="shared" si="19"/>
        <v>-394366.70407059789</v>
      </c>
      <c r="S82" s="58">
        <f t="shared" si="20"/>
        <v>-8.3663575818073103E-3</v>
      </c>
      <c r="T82" s="13">
        <f t="shared" si="22"/>
        <v>8.3663575818073103E-3</v>
      </c>
      <c r="U82" s="114"/>
      <c r="W82"/>
      <c r="X82"/>
    </row>
    <row r="83" spans="1:24" x14ac:dyDescent="0.2">
      <c r="A83" s="90">
        <v>43008</v>
      </c>
      <c r="B83" s="92">
        <v>46024413</v>
      </c>
      <c r="C83" s="105">
        <f>'Weather Analysis '!X16</f>
        <v>112.69999999999997</v>
      </c>
      <c r="D83" s="105">
        <f>'Weather Analysis '!X36</f>
        <v>33.299999999999997</v>
      </c>
      <c r="E83" s="91">
        <v>1</v>
      </c>
      <c r="F83" s="91">
        <v>30</v>
      </c>
      <c r="G83" s="108">
        <v>81</v>
      </c>
      <c r="H83" s="108">
        <v>33516</v>
      </c>
      <c r="I83" s="91">
        <v>336</v>
      </c>
      <c r="J83" s="118">
        <f t="shared" si="23"/>
        <v>1.0488769185235338</v>
      </c>
      <c r="K83" s="129" t="e">
        <f>#REF!</f>
        <v>#REF!</v>
      </c>
      <c r="L83" s="93" t="e">
        <f t="shared" si="17"/>
        <v>#REF!</v>
      </c>
      <c r="M83" s="93" t="e">
        <f t="shared" si="18"/>
        <v>#REF!</v>
      </c>
      <c r="N83" s="110">
        <v>159.85236018538762</v>
      </c>
      <c r="O83" s="91"/>
      <c r="P83" s="112"/>
      <c r="Q83" s="108">
        <f t="shared" si="21"/>
        <v>47012656.744362451</v>
      </c>
      <c r="R83" s="36">
        <f t="shared" si="19"/>
        <v>988243.74436245114</v>
      </c>
      <c r="S83" s="58">
        <f t="shared" si="20"/>
        <v>2.1472164009184672E-2</v>
      </c>
      <c r="T83" s="13">
        <f t="shared" si="22"/>
        <v>2.1472164009184672E-2</v>
      </c>
      <c r="U83" s="114"/>
      <c r="W83"/>
      <c r="X83"/>
    </row>
    <row r="84" spans="1:24" x14ac:dyDescent="0.2">
      <c r="A84" s="90">
        <v>43039</v>
      </c>
      <c r="B84" s="92">
        <v>48274780</v>
      </c>
      <c r="C84" s="105">
        <f>'Weather Analysis '!X17</f>
        <v>266.29999999999995</v>
      </c>
      <c r="D84" s="105">
        <f>'Weather Analysis '!X37</f>
        <v>1.9</v>
      </c>
      <c r="E84" s="91">
        <v>1</v>
      </c>
      <c r="F84" s="91">
        <v>31</v>
      </c>
      <c r="G84" s="108">
        <v>82</v>
      </c>
      <c r="H84" s="108">
        <v>33605</v>
      </c>
      <c r="I84" s="91">
        <v>320</v>
      </c>
      <c r="J84" s="118">
        <f t="shared" si="23"/>
        <v>1.0488769185235338</v>
      </c>
      <c r="K84" s="129" t="e">
        <f>#REF!</f>
        <v>#REF!</v>
      </c>
      <c r="L84" s="93" t="e">
        <f t="shared" si="17"/>
        <v>#REF!</v>
      </c>
      <c r="M84" s="93" t="e">
        <f t="shared" si="18"/>
        <v>#REF!</v>
      </c>
      <c r="N84" s="110">
        <v>160.18162987471746</v>
      </c>
      <c r="O84" s="91"/>
      <c r="P84" s="112"/>
      <c r="Q84" s="108">
        <f t="shared" si="21"/>
        <v>50187130.513091154</v>
      </c>
      <c r="R84" s="36">
        <f t="shared" si="19"/>
        <v>1912350.5130911544</v>
      </c>
      <c r="S84" s="58">
        <f t="shared" si="20"/>
        <v>3.9613862830470782E-2</v>
      </c>
      <c r="T84" s="13">
        <f t="shared" si="22"/>
        <v>3.9613862830470782E-2</v>
      </c>
      <c r="U84" s="114"/>
      <c r="W84"/>
      <c r="X84"/>
    </row>
    <row r="85" spans="1:24" x14ac:dyDescent="0.2">
      <c r="A85" s="90">
        <v>43069</v>
      </c>
      <c r="B85" s="92">
        <v>58218614</v>
      </c>
      <c r="C85" s="105">
        <f>'Weather Analysis '!X18</f>
        <v>540.84999999999991</v>
      </c>
      <c r="D85" s="105">
        <f>'Weather Analysis '!X38</f>
        <v>0</v>
      </c>
      <c r="E85" s="91">
        <v>1</v>
      </c>
      <c r="F85" s="91">
        <v>30</v>
      </c>
      <c r="G85" s="108">
        <v>83</v>
      </c>
      <c r="H85" s="108">
        <v>33605</v>
      </c>
      <c r="I85" s="91">
        <v>336</v>
      </c>
      <c r="J85" s="118">
        <f t="shared" si="23"/>
        <v>1.0488769185235338</v>
      </c>
      <c r="K85" s="129" t="e">
        <f>#REF!</f>
        <v>#REF!</v>
      </c>
      <c r="L85" s="93" t="e">
        <f t="shared" si="17"/>
        <v>#REF!</v>
      </c>
      <c r="M85" s="93" t="e">
        <f t="shared" si="18"/>
        <v>#REF!</v>
      </c>
      <c r="N85" s="110">
        <v>160.51157780569594</v>
      </c>
      <c r="O85" s="91"/>
      <c r="P85" s="112"/>
      <c r="Q85" s="108">
        <f t="shared" si="21"/>
        <v>57808670.120689496</v>
      </c>
      <c r="R85" s="36">
        <f t="shared" si="19"/>
        <v>-409943.8793105036</v>
      </c>
      <c r="S85" s="58">
        <f t="shared" si="20"/>
        <v>-7.0414572100686492E-3</v>
      </c>
      <c r="T85" s="13">
        <f t="shared" si="22"/>
        <v>7.0414572100686492E-3</v>
      </c>
      <c r="U85" s="114"/>
      <c r="W85"/>
      <c r="X85"/>
    </row>
    <row r="86" spans="1:24" x14ac:dyDescent="0.2">
      <c r="A86" s="90">
        <v>43100</v>
      </c>
      <c r="B86" s="92">
        <v>70917570</v>
      </c>
      <c r="C86" s="105">
        <f>'Weather Analysis '!X19</f>
        <v>849.9</v>
      </c>
      <c r="D86" s="105">
        <f>'Weather Analysis '!X39</f>
        <v>0</v>
      </c>
      <c r="E86" s="91">
        <v>0</v>
      </c>
      <c r="F86" s="91">
        <v>31</v>
      </c>
      <c r="G86" s="108">
        <v>84</v>
      </c>
      <c r="H86" s="108">
        <v>33605</v>
      </c>
      <c r="I86" s="91">
        <v>336</v>
      </c>
      <c r="J86" s="118">
        <f t="shared" si="23"/>
        <v>1.0488769185235338</v>
      </c>
      <c r="K86" s="129" t="e">
        <f>#REF!</f>
        <v>#REF!</v>
      </c>
      <c r="L86" s="93" t="e">
        <f t="shared" si="17"/>
        <v>#REF!</v>
      </c>
      <c r="M86" s="93" t="e">
        <f t="shared" si="18"/>
        <v>#REF!</v>
      </c>
      <c r="N86" s="110">
        <v>160.37144770112059</v>
      </c>
      <c r="O86" s="91"/>
      <c r="P86" s="112"/>
      <c r="Q86" s="108">
        <f t="shared" si="21"/>
        <v>73125693.515134186</v>
      </c>
      <c r="R86" s="36">
        <f t="shared" si="19"/>
        <v>2208123.5151341856</v>
      </c>
      <c r="S86" s="58">
        <f t="shared" si="20"/>
        <v>3.1136480214059584E-2</v>
      </c>
      <c r="T86" s="13">
        <f t="shared" si="22"/>
        <v>3.1136480214059584E-2</v>
      </c>
      <c r="U86" s="114"/>
      <c r="W86"/>
      <c r="X86"/>
    </row>
    <row r="87" spans="1:24" x14ac:dyDescent="0.2">
      <c r="A87" s="90">
        <v>43131</v>
      </c>
      <c r="B87" s="92">
        <v>71561357.200000003</v>
      </c>
      <c r="C87" s="105">
        <f>'Weather Analysis '!Y8</f>
        <v>860.39999999999986</v>
      </c>
      <c r="D87" s="105">
        <f>'Weather Analysis '!Y28</f>
        <v>0</v>
      </c>
      <c r="E87" s="91">
        <v>0</v>
      </c>
      <c r="F87" s="91">
        <v>31</v>
      </c>
      <c r="G87" s="108">
        <v>85</v>
      </c>
      <c r="H87" s="108">
        <f>'Rate Class Customer Model'!B11+'Rate Class Customer Model'!C11+'Rate Class Customer Model'!D11+'Rate Class Customer Model'!G11+1</f>
        <v>33637</v>
      </c>
      <c r="I87" s="91">
        <v>320</v>
      </c>
      <c r="J87" s="118">
        <v>1.0521</v>
      </c>
      <c r="K87" s="129" t="e">
        <f>#REF!</f>
        <v>#REF!</v>
      </c>
      <c r="L87" s="92" t="e">
        <f t="shared" si="17"/>
        <v>#REF!</v>
      </c>
      <c r="M87" s="93"/>
      <c r="N87" s="110">
        <v>160.70178662574256</v>
      </c>
      <c r="O87" s="91"/>
      <c r="P87" s="112"/>
      <c r="Q87" s="108">
        <f t="shared" si="21"/>
        <v>73426893.991419032</v>
      </c>
      <c r="R87" s="36">
        <f t="shared" ref="R87:R134" si="24">Q87-B87</f>
        <v>1865536.7914190292</v>
      </c>
      <c r="S87" s="58">
        <f t="shared" ref="S87:S134" si="25">R87/B87</f>
        <v>2.6069052690060344E-2</v>
      </c>
      <c r="T87" s="13">
        <f t="shared" ref="T87:T134" si="26">ABS(S87)</f>
        <v>2.6069052690060344E-2</v>
      </c>
      <c r="U87" s="114"/>
      <c r="W87"/>
      <c r="X87"/>
    </row>
    <row r="88" spans="1:24" x14ac:dyDescent="0.2">
      <c r="A88" s="90">
        <v>43159</v>
      </c>
      <c r="B88" s="92">
        <v>62600140.789999999</v>
      </c>
      <c r="C88" s="105">
        <f>'Weather Analysis '!Y9</f>
        <v>769</v>
      </c>
      <c r="D88" s="105">
        <f>'Weather Analysis '!Y29</f>
        <v>0</v>
      </c>
      <c r="E88" s="91">
        <v>0</v>
      </c>
      <c r="F88" s="91">
        <v>28</v>
      </c>
      <c r="G88" s="108">
        <v>86</v>
      </c>
      <c r="H88" s="108">
        <f>$H$87</f>
        <v>33637</v>
      </c>
      <c r="I88" s="91">
        <v>320</v>
      </c>
      <c r="J88" s="118">
        <f>J87</f>
        <v>1.0521</v>
      </c>
      <c r="K88" s="129" t="e">
        <f>#REF!</f>
        <v>#REF!</v>
      </c>
      <c r="L88" s="92" t="e">
        <f t="shared" si="17"/>
        <v>#REF!</v>
      </c>
      <c r="M88" s="93"/>
      <c r="N88" s="110">
        <v>161.03280599446279</v>
      </c>
      <c r="O88" s="91"/>
      <c r="P88" s="112"/>
      <c r="Q88" s="108">
        <f t="shared" si="21"/>
        <v>65007823.188834146</v>
      </c>
      <c r="R88" s="36">
        <f t="shared" si="24"/>
        <v>2407682.3988341466</v>
      </c>
      <c r="S88" s="58">
        <f t="shared" si="25"/>
        <v>3.8461293672022535E-2</v>
      </c>
      <c r="T88" s="13">
        <f t="shared" si="26"/>
        <v>3.8461293672022535E-2</v>
      </c>
      <c r="U88" s="114"/>
      <c r="W88"/>
      <c r="X88"/>
    </row>
    <row r="89" spans="1:24" x14ac:dyDescent="0.2">
      <c r="A89" s="90">
        <v>43190</v>
      </c>
      <c r="B89" s="92">
        <v>61919235.039999999</v>
      </c>
      <c r="C89" s="105">
        <f>'Weather Analysis '!Y10</f>
        <v>737.69999999999993</v>
      </c>
      <c r="D89" s="105">
        <f>'Weather Analysis '!Y30</f>
        <v>0</v>
      </c>
      <c r="E89" s="91">
        <v>1</v>
      </c>
      <c r="F89" s="91">
        <v>31</v>
      </c>
      <c r="G89" s="108">
        <v>87</v>
      </c>
      <c r="H89" s="108">
        <f t="shared" ref="H89:H98" si="27">$H$87</f>
        <v>33637</v>
      </c>
      <c r="I89" s="91">
        <v>352</v>
      </c>
      <c r="J89" s="118">
        <f t="shared" ref="J89:J98" si="28">J88</f>
        <v>1.0521</v>
      </c>
      <c r="K89" s="129" t="e">
        <f>#REF!</f>
        <v>#REF!</v>
      </c>
      <c r="L89" s="92" t="e">
        <f t="shared" si="17"/>
        <v>#REF!</v>
      </c>
      <c r="M89" s="93"/>
      <c r="N89" s="110">
        <v>161.36450720888473</v>
      </c>
      <c r="O89" s="91"/>
      <c r="P89" s="112"/>
      <c r="Q89" s="108">
        <f t="shared" si="21"/>
        <v>66167606.948350899</v>
      </c>
      <c r="R89" s="36">
        <f t="shared" si="24"/>
        <v>4248371.9083508998</v>
      </c>
      <c r="S89" s="58">
        <f t="shared" si="25"/>
        <v>6.8611505061495673E-2</v>
      </c>
      <c r="T89" s="13">
        <f t="shared" si="26"/>
        <v>6.8611505061495673E-2</v>
      </c>
      <c r="U89" s="114"/>
      <c r="W89"/>
      <c r="X89"/>
    </row>
    <row r="90" spans="1:24" x14ac:dyDescent="0.2">
      <c r="A90" s="90">
        <v>43220</v>
      </c>
      <c r="B90" s="92">
        <v>55872650.990000002</v>
      </c>
      <c r="C90" s="105">
        <f>'Weather Analysis '!Y11</f>
        <v>585.90000000000009</v>
      </c>
      <c r="D90" s="105">
        <f>'Weather Analysis '!Y31</f>
        <v>0</v>
      </c>
      <c r="E90" s="91">
        <v>1</v>
      </c>
      <c r="F90" s="91">
        <v>30</v>
      </c>
      <c r="G90" s="108">
        <v>88</v>
      </c>
      <c r="H90" s="108">
        <f t="shared" si="27"/>
        <v>33637</v>
      </c>
      <c r="I90" s="91">
        <v>336</v>
      </c>
      <c r="J90" s="118">
        <f t="shared" si="28"/>
        <v>1.0521</v>
      </c>
      <c r="K90" s="129" t="e">
        <f>#REF!</f>
        <v>#REF!</v>
      </c>
      <c r="L90" s="92" t="e">
        <f t="shared" si="17"/>
        <v>#REF!</v>
      </c>
      <c r="M90" s="93"/>
      <c r="N90" s="110">
        <v>161.6968916734989</v>
      </c>
      <c r="O90" s="91"/>
      <c r="P90" s="112"/>
      <c r="Q90" s="108">
        <f t="shared" si="21"/>
        <v>59058693.751024075</v>
      </c>
      <c r="R90" s="36">
        <f t="shared" si="24"/>
        <v>3186042.7610240728</v>
      </c>
      <c r="S90" s="58">
        <f t="shared" si="25"/>
        <v>5.7023296811069615E-2</v>
      </c>
      <c r="T90" s="13">
        <f t="shared" si="26"/>
        <v>5.7023296811069615E-2</v>
      </c>
      <c r="U90" s="114"/>
      <c r="W90"/>
      <c r="X90"/>
    </row>
    <row r="91" spans="1:24" x14ac:dyDescent="0.2">
      <c r="A91" s="90">
        <v>43251</v>
      </c>
      <c r="B91" s="92">
        <v>47195638.479999997</v>
      </c>
      <c r="C91" s="105">
        <f>'Weather Analysis '!Y12</f>
        <v>214.00000000000003</v>
      </c>
      <c r="D91" s="105">
        <f>'Weather Analysis '!Y32</f>
        <v>5.6</v>
      </c>
      <c r="E91" s="91">
        <v>1</v>
      </c>
      <c r="F91" s="91">
        <v>31</v>
      </c>
      <c r="G91" s="108">
        <v>89</v>
      </c>
      <c r="H91" s="108">
        <f t="shared" si="27"/>
        <v>33637</v>
      </c>
      <c r="I91" s="91">
        <v>336</v>
      </c>
      <c r="J91" s="118">
        <f t="shared" si="28"/>
        <v>1.0521</v>
      </c>
      <c r="K91" s="129" t="e">
        <f>#REF!</f>
        <v>#REF!</v>
      </c>
      <c r="L91" s="92" t="e">
        <f t="shared" si="17"/>
        <v>#REF!</v>
      </c>
      <c r="M91" s="93"/>
      <c r="N91" s="110">
        <v>162.02996079568879</v>
      </c>
      <c r="O91" s="91"/>
      <c r="P91" s="112"/>
      <c r="Q91" s="108">
        <f t="shared" si="21"/>
        <v>48343492.51040075</v>
      </c>
      <c r="R91" s="36">
        <f t="shared" si="24"/>
        <v>1147854.030400753</v>
      </c>
      <c r="S91" s="58">
        <f t="shared" si="25"/>
        <v>2.432118872355497E-2</v>
      </c>
      <c r="T91" s="13">
        <f t="shared" si="26"/>
        <v>2.432118872355497E-2</v>
      </c>
      <c r="U91" s="114"/>
      <c r="W91"/>
      <c r="X91"/>
    </row>
    <row r="92" spans="1:24" x14ac:dyDescent="0.2">
      <c r="A92" s="90">
        <v>43281</v>
      </c>
      <c r="B92" s="92">
        <v>45395013.43</v>
      </c>
      <c r="C92" s="105">
        <f>'Weather Analysis '!Y13</f>
        <v>104.49999999999999</v>
      </c>
      <c r="D92" s="105">
        <f>'Weather Analysis '!Y33</f>
        <v>17.100000000000001</v>
      </c>
      <c r="E92" s="91">
        <v>0</v>
      </c>
      <c r="F92" s="91">
        <v>30</v>
      </c>
      <c r="G92" s="108">
        <v>90</v>
      </c>
      <c r="H92" s="108">
        <f t="shared" si="27"/>
        <v>33637</v>
      </c>
      <c r="I92" s="91">
        <v>352</v>
      </c>
      <c r="J92" s="118">
        <f t="shared" si="28"/>
        <v>1.0521</v>
      </c>
      <c r="K92" s="129" t="e">
        <f>#REF!</f>
        <v>#REF!</v>
      </c>
      <c r="L92" s="92" t="e">
        <f t="shared" si="17"/>
        <v>#REF!</v>
      </c>
      <c r="M92" s="93"/>
      <c r="N92" s="110">
        <v>162.36371598573695</v>
      </c>
      <c r="O92" s="91"/>
      <c r="P92" s="112"/>
      <c r="Q92" s="108">
        <f t="shared" si="21"/>
        <v>46954440.203378566</v>
      </c>
      <c r="R92" s="36">
        <f t="shared" si="24"/>
        <v>1559426.7733785659</v>
      </c>
      <c r="S92" s="58">
        <f t="shared" si="25"/>
        <v>3.4352380483006852E-2</v>
      </c>
      <c r="T92" s="13">
        <f t="shared" si="26"/>
        <v>3.4352380483006852E-2</v>
      </c>
      <c r="U92" s="114"/>
      <c r="W92"/>
      <c r="X92"/>
    </row>
    <row r="93" spans="1:24" x14ac:dyDescent="0.2">
      <c r="A93" s="90">
        <v>43312</v>
      </c>
      <c r="B93" s="92">
        <v>50885921.600000001</v>
      </c>
      <c r="C93" s="105">
        <f>'Weather Analysis '!Y14</f>
        <v>19.599999999999998</v>
      </c>
      <c r="D93" s="105">
        <f>'Weather Analysis '!Y34</f>
        <v>59.599999999999994</v>
      </c>
      <c r="E93" s="91">
        <v>0</v>
      </c>
      <c r="F93" s="91">
        <v>31</v>
      </c>
      <c r="G93" s="108">
        <v>91</v>
      </c>
      <c r="H93" s="108">
        <f t="shared" si="27"/>
        <v>33637</v>
      </c>
      <c r="I93" s="91">
        <v>320</v>
      </c>
      <c r="J93" s="118">
        <f t="shared" si="28"/>
        <v>1.0521</v>
      </c>
      <c r="K93" s="129" t="e">
        <f>#REF!</f>
        <v>#REF!</v>
      </c>
      <c r="L93" s="92" t="e">
        <f t="shared" si="17"/>
        <v>#REF!</v>
      </c>
      <c r="M93" s="93"/>
      <c r="N93" s="110">
        <v>162.6981586568308</v>
      </c>
      <c r="O93" s="91"/>
      <c r="P93" s="112"/>
      <c r="Q93" s="108">
        <f t="shared" si="21"/>
        <v>50850756.267437786</v>
      </c>
      <c r="R93" s="36">
        <f t="shared" si="24"/>
        <v>-35165.332562215626</v>
      </c>
      <c r="S93" s="58">
        <f t="shared" si="25"/>
        <v>-6.9106211416667404E-4</v>
      </c>
      <c r="T93" s="13">
        <f t="shared" si="26"/>
        <v>6.9106211416667404E-4</v>
      </c>
      <c r="U93" s="114"/>
      <c r="W93"/>
      <c r="X93"/>
    </row>
    <row r="94" spans="1:24" x14ac:dyDescent="0.2">
      <c r="A94" s="90">
        <v>43343</v>
      </c>
      <c r="B94" s="92">
        <v>49660000.009999998</v>
      </c>
      <c r="C94" s="105">
        <f>'Weather Analysis '!Y15</f>
        <v>24.599999999999998</v>
      </c>
      <c r="D94" s="105">
        <f>'Weather Analysis '!Y35</f>
        <v>45.500000000000007</v>
      </c>
      <c r="E94" s="91">
        <v>0</v>
      </c>
      <c r="F94" s="91">
        <v>31</v>
      </c>
      <c r="G94" s="108">
        <v>92</v>
      </c>
      <c r="H94" s="108">
        <f t="shared" si="27"/>
        <v>33637</v>
      </c>
      <c r="I94" s="91">
        <v>352</v>
      </c>
      <c r="J94" s="118">
        <f t="shared" si="28"/>
        <v>1.0521</v>
      </c>
      <c r="K94" s="129" t="e">
        <f>#REF!</f>
        <v>#REF!</v>
      </c>
      <c r="L94" s="92" t="e">
        <f t="shared" si="17"/>
        <v>#REF!</v>
      </c>
      <c r="M94" s="93"/>
      <c r="N94" s="110">
        <v>163.03329022506875</v>
      </c>
      <c r="O94" s="91"/>
      <c r="P94" s="112"/>
      <c r="Q94" s="108">
        <f t="shared" si="21"/>
        <v>49226136.181695238</v>
      </c>
      <c r="R94" s="36">
        <f t="shared" si="24"/>
        <v>-433863.82830476016</v>
      </c>
      <c r="S94" s="58">
        <f t="shared" si="25"/>
        <v>-8.7366860293474295E-3</v>
      </c>
      <c r="T94" s="13">
        <f t="shared" si="26"/>
        <v>8.7366860293474295E-3</v>
      </c>
      <c r="U94" s="114"/>
      <c r="W94"/>
      <c r="X94"/>
    </row>
    <row r="95" spans="1:24" x14ac:dyDescent="0.2">
      <c r="A95" s="90">
        <v>43373</v>
      </c>
      <c r="B95" s="92">
        <v>45784880.5</v>
      </c>
      <c r="C95" s="105">
        <f>'Weather Analysis '!Y16</f>
        <v>135</v>
      </c>
      <c r="D95" s="105">
        <f>'Weather Analysis '!Y36</f>
        <v>22.5</v>
      </c>
      <c r="E95" s="91">
        <v>1</v>
      </c>
      <c r="F95" s="91">
        <v>30</v>
      </c>
      <c r="G95" s="108">
        <v>93</v>
      </c>
      <c r="H95" s="108">
        <f t="shared" si="27"/>
        <v>33637</v>
      </c>
      <c r="I95" s="91">
        <v>336</v>
      </c>
      <c r="J95" s="118">
        <f t="shared" si="28"/>
        <v>1.0521</v>
      </c>
      <c r="K95" s="129" t="e">
        <f>#REF!</f>
        <v>#REF!</v>
      </c>
      <c r="L95" s="92" t="e">
        <f t="shared" si="17"/>
        <v>#REF!</v>
      </c>
      <c r="M95" s="93"/>
      <c r="N95" s="110">
        <v>163.36911210946616</v>
      </c>
      <c r="O95" s="91"/>
      <c r="P95" s="112"/>
      <c r="Q95" s="108">
        <f t="shared" si="21"/>
        <v>45670392.720802858</v>
      </c>
      <c r="R95" s="36">
        <f t="shared" si="24"/>
        <v>-114487.77919714153</v>
      </c>
      <c r="S95" s="58">
        <f t="shared" si="25"/>
        <v>-2.5005586548848048E-3</v>
      </c>
      <c r="T95" s="13">
        <f t="shared" si="26"/>
        <v>2.5005586548848048E-3</v>
      </c>
      <c r="U95" s="114"/>
      <c r="W95"/>
      <c r="X95"/>
    </row>
    <row r="96" spans="1:24" x14ac:dyDescent="0.2">
      <c r="A96" s="90">
        <v>43404</v>
      </c>
      <c r="B96" s="92">
        <v>51981747.979999997</v>
      </c>
      <c r="C96" s="105">
        <f>'Weather Analysis '!Y17</f>
        <v>389.15000000000009</v>
      </c>
      <c r="D96" s="105">
        <f>'Weather Analysis '!Y37</f>
        <v>0</v>
      </c>
      <c r="E96" s="91">
        <v>1</v>
      </c>
      <c r="F96" s="91">
        <v>31</v>
      </c>
      <c r="G96" s="108">
        <v>94</v>
      </c>
      <c r="H96" s="108">
        <f t="shared" si="27"/>
        <v>33637</v>
      </c>
      <c r="I96" s="91">
        <v>320</v>
      </c>
      <c r="J96" s="118">
        <f t="shared" si="28"/>
        <v>1.0521</v>
      </c>
      <c r="K96" s="129" t="e">
        <f>#REF!</f>
        <v>#REF!</v>
      </c>
      <c r="L96" s="92" t="e">
        <f t="shared" si="17"/>
        <v>#REF!</v>
      </c>
      <c r="M96" s="93"/>
      <c r="N96" s="110">
        <v>163.70562573196125</v>
      </c>
      <c r="O96" s="91"/>
      <c r="P96" s="112"/>
      <c r="Q96" s="108">
        <f t="shared" si="21"/>
        <v>53472429.748783588</v>
      </c>
      <c r="R96" s="36">
        <f t="shared" si="24"/>
        <v>1490681.7687835917</v>
      </c>
      <c r="S96" s="58">
        <f t="shared" si="25"/>
        <v>2.8677022738002812E-2</v>
      </c>
      <c r="T96" s="13">
        <f t="shared" si="26"/>
        <v>2.8677022738002812E-2</v>
      </c>
      <c r="U96" s="114"/>
      <c r="W96"/>
      <c r="X96"/>
    </row>
    <row r="97" spans="1:24" x14ac:dyDescent="0.2">
      <c r="A97" s="90">
        <v>43434</v>
      </c>
      <c r="B97" s="92">
        <v>59277770.899999999</v>
      </c>
      <c r="C97" s="105">
        <f>'Weather Analysis '!Y18</f>
        <v>604.09999999999991</v>
      </c>
      <c r="D97" s="105">
        <f>'Weather Analysis '!Y38</f>
        <v>0</v>
      </c>
      <c r="E97" s="91">
        <v>1</v>
      </c>
      <c r="F97" s="91">
        <v>30</v>
      </c>
      <c r="G97" s="108">
        <v>95</v>
      </c>
      <c r="H97" s="108">
        <f t="shared" si="27"/>
        <v>33637</v>
      </c>
      <c r="I97" s="91">
        <v>336</v>
      </c>
      <c r="J97" s="118">
        <f t="shared" si="28"/>
        <v>1.0521</v>
      </c>
      <c r="K97" s="129" t="e">
        <f>#REF!</f>
        <v>#REF!</v>
      </c>
      <c r="L97" s="92" t="e">
        <f t="shared" si="17"/>
        <v>#REF!</v>
      </c>
      <c r="M97" s="93"/>
      <c r="N97" s="110">
        <v>164.04283251742123</v>
      </c>
      <c r="O97" s="91"/>
      <c r="P97" s="112"/>
      <c r="Q97" s="108">
        <f t="shared" si="21"/>
        <v>59235795.023385726</v>
      </c>
      <c r="R97" s="36">
        <f t="shared" si="24"/>
        <v>-41975.876614272594</v>
      </c>
      <c r="S97" s="58">
        <f t="shared" si="25"/>
        <v>-7.0812171201722082E-4</v>
      </c>
      <c r="T97" s="13">
        <f t="shared" si="26"/>
        <v>7.0812171201722082E-4</v>
      </c>
      <c r="U97" s="114"/>
      <c r="W97"/>
      <c r="X97"/>
    </row>
    <row r="98" spans="1:24" x14ac:dyDescent="0.2">
      <c r="A98" s="90">
        <v>43465</v>
      </c>
      <c r="B98" s="92">
        <v>64601941.469999999</v>
      </c>
      <c r="C98" s="105">
        <f>'Weather Analysis '!Y19</f>
        <v>686.6</v>
      </c>
      <c r="D98" s="105">
        <f>'Weather Analysis '!Y39</f>
        <v>0</v>
      </c>
      <c r="E98" s="91">
        <v>0</v>
      </c>
      <c r="F98" s="91">
        <v>31</v>
      </c>
      <c r="G98" s="108">
        <v>96</v>
      </c>
      <c r="H98" s="108">
        <f t="shared" si="27"/>
        <v>33637</v>
      </c>
      <c r="I98" s="91">
        <v>336</v>
      </c>
      <c r="J98" s="118">
        <f t="shared" si="28"/>
        <v>1.0521</v>
      </c>
      <c r="K98" s="127"/>
      <c r="L98" s="90"/>
      <c r="M98" s="90"/>
      <c r="N98" s="110">
        <v>163.7392481028441</v>
      </c>
      <c r="O98" s="91"/>
      <c r="P98" s="112"/>
      <c r="Q98" s="108">
        <f t="shared" si="21"/>
        <v>66601312.793248244</v>
      </c>
      <c r="R98" s="36">
        <f t="shared" si="24"/>
        <v>1999371.3232482448</v>
      </c>
      <c r="S98" s="58">
        <f t="shared" si="25"/>
        <v>3.0949090348572846E-2</v>
      </c>
      <c r="T98" s="13">
        <f t="shared" si="26"/>
        <v>3.0949090348572846E-2</v>
      </c>
      <c r="U98" s="114"/>
      <c r="W98"/>
      <c r="X98"/>
    </row>
    <row r="99" spans="1:24" x14ac:dyDescent="0.2">
      <c r="A99" s="90">
        <v>43496</v>
      </c>
      <c r="B99" s="92">
        <v>72715952.279999986</v>
      </c>
      <c r="C99" s="105">
        <f>'Weather Analysis '!Z8</f>
        <v>966.9000000000002</v>
      </c>
      <c r="D99" s="105">
        <f>'Weather Analysis '!Z28</f>
        <v>0</v>
      </c>
      <c r="E99" s="91">
        <v>0</v>
      </c>
      <c r="F99" s="91">
        <v>31</v>
      </c>
      <c r="G99" s="108">
        <v>97</v>
      </c>
      <c r="H99" s="108">
        <f>29897+3388+362+23</f>
        <v>33670</v>
      </c>
      <c r="I99" s="91">
        <f>16*22</f>
        <v>352</v>
      </c>
      <c r="J99" s="118">
        <v>1.0450999999999999</v>
      </c>
      <c r="K99" s="127"/>
      <c r="L99" s="90"/>
      <c r="M99" s="90"/>
      <c r="N99" s="125"/>
      <c r="O99" s="124"/>
      <c r="P99" s="126"/>
      <c r="Q99" s="108">
        <f t="shared" si="21"/>
        <v>76371974.657427832</v>
      </c>
      <c r="R99" s="36">
        <f t="shared" si="24"/>
        <v>3656022.3774278462</v>
      </c>
      <c r="S99" s="58">
        <f t="shared" si="25"/>
        <v>5.0278133790367885E-2</v>
      </c>
      <c r="T99" s="13">
        <f t="shared" si="26"/>
        <v>5.0278133790367885E-2</v>
      </c>
      <c r="U99" s="114"/>
      <c r="W99"/>
      <c r="X99"/>
    </row>
    <row r="100" spans="1:24" x14ac:dyDescent="0.2">
      <c r="A100" s="90">
        <v>43524</v>
      </c>
      <c r="B100" s="92">
        <v>62812602.070000038</v>
      </c>
      <c r="C100" s="105">
        <f>'Weather Analysis '!Z9</f>
        <v>802.3</v>
      </c>
      <c r="D100" s="105">
        <f>'Weather Analysis '!Z29</f>
        <v>0</v>
      </c>
      <c r="E100" s="91">
        <v>0</v>
      </c>
      <c r="F100" s="91">
        <v>28</v>
      </c>
      <c r="G100" s="108">
        <v>98</v>
      </c>
      <c r="H100" s="108">
        <f t="shared" ref="H100:H110" si="29">29897+3388+362+23</f>
        <v>33670</v>
      </c>
      <c r="I100" s="91">
        <f>16*20</f>
        <v>320</v>
      </c>
      <c r="J100" s="118">
        <v>1.0450999999999999</v>
      </c>
      <c r="K100" s="127"/>
      <c r="L100" s="90"/>
      <c r="M100" s="90"/>
      <c r="N100" s="125"/>
      <c r="O100" s="124"/>
      <c r="P100" s="126"/>
      <c r="Q100" s="108">
        <f t="shared" si="21"/>
        <v>65383712.896028474</v>
      </c>
      <c r="R100" s="36">
        <f t="shared" si="24"/>
        <v>2571110.8260284364</v>
      </c>
      <c r="S100" s="58">
        <f t="shared" si="25"/>
        <v>4.093304116207639E-2</v>
      </c>
      <c r="T100" s="13">
        <f t="shared" si="26"/>
        <v>4.093304116207639E-2</v>
      </c>
      <c r="U100" s="114"/>
      <c r="W100"/>
      <c r="X100"/>
    </row>
    <row r="101" spans="1:24" x14ac:dyDescent="0.2">
      <c r="A101" s="90">
        <v>43555</v>
      </c>
      <c r="B101" s="92">
        <v>63697945.309999958</v>
      </c>
      <c r="C101" s="105">
        <f>'Weather Analysis '!Z10</f>
        <v>764</v>
      </c>
      <c r="D101" s="105">
        <f>'Weather Analysis '!Z30</f>
        <v>0</v>
      </c>
      <c r="E101" s="91">
        <v>1</v>
      </c>
      <c r="F101" s="91">
        <v>31</v>
      </c>
      <c r="G101" s="108">
        <v>99</v>
      </c>
      <c r="H101" s="108">
        <f t="shared" si="29"/>
        <v>33670</v>
      </c>
      <c r="I101" s="91">
        <f>16*21</f>
        <v>336</v>
      </c>
      <c r="J101" s="118">
        <v>1.0450999999999999</v>
      </c>
      <c r="K101" s="127"/>
      <c r="L101" s="90"/>
      <c r="M101" s="90"/>
      <c r="N101" s="125"/>
      <c r="O101" s="124"/>
      <c r="P101" s="126"/>
      <c r="Q101" s="108">
        <f t="shared" si="21"/>
        <v>66297808.995549344</v>
      </c>
      <c r="R101" s="36">
        <f t="shared" si="24"/>
        <v>2599863.6855493858</v>
      </c>
      <c r="S101" s="58">
        <f t="shared" si="25"/>
        <v>4.0815503120180431E-2</v>
      </c>
      <c r="T101" s="13">
        <f t="shared" si="26"/>
        <v>4.0815503120180431E-2</v>
      </c>
      <c r="U101" s="114"/>
      <c r="W101"/>
      <c r="X101"/>
    </row>
    <row r="102" spans="1:24" x14ac:dyDescent="0.2">
      <c r="A102" s="90">
        <v>43585</v>
      </c>
      <c r="B102" s="92">
        <v>54097054.609999992</v>
      </c>
      <c r="C102" s="105">
        <f>'Weather Analysis '!Z11</f>
        <v>460.99999999999994</v>
      </c>
      <c r="D102" s="105">
        <f>'Weather Analysis '!Z31</f>
        <v>0</v>
      </c>
      <c r="E102" s="91">
        <v>1</v>
      </c>
      <c r="F102" s="91">
        <v>30</v>
      </c>
      <c r="G102" s="108">
        <v>100</v>
      </c>
      <c r="H102" s="108">
        <f t="shared" si="29"/>
        <v>33670</v>
      </c>
      <c r="I102" s="91">
        <f>16*20</f>
        <v>320</v>
      </c>
      <c r="J102" s="118">
        <v>1.0450999999999999</v>
      </c>
      <c r="K102" s="127"/>
      <c r="L102" s="90"/>
      <c r="M102" s="90"/>
      <c r="N102" s="125"/>
      <c r="O102" s="124"/>
      <c r="P102" s="126"/>
      <c r="Q102" s="108">
        <f t="shared" si="21"/>
        <v>53882042.342310652</v>
      </c>
      <c r="R102" s="36">
        <f t="shared" si="24"/>
        <v>-215012.26768933982</v>
      </c>
      <c r="S102" s="58">
        <f t="shared" si="25"/>
        <v>-3.9745651448016952E-3</v>
      </c>
      <c r="T102" s="13">
        <f t="shared" si="26"/>
        <v>3.9745651448016952E-3</v>
      </c>
      <c r="U102" s="114"/>
      <c r="W102"/>
      <c r="X102"/>
    </row>
    <row r="103" spans="1:24" x14ac:dyDescent="0.2">
      <c r="A103" s="90">
        <v>43616</v>
      </c>
      <c r="B103" s="92">
        <v>48408148.54999999</v>
      </c>
      <c r="C103" s="105">
        <f>'Weather Analysis '!Z12</f>
        <v>332.59999999999991</v>
      </c>
      <c r="D103" s="105">
        <f>'Weather Analysis '!Z32</f>
        <v>0</v>
      </c>
      <c r="E103" s="91">
        <v>1</v>
      </c>
      <c r="F103" s="91">
        <v>31</v>
      </c>
      <c r="G103" s="108">
        <v>101</v>
      </c>
      <c r="H103" s="108">
        <f t="shared" si="29"/>
        <v>33670</v>
      </c>
      <c r="I103" s="91">
        <f>16*22</f>
        <v>352</v>
      </c>
      <c r="J103" s="118">
        <v>1.0450999999999999</v>
      </c>
      <c r="K103" s="127"/>
      <c r="L103" s="90"/>
      <c r="M103" s="90"/>
      <c r="N103" s="125"/>
      <c r="O103" s="124"/>
      <c r="P103" s="126"/>
      <c r="Q103" s="108">
        <f t="shared" si="21"/>
        <v>51024519.0227644</v>
      </c>
      <c r="R103" s="36">
        <f t="shared" si="24"/>
        <v>2616370.4727644101</v>
      </c>
      <c r="S103" s="58">
        <f t="shared" si="25"/>
        <v>5.4048141710315641E-2</v>
      </c>
      <c r="T103" s="13">
        <f t="shared" si="26"/>
        <v>5.4048141710315641E-2</v>
      </c>
      <c r="U103" s="114"/>
      <c r="W103"/>
      <c r="X103"/>
    </row>
    <row r="104" spans="1:24" x14ac:dyDescent="0.2">
      <c r="A104" s="90">
        <v>43646</v>
      </c>
      <c r="B104" s="92">
        <v>44308321.229999952</v>
      </c>
      <c r="C104" s="105">
        <f>'Weather Analysis '!Z13</f>
        <v>126.3</v>
      </c>
      <c r="D104" s="105">
        <f>'Weather Analysis '!Z33</f>
        <v>6.6000000000000005</v>
      </c>
      <c r="E104" s="91">
        <v>0</v>
      </c>
      <c r="F104" s="91">
        <v>30</v>
      </c>
      <c r="G104" s="108">
        <v>102</v>
      </c>
      <c r="H104" s="108">
        <f t="shared" si="29"/>
        <v>33670</v>
      </c>
      <c r="I104" s="91">
        <f>16*20</f>
        <v>320</v>
      </c>
      <c r="J104" s="118">
        <v>1.0450999999999999</v>
      </c>
      <c r="K104" s="127"/>
      <c r="L104" s="90"/>
      <c r="M104" s="90"/>
      <c r="N104" s="125"/>
      <c r="O104" s="124"/>
      <c r="P104" s="126"/>
      <c r="Q104" s="108">
        <f t="shared" si="21"/>
        <v>45635307.390186779</v>
      </c>
      <c r="R104" s="36">
        <f t="shared" si="24"/>
        <v>1326986.1601868272</v>
      </c>
      <c r="S104" s="58">
        <f t="shared" si="25"/>
        <v>2.9948915313188648E-2</v>
      </c>
      <c r="T104" s="13">
        <f t="shared" si="26"/>
        <v>2.9948915313188648E-2</v>
      </c>
      <c r="U104" s="114"/>
      <c r="W104"/>
      <c r="X104"/>
    </row>
    <row r="105" spans="1:24" x14ac:dyDescent="0.2">
      <c r="A105" s="90">
        <v>43677</v>
      </c>
      <c r="B105" s="92">
        <v>49411219.699999943</v>
      </c>
      <c r="C105" s="105">
        <f>'Weather Analysis '!Z14</f>
        <v>26.3</v>
      </c>
      <c r="D105" s="105">
        <f>'Weather Analysis '!Z34</f>
        <v>41.699999999999996</v>
      </c>
      <c r="E105" s="91">
        <v>0</v>
      </c>
      <c r="F105" s="91">
        <v>31</v>
      </c>
      <c r="G105" s="108">
        <v>103</v>
      </c>
      <c r="H105" s="108">
        <f t="shared" si="29"/>
        <v>33670</v>
      </c>
      <c r="I105" s="91">
        <f>16*22</f>
        <v>352</v>
      </c>
      <c r="J105" s="118">
        <v>1.0450999999999999</v>
      </c>
      <c r="K105" s="127"/>
      <c r="L105" s="90"/>
      <c r="M105" s="90"/>
      <c r="N105" s="125"/>
      <c r="O105" s="124"/>
      <c r="P105" s="126"/>
      <c r="Q105" s="108">
        <f t="shared" si="21"/>
        <v>48091515.628631018</v>
      </c>
      <c r="R105" s="36">
        <f t="shared" si="24"/>
        <v>-1319704.0713689253</v>
      </c>
      <c r="S105" s="58">
        <f t="shared" si="25"/>
        <v>-2.6708591275048547E-2</v>
      </c>
      <c r="T105" s="13">
        <f t="shared" si="26"/>
        <v>2.6708591275048547E-2</v>
      </c>
      <c r="U105" s="114"/>
      <c r="W105"/>
      <c r="X105"/>
    </row>
    <row r="106" spans="1:24" x14ac:dyDescent="0.2">
      <c r="A106" s="90">
        <v>43708</v>
      </c>
      <c r="B106" s="92">
        <v>46460128.810000002</v>
      </c>
      <c r="C106" s="105">
        <f>'Weather Analysis '!Z15</f>
        <v>52.499999999999993</v>
      </c>
      <c r="D106" s="105">
        <f>'Weather Analysis '!Z35</f>
        <v>7.4</v>
      </c>
      <c r="E106" s="91">
        <v>0</v>
      </c>
      <c r="F106" s="91">
        <v>31</v>
      </c>
      <c r="G106" s="108">
        <v>104</v>
      </c>
      <c r="H106" s="108">
        <f t="shared" si="29"/>
        <v>33670</v>
      </c>
      <c r="I106" s="91">
        <f>16*22</f>
        <v>352</v>
      </c>
      <c r="J106" s="118">
        <v>1.0450999999999999</v>
      </c>
      <c r="K106" s="127"/>
      <c r="L106" s="90"/>
      <c r="M106" s="90"/>
      <c r="N106" s="125"/>
      <c r="O106" s="124"/>
      <c r="P106" s="126"/>
      <c r="Q106" s="108">
        <f t="shared" si="21"/>
        <v>44726584.415671386</v>
      </c>
      <c r="R106" s="36">
        <f t="shared" si="24"/>
        <v>-1733544.3943286166</v>
      </c>
      <c r="S106" s="58">
        <f t="shared" si="25"/>
        <v>-3.7312518039241668E-2</v>
      </c>
      <c r="T106" s="13">
        <f t="shared" si="26"/>
        <v>3.7312518039241668E-2</v>
      </c>
      <c r="U106" s="114"/>
      <c r="W106"/>
      <c r="X106"/>
    </row>
    <row r="107" spans="1:24" x14ac:dyDescent="0.2">
      <c r="A107" s="90">
        <v>43738</v>
      </c>
      <c r="B107" s="92">
        <v>43739956.110000007</v>
      </c>
      <c r="C107" s="105">
        <f>'Weather Analysis '!Z16</f>
        <v>128.29999999999998</v>
      </c>
      <c r="D107" s="105">
        <f>'Weather Analysis '!Z36</f>
        <v>6.8</v>
      </c>
      <c r="E107" s="91">
        <v>1</v>
      </c>
      <c r="F107" s="91">
        <v>30</v>
      </c>
      <c r="G107" s="108">
        <v>105</v>
      </c>
      <c r="H107" s="108">
        <f t="shared" si="29"/>
        <v>33670</v>
      </c>
      <c r="I107" s="91">
        <f>16*20</f>
        <v>320</v>
      </c>
      <c r="J107" s="118">
        <v>1.0450999999999999</v>
      </c>
      <c r="K107" s="127"/>
      <c r="L107" s="90"/>
      <c r="M107" s="90"/>
      <c r="N107" s="125"/>
      <c r="O107" s="124"/>
      <c r="P107" s="126"/>
      <c r="Q107" s="108">
        <f t="shared" si="21"/>
        <v>42711413.241922937</v>
      </c>
      <c r="R107" s="36">
        <f t="shared" si="24"/>
        <v>-1028542.8680770695</v>
      </c>
      <c r="S107" s="58">
        <f t="shared" si="25"/>
        <v>-2.3514949706177686E-2</v>
      </c>
      <c r="T107" s="13">
        <f t="shared" si="26"/>
        <v>2.3514949706177686E-2</v>
      </c>
      <c r="U107" s="114"/>
      <c r="W107"/>
      <c r="X107"/>
    </row>
    <row r="108" spans="1:24" x14ac:dyDescent="0.2">
      <c r="A108" s="90">
        <v>43769</v>
      </c>
      <c r="B108" s="92">
        <v>50062806.730000079</v>
      </c>
      <c r="C108" s="105">
        <f>'Weather Analysis '!Z17</f>
        <v>352.29999999999995</v>
      </c>
      <c r="D108" s="105">
        <f>'Weather Analysis '!Z37</f>
        <v>0</v>
      </c>
      <c r="E108" s="91">
        <v>1</v>
      </c>
      <c r="F108" s="91">
        <v>31</v>
      </c>
      <c r="G108" s="108">
        <v>106</v>
      </c>
      <c r="H108" s="108">
        <f t="shared" si="29"/>
        <v>33670</v>
      </c>
      <c r="I108" s="91">
        <f>16*22</f>
        <v>352</v>
      </c>
      <c r="J108" s="118">
        <v>1.0450999999999999</v>
      </c>
      <c r="K108" s="127"/>
      <c r="L108" s="90"/>
      <c r="M108" s="90"/>
      <c r="N108" s="125"/>
      <c r="O108" s="124"/>
      <c r="P108" s="126"/>
      <c r="Q108" s="108">
        <f t="shared" si="21"/>
        <v>51386178.120447397</v>
      </c>
      <c r="R108" s="36">
        <f t="shared" si="24"/>
        <v>1323371.3904473186</v>
      </c>
      <c r="S108" s="58">
        <f t="shared" si="25"/>
        <v>2.6434222866979006E-2</v>
      </c>
      <c r="T108" s="13">
        <f t="shared" si="26"/>
        <v>2.6434222866979006E-2</v>
      </c>
      <c r="U108" s="114"/>
      <c r="W108"/>
      <c r="X108"/>
    </row>
    <row r="109" spans="1:24" x14ac:dyDescent="0.2">
      <c r="A109" s="90">
        <v>43799</v>
      </c>
      <c r="B109" s="92">
        <v>59303580.430000082</v>
      </c>
      <c r="C109" s="105">
        <f>'Weather Analysis '!Z18</f>
        <v>615.09999999999991</v>
      </c>
      <c r="D109" s="105">
        <f>'Weather Analysis '!Z38</f>
        <v>0</v>
      </c>
      <c r="E109" s="91">
        <v>1</v>
      </c>
      <c r="F109" s="91">
        <v>30</v>
      </c>
      <c r="G109" s="108">
        <v>107</v>
      </c>
      <c r="H109" s="108">
        <f t="shared" si="29"/>
        <v>33670</v>
      </c>
      <c r="I109" s="91">
        <f>16*20</f>
        <v>320</v>
      </c>
      <c r="J109" s="118">
        <v>1.0450999999999999</v>
      </c>
      <c r="K109" s="127"/>
      <c r="L109" s="90"/>
      <c r="M109" s="90"/>
      <c r="N109" s="125"/>
      <c r="O109" s="124"/>
      <c r="P109" s="126"/>
      <c r="Q109" s="108">
        <f t="shared" si="21"/>
        <v>58828994.042307355</v>
      </c>
      <c r="R109" s="36">
        <f t="shared" si="24"/>
        <v>-474586.38769272715</v>
      </c>
      <c r="S109" s="58">
        <f t="shared" si="25"/>
        <v>-8.0026599448394641E-3</v>
      </c>
      <c r="T109" s="13">
        <f t="shared" si="26"/>
        <v>8.0026599448394641E-3</v>
      </c>
      <c r="U109" s="114"/>
      <c r="W109"/>
      <c r="X109"/>
    </row>
    <row r="110" spans="1:24" x14ac:dyDescent="0.2">
      <c r="A110" s="90">
        <v>43830</v>
      </c>
      <c r="B110" s="92">
        <v>65621798.10999997</v>
      </c>
      <c r="C110" s="105">
        <f>'Weather Analysis '!Z19</f>
        <v>713.19999999999993</v>
      </c>
      <c r="D110" s="105">
        <f>'Weather Analysis '!Z39</f>
        <v>0</v>
      </c>
      <c r="E110" s="91">
        <v>0</v>
      </c>
      <c r="F110" s="91">
        <v>31</v>
      </c>
      <c r="G110" s="108">
        <v>108</v>
      </c>
      <c r="H110" s="108">
        <f t="shared" si="29"/>
        <v>33670</v>
      </c>
      <c r="I110" s="91">
        <f>16*20</f>
        <v>320</v>
      </c>
      <c r="J110" s="118">
        <v>1.0450999999999999</v>
      </c>
      <c r="K110" s="127"/>
      <c r="L110" s="90"/>
      <c r="M110" s="90"/>
      <c r="N110" s="125"/>
      <c r="O110" s="124"/>
      <c r="P110" s="126"/>
      <c r="Q110" s="108">
        <f t="shared" si="21"/>
        <v>66742044.311589338</v>
      </c>
      <c r="R110" s="36">
        <f t="shared" si="24"/>
        <v>1120246.2015893683</v>
      </c>
      <c r="S110" s="58">
        <f t="shared" si="25"/>
        <v>1.7071251228311837E-2</v>
      </c>
      <c r="T110" s="13">
        <f t="shared" si="26"/>
        <v>1.7071251228311837E-2</v>
      </c>
      <c r="U110" s="114"/>
      <c r="W110"/>
      <c r="X110"/>
    </row>
    <row r="111" spans="1:24" x14ac:dyDescent="0.2">
      <c r="A111" s="90">
        <v>43861</v>
      </c>
      <c r="B111" s="92">
        <v>66610655.697510459</v>
      </c>
      <c r="C111" s="105">
        <f>'Weather Analysis '!AA8</f>
        <v>708.49999999999977</v>
      </c>
      <c r="D111" s="105">
        <f>'Weather Analysis '!AA28</f>
        <v>0</v>
      </c>
      <c r="E111" s="91">
        <v>0</v>
      </c>
      <c r="F111" s="91">
        <v>31</v>
      </c>
      <c r="G111" s="108">
        <v>109</v>
      </c>
      <c r="H111" s="108">
        <v>33775</v>
      </c>
      <c r="I111" s="91">
        <f>16*22</f>
        <v>352</v>
      </c>
      <c r="J111" s="118">
        <v>1.0442</v>
      </c>
      <c r="K111" s="127"/>
      <c r="L111" s="90"/>
      <c r="M111" s="90"/>
      <c r="N111" s="125"/>
      <c r="O111" s="124"/>
      <c r="P111" s="126"/>
      <c r="Q111" s="108">
        <f t="shared" si="21"/>
        <v>66506613.087684415</v>
      </c>
      <c r="R111" s="36">
        <f t="shared" si="24"/>
        <v>-104042.60982604325</v>
      </c>
      <c r="S111" s="58">
        <f t="shared" si="25"/>
        <v>-1.5619514436026156E-3</v>
      </c>
      <c r="T111" s="13">
        <f t="shared" si="26"/>
        <v>1.5619514436026156E-3</v>
      </c>
      <c r="U111" s="114"/>
      <c r="W111"/>
      <c r="X111"/>
    </row>
    <row r="112" spans="1:24" x14ac:dyDescent="0.2">
      <c r="A112" s="90">
        <v>43890</v>
      </c>
      <c r="B112" s="92">
        <v>63240829.937510461</v>
      </c>
      <c r="C112" s="105">
        <f>'Weather Analysis '!AA9</f>
        <v>755.40000000000009</v>
      </c>
      <c r="D112" s="105">
        <f>'Weather Analysis '!AA29</f>
        <v>0</v>
      </c>
      <c r="E112" s="91">
        <v>0</v>
      </c>
      <c r="F112" s="91">
        <v>28</v>
      </c>
      <c r="G112" s="108">
        <v>110</v>
      </c>
      <c r="H112" s="108">
        <v>33798</v>
      </c>
      <c r="I112" s="91">
        <f>16*20</f>
        <v>320</v>
      </c>
      <c r="J112" s="118">
        <v>1.0442</v>
      </c>
      <c r="K112" s="127"/>
      <c r="L112" s="90"/>
      <c r="M112" s="90"/>
      <c r="N112" s="125"/>
      <c r="O112" s="124"/>
      <c r="P112" s="126"/>
      <c r="Q112" s="108">
        <f t="shared" si="21"/>
        <v>62940639.640788034</v>
      </c>
      <c r="R112" s="36">
        <f t="shared" si="24"/>
        <v>-300190.29672242701</v>
      </c>
      <c r="S112" s="58">
        <f t="shared" si="25"/>
        <v>-4.7467798417422909E-3</v>
      </c>
      <c r="T112" s="13">
        <f t="shared" si="26"/>
        <v>4.7467798417422909E-3</v>
      </c>
      <c r="U112" s="114"/>
      <c r="W112"/>
      <c r="X112"/>
    </row>
    <row r="113" spans="1:24" x14ac:dyDescent="0.2">
      <c r="A113" s="90">
        <v>43921</v>
      </c>
      <c r="B113" s="92">
        <v>61247214.337510459</v>
      </c>
      <c r="C113" s="105">
        <f>'Weather Analysis '!AA10</f>
        <v>638.20000000000005</v>
      </c>
      <c r="D113" s="105">
        <f>'Weather Analysis '!AA30</f>
        <v>0</v>
      </c>
      <c r="E113" s="91">
        <v>1</v>
      </c>
      <c r="F113" s="91">
        <v>31</v>
      </c>
      <c r="G113" s="108">
        <v>111</v>
      </c>
      <c r="H113" s="108">
        <v>33798</v>
      </c>
      <c r="I113" s="91">
        <f>16*22</f>
        <v>352</v>
      </c>
      <c r="J113" s="118">
        <v>1.0442</v>
      </c>
      <c r="K113" s="127"/>
      <c r="L113" s="90"/>
      <c r="M113" s="90"/>
      <c r="N113" s="125"/>
      <c r="O113" s="124"/>
      <c r="P113" s="126"/>
      <c r="Q113" s="108">
        <f t="shared" si="21"/>
        <v>61085484.829783462</v>
      </c>
      <c r="R113" s="36">
        <f t="shared" si="24"/>
        <v>-161729.50772699714</v>
      </c>
      <c r="S113" s="58">
        <f t="shared" si="25"/>
        <v>-2.6406018539188803E-3</v>
      </c>
      <c r="T113" s="13">
        <f t="shared" si="26"/>
        <v>2.6406018539188803E-3</v>
      </c>
      <c r="U113" s="114"/>
      <c r="W113"/>
      <c r="X113"/>
    </row>
    <row r="114" spans="1:24" x14ac:dyDescent="0.2">
      <c r="A114" s="90">
        <v>43951</v>
      </c>
      <c r="B114" s="92">
        <v>53304894.037510455</v>
      </c>
      <c r="C114" s="105">
        <f>'Weather Analysis '!AA11</f>
        <v>489.45000000000005</v>
      </c>
      <c r="D114" s="105">
        <f>'Weather Analysis '!AA31</f>
        <v>0</v>
      </c>
      <c r="E114" s="91">
        <v>1</v>
      </c>
      <c r="F114" s="91">
        <v>30</v>
      </c>
      <c r="G114" s="108">
        <v>112</v>
      </c>
      <c r="H114" s="108">
        <v>33798</v>
      </c>
      <c r="I114" s="91">
        <f>16*20</f>
        <v>320</v>
      </c>
      <c r="J114" s="118">
        <v>1.0442</v>
      </c>
      <c r="K114" s="127"/>
      <c r="L114" s="90"/>
      <c r="M114" s="90"/>
      <c r="N114" s="125"/>
      <c r="O114" s="124"/>
      <c r="P114" s="126"/>
      <c r="Q114" s="108">
        <f t="shared" si="21"/>
        <v>54083621.255740546</v>
      </c>
      <c r="R114" s="36">
        <f t="shared" si="24"/>
        <v>778727.21823009104</v>
      </c>
      <c r="S114" s="58">
        <f t="shared" si="25"/>
        <v>1.4608925358375229E-2</v>
      </c>
      <c r="T114" s="13">
        <f t="shared" si="26"/>
        <v>1.4608925358375229E-2</v>
      </c>
      <c r="U114" s="114"/>
      <c r="W114"/>
      <c r="X114"/>
    </row>
    <row r="115" spans="1:24" x14ac:dyDescent="0.2">
      <c r="A115" s="90">
        <v>43982</v>
      </c>
      <c r="B115" s="92">
        <v>49102693.677510455</v>
      </c>
      <c r="C115" s="105">
        <f>'Weather Analysis '!AA12</f>
        <v>286.7</v>
      </c>
      <c r="D115" s="105">
        <f>'Weather Analysis '!AA32</f>
        <v>12.7</v>
      </c>
      <c r="E115" s="91">
        <v>1</v>
      </c>
      <c r="F115" s="91">
        <v>31</v>
      </c>
      <c r="G115" s="108">
        <v>113</v>
      </c>
      <c r="H115" s="108">
        <v>33798</v>
      </c>
      <c r="I115" s="91">
        <f>16*20</f>
        <v>320</v>
      </c>
      <c r="J115" s="118">
        <v>1.0442</v>
      </c>
      <c r="K115" s="127"/>
      <c r="L115" s="90"/>
      <c r="M115" s="90"/>
      <c r="N115" s="125"/>
      <c r="O115" s="124"/>
      <c r="P115" s="126"/>
      <c r="Q115" s="108">
        <f t="shared" si="21"/>
        <v>50178514.335549518</v>
      </c>
      <c r="R115" s="36">
        <f t="shared" si="24"/>
        <v>1075820.6580390632</v>
      </c>
      <c r="S115" s="58">
        <f t="shared" si="25"/>
        <v>2.1909605715415167E-2</v>
      </c>
      <c r="T115" s="13">
        <f t="shared" si="26"/>
        <v>2.1909605715415167E-2</v>
      </c>
      <c r="U115" s="114"/>
      <c r="W115"/>
      <c r="X115"/>
    </row>
    <row r="116" spans="1:24" x14ac:dyDescent="0.2">
      <c r="A116" s="90">
        <v>44012</v>
      </c>
      <c r="B116" s="92">
        <v>46184026.79751046</v>
      </c>
      <c r="C116" s="105">
        <f>'Weather Analysis '!AA13</f>
        <v>101.5</v>
      </c>
      <c r="D116" s="105">
        <f>'Weather Analysis '!AA33</f>
        <v>15.700000000000001</v>
      </c>
      <c r="E116" s="91">
        <v>0</v>
      </c>
      <c r="F116" s="91">
        <v>30</v>
      </c>
      <c r="G116" s="108">
        <v>114</v>
      </c>
      <c r="H116" s="108">
        <v>33798</v>
      </c>
      <c r="I116" s="91">
        <f>16*22</f>
        <v>352</v>
      </c>
      <c r="J116" s="118">
        <v>1.0442</v>
      </c>
      <c r="K116" s="127"/>
      <c r="L116" s="90"/>
      <c r="M116" s="90"/>
      <c r="N116" s="125"/>
      <c r="O116" s="124"/>
      <c r="P116" s="126"/>
      <c r="Q116" s="108">
        <f t="shared" si="21"/>
        <v>45087112.263273887</v>
      </c>
      <c r="R116" s="36">
        <f t="shared" si="24"/>
        <v>-1096914.5342365727</v>
      </c>
      <c r="S116" s="58">
        <f t="shared" si="25"/>
        <v>-2.3750950497363334E-2</v>
      </c>
      <c r="T116" s="13">
        <f t="shared" si="26"/>
        <v>2.3750950497363334E-2</v>
      </c>
      <c r="U116" s="114"/>
      <c r="W116"/>
      <c r="X116"/>
    </row>
    <row r="117" spans="1:24" x14ac:dyDescent="0.2">
      <c r="A117" s="90">
        <v>44043</v>
      </c>
      <c r="B117" s="92">
        <v>52834439.457510456</v>
      </c>
      <c r="C117" s="105">
        <f>'Weather Analysis '!AA14</f>
        <v>12.3</v>
      </c>
      <c r="D117" s="105">
        <f>'Weather Analysis '!AA34</f>
        <v>62.399999999999991</v>
      </c>
      <c r="E117" s="91">
        <v>0</v>
      </c>
      <c r="F117" s="91">
        <v>31</v>
      </c>
      <c r="G117" s="108">
        <v>115</v>
      </c>
      <c r="H117" s="108">
        <v>33798</v>
      </c>
      <c r="I117" s="91">
        <f>16*22</f>
        <v>352</v>
      </c>
      <c r="J117" s="118">
        <v>1.0442</v>
      </c>
      <c r="K117" s="127"/>
      <c r="L117" s="90"/>
      <c r="M117" s="90"/>
      <c r="N117" s="125"/>
      <c r="O117" s="124"/>
      <c r="P117" s="126"/>
      <c r="Q117" s="108">
        <f t="shared" si="21"/>
        <v>49349063.02492132</v>
      </c>
      <c r="R117" s="36">
        <f t="shared" si="24"/>
        <v>-3485376.4325891361</v>
      </c>
      <c r="S117" s="58">
        <f t="shared" si="25"/>
        <v>-6.5967888906857453E-2</v>
      </c>
      <c r="T117" s="13">
        <f t="shared" si="26"/>
        <v>6.5967888906857453E-2</v>
      </c>
      <c r="U117" s="114"/>
      <c r="W117"/>
      <c r="X117"/>
    </row>
    <row r="118" spans="1:24" x14ac:dyDescent="0.2">
      <c r="A118" s="90">
        <v>44074</v>
      </c>
      <c r="B118" s="92">
        <v>49467685.607510455</v>
      </c>
      <c r="C118" s="105">
        <f>'Weather Analysis '!AA15</f>
        <v>38.299999999999997</v>
      </c>
      <c r="D118" s="105">
        <f>'Weather Analysis '!AA35</f>
        <v>30.7</v>
      </c>
      <c r="E118" s="91">
        <v>0</v>
      </c>
      <c r="F118" s="91">
        <v>31</v>
      </c>
      <c r="G118" s="108">
        <v>116</v>
      </c>
      <c r="H118" s="108">
        <v>33798</v>
      </c>
      <c r="I118" s="91">
        <f>16*21</f>
        <v>336</v>
      </c>
      <c r="J118" s="118">
        <v>1.0442</v>
      </c>
      <c r="K118" s="127"/>
      <c r="L118" s="90"/>
      <c r="M118" s="90"/>
      <c r="N118" s="125"/>
      <c r="O118" s="124"/>
      <c r="P118" s="126"/>
      <c r="Q118" s="108">
        <f t="shared" si="21"/>
        <v>46296885.618099898</v>
      </c>
      <c r="R118" s="36">
        <f t="shared" si="24"/>
        <v>-3170799.9894105569</v>
      </c>
      <c r="S118" s="58">
        <f t="shared" si="25"/>
        <v>-6.4098409910835791E-2</v>
      </c>
      <c r="T118" s="13">
        <f t="shared" si="26"/>
        <v>6.4098409910835791E-2</v>
      </c>
      <c r="U118" s="114"/>
      <c r="W118"/>
      <c r="X118"/>
    </row>
    <row r="119" spans="1:24" x14ac:dyDescent="0.2">
      <c r="A119" s="90">
        <v>44104</v>
      </c>
      <c r="B119" s="92">
        <v>44701633.877510458</v>
      </c>
      <c r="C119" s="105">
        <f>'Weather Analysis '!AA16</f>
        <v>181.5</v>
      </c>
      <c r="D119" s="105">
        <f>'Weather Analysis '!AA36</f>
        <v>0</v>
      </c>
      <c r="E119" s="91">
        <v>1</v>
      </c>
      <c r="F119" s="91">
        <v>30</v>
      </c>
      <c r="G119" s="108">
        <v>117</v>
      </c>
      <c r="H119" s="108">
        <v>33798</v>
      </c>
      <c r="I119" s="91">
        <f>16*21</f>
        <v>336</v>
      </c>
      <c r="J119" s="118">
        <v>1.0442</v>
      </c>
      <c r="K119" s="127"/>
      <c r="L119" s="90"/>
      <c r="M119" s="90"/>
      <c r="N119" s="125"/>
      <c r="O119" s="124"/>
      <c r="P119" s="126"/>
      <c r="Q119" s="108">
        <f t="shared" si="21"/>
        <v>42945342.953757457</v>
      </c>
      <c r="R119" s="36">
        <f t="shared" si="24"/>
        <v>-1756290.9237530008</v>
      </c>
      <c r="S119" s="58">
        <f t="shared" si="25"/>
        <v>-3.9289188591305535E-2</v>
      </c>
      <c r="T119" s="13">
        <f t="shared" si="26"/>
        <v>3.9289188591305535E-2</v>
      </c>
      <c r="U119" s="114"/>
      <c r="W119"/>
      <c r="X119"/>
    </row>
    <row r="120" spans="1:24" x14ac:dyDescent="0.2">
      <c r="A120" s="90">
        <v>44135</v>
      </c>
      <c r="B120" s="92">
        <v>52557234.957510456</v>
      </c>
      <c r="C120" s="105">
        <f>'Weather Analysis '!AA17</f>
        <v>410.8</v>
      </c>
      <c r="D120" s="105">
        <f>'Weather Analysis '!AA37</f>
        <v>0</v>
      </c>
      <c r="E120" s="91">
        <v>1</v>
      </c>
      <c r="F120" s="91">
        <v>31</v>
      </c>
      <c r="G120" s="108">
        <v>118</v>
      </c>
      <c r="H120" s="108">
        <v>33798</v>
      </c>
      <c r="I120" s="91">
        <f>16*21</f>
        <v>336</v>
      </c>
      <c r="J120" s="118">
        <v>1.0442</v>
      </c>
      <c r="K120" s="127"/>
      <c r="L120" s="90"/>
      <c r="M120" s="90"/>
      <c r="N120" s="125"/>
      <c r="O120" s="124"/>
      <c r="P120" s="126"/>
      <c r="Q120" s="108">
        <f t="shared" si="21"/>
        <v>52642459.060002618</v>
      </c>
      <c r="R120" s="36">
        <f t="shared" si="24"/>
        <v>85224.102492161095</v>
      </c>
      <c r="S120" s="58">
        <f t="shared" si="25"/>
        <v>1.6215484425894922E-3</v>
      </c>
      <c r="T120" s="13">
        <f t="shared" si="26"/>
        <v>1.6215484425894922E-3</v>
      </c>
      <c r="U120" s="114"/>
      <c r="W120"/>
      <c r="X120"/>
    </row>
    <row r="121" spans="1:24" x14ac:dyDescent="0.2">
      <c r="A121" s="90">
        <v>44165</v>
      </c>
      <c r="B121" s="92">
        <v>55175518.36751046</v>
      </c>
      <c r="C121" s="105">
        <f>'Weather Analysis '!AA18</f>
        <v>437.50000000000006</v>
      </c>
      <c r="D121" s="105">
        <f>'Weather Analysis '!AA38</f>
        <v>0</v>
      </c>
      <c r="E121" s="91">
        <v>1</v>
      </c>
      <c r="F121" s="91">
        <v>30</v>
      </c>
      <c r="G121" s="108">
        <v>119</v>
      </c>
      <c r="H121" s="108">
        <v>33798</v>
      </c>
      <c r="I121" s="91">
        <f>16*20</f>
        <v>320</v>
      </c>
      <c r="J121" s="118">
        <v>1.0442</v>
      </c>
      <c r="K121" s="127"/>
      <c r="L121" s="90"/>
      <c r="M121" s="90"/>
      <c r="N121" s="125"/>
      <c r="O121" s="124"/>
      <c r="P121" s="126"/>
      <c r="Q121" s="108">
        <f t="shared" si="21"/>
        <v>51798581.192571685</v>
      </c>
      <c r="R121" s="36">
        <f t="shared" si="24"/>
        <v>-3376937.1749387756</v>
      </c>
      <c r="S121" s="58">
        <f t="shared" si="25"/>
        <v>-6.1203542347274993E-2</v>
      </c>
      <c r="T121" s="13">
        <f t="shared" si="26"/>
        <v>6.1203542347274993E-2</v>
      </c>
      <c r="U121" s="114"/>
      <c r="W121"/>
      <c r="X121"/>
    </row>
    <row r="122" spans="1:24" x14ac:dyDescent="0.2">
      <c r="A122" s="90">
        <v>44196</v>
      </c>
      <c r="B122" s="92">
        <v>64641768.777510457</v>
      </c>
      <c r="C122" s="105">
        <f>'Weather Analysis '!AA19</f>
        <v>668.3</v>
      </c>
      <c r="D122" s="105">
        <f>'Weather Analysis '!AA39</f>
        <v>0</v>
      </c>
      <c r="E122" s="91">
        <v>0</v>
      </c>
      <c r="F122" s="91">
        <v>31</v>
      </c>
      <c r="G122" s="108">
        <v>120</v>
      </c>
      <c r="H122" s="108">
        <v>33798</v>
      </c>
      <c r="I122" s="91">
        <f>16*21</f>
        <v>336</v>
      </c>
      <c r="J122" s="118">
        <v>1.0442</v>
      </c>
      <c r="K122" s="127"/>
      <c r="L122" s="90"/>
      <c r="M122" s="90"/>
      <c r="N122" s="125"/>
      <c r="O122" s="124"/>
      <c r="P122" s="126"/>
      <c r="Q122" s="108">
        <f t="shared" si="21"/>
        <v>64369167.53063342</v>
      </c>
      <c r="R122" s="36">
        <f t="shared" si="24"/>
        <v>-272601.24687703699</v>
      </c>
      <c r="S122" s="58">
        <f t="shared" si="25"/>
        <v>-4.2171068649946627E-3</v>
      </c>
      <c r="T122" s="13">
        <f t="shared" si="26"/>
        <v>4.2171068649946627E-3</v>
      </c>
      <c r="U122" s="114"/>
      <c r="W122"/>
      <c r="X122"/>
    </row>
    <row r="123" spans="1:24" x14ac:dyDescent="0.2">
      <c r="A123" s="90">
        <v>44227</v>
      </c>
      <c r="B123" s="210">
        <v>65078363.812808581</v>
      </c>
      <c r="C123" s="210">
        <f>'Weather Analysis '!AB8</f>
        <v>737.99999999999989</v>
      </c>
      <c r="D123" s="210">
        <f>'Weather Analysis '!AB28</f>
        <v>0</v>
      </c>
      <c r="E123" s="91">
        <v>0</v>
      </c>
      <c r="F123" s="91">
        <v>31</v>
      </c>
      <c r="G123" s="108">
        <v>121</v>
      </c>
      <c r="H123" s="108">
        <v>33905</v>
      </c>
      <c r="I123" s="91">
        <f>16*20</f>
        <v>320</v>
      </c>
      <c r="J123" s="118"/>
      <c r="K123" s="127"/>
      <c r="L123" s="90"/>
      <c r="M123" s="90"/>
      <c r="N123" s="125"/>
      <c r="O123" s="124"/>
      <c r="P123" s="126"/>
      <c r="Q123" s="108">
        <f>$X$69+C123*$X$70+E123*$X$72+F123*$X$73+G123*$X$74+ H123*$X$75</f>
        <v>66744959.16393213</v>
      </c>
      <c r="R123" s="36">
        <f t="shared" si="24"/>
        <v>1666595.351123549</v>
      </c>
      <c r="S123" s="58">
        <f t="shared" si="25"/>
        <v>2.5609054276738492E-2</v>
      </c>
      <c r="T123" s="13">
        <f t="shared" si="26"/>
        <v>2.5609054276738492E-2</v>
      </c>
      <c r="U123" s="114"/>
      <c r="W123"/>
      <c r="X123"/>
    </row>
    <row r="124" spans="1:24" x14ac:dyDescent="0.2">
      <c r="A124" s="90">
        <v>44255</v>
      </c>
      <c r="B124" s="210">
        <v>62543996.612808578</v>
      </c>
      <c r="C124" s="210">
        <f>'Weather Analysis '!AB9</f>
        <v>799.80000000000018</v>
      </c>
      <c r="D124" s="210">
        <f>'Weather Analysis '!AB29</f>
        <v>0</v>
      </c>
      <c r="E124" s="91">
        <v>0</v>
      </c>
      <c r="F124" s="91">
        <v>28</v>
      </c>
      <c r="G124" s="108">
        <v>122</v>
      </c>
      <c r="H124" s="108">
        <f>$H$123</f>
        <v>33905</v>
      </c>
      <c r="I124" s="91">
        <f>16*20</f>
        <v>320</v>
      </c>
      <c r="J124" s="118"/>
      <c r="K124" s="127"/>
      <c r="L124" s="90"/>
      <c r="M124" s="90"/>
      <c r="N124" s="125"/>
      <c r="O124" s="124"/>
      <c r="P124" s="126"/>
      <c r="Q124" s="108">
        <f t="shared" ref="Q124:Q133" si="30">$X$69+C124*$X$70+E124*$X$72+F124*$X$73+G124*$X$74+ H124*$X$75</f>
        <v>63702938.291543633</v>
      </c>
      <c r="R124" s="36">
        <f t="shared" si="24"/>
        <v>1158941.678735055</v>
      </c>
      <c r="S124" s="58">
        <f t="shared" si="25"/>
        <v>1.8530022727996115E-2</v>
      </c>
      <c r="T124" s="13">
        <f t="shared" si="26"/>
        <v>1.8530022727996115E-2</v>
      </c>
      <c r="U124" s="114"/>
      <c r="W124"/>
      <c r="X124"/>
    </row>
    <row r="125" spans="1:24" x14ac:dyDescent="0.2">
      <c r="A125" s="90">
        <v>44286</v>
      </c>
      <c r="B125" s="210">
        <v>61303951.912808575</v>
      </c>
      <c r="C125" s="210">
        <f>'Weather Analysis '!AB10</f>
        <v>599.59999999999991</v>
      </c>
      <c r="D125" s="210">
        <f>'Weather Analysis '!AB30</f>
        <v>0</v>
      </c>
      <c r="E125" s="91">
        <v>1</v>
      </c>
      <c r="F125" s="91">
        <v>31</v>
      </c>
      <c r="G125" s="108">
        <v>123</v>
      </c>
      <c r="H125" s="108">
        <f t="shared" ref="H125:H134" si="31">$H$123</f>
        <v>33905</v>
      </c>
      <c r="I125" s="91">
        <f>16*23</f>
        <v>368</v>
      </c>
      <c r="J125" s="118"/>
      <c r="K125" s="37"/>
      <c r="L125" s="37"/>
      <c r="M125" s="37"/>
      <c r="N125" s="125"/>
      <c r="O125" s="124"/>
      <c r="P125" s="126"/>
      <c r="Q125" s="108">
        <f t="shared" si="30"/>
        <v>58934629.797730327</v>
      </c>
      <c r="R125" s="36">
        <f t="shared" si="24"/>
        <v>-2369322.1150782481</v>
      </c>
      <c r="S125" s="58">
        <f t="shared" si="25"/>
        <v>-3.8648766370691555E-2</v>
      </c>
      <c r="T125" s="13">
        <f t="shared" si="26"/>
        <v>3.8648766370691555E-2</v>
      </c>
      <c r="U125" s="114"/>
      <c r="W125"/>
      <c r="X125"/>
    </row>
    <row r="126" spans="1:24" x14ac:dyDescent="0.2">
      <c r="A126" s="90">
        <v>44316</v>
      </c>
      <c r="B126" s="210">
        <v>50610121.132808588</v>
      </c>
      <c r="C126" s="210">
        <f>'Weather Analysis '!AB11</f>
        <v>392.87499999999989</v>
      </c>
      <c r="D126" s="210">
        <f>'Weather Analysis '!AB31</f>
        <v>0</v>
      </c>
      <c r="E126" s="91">
        <v>1</v>
      </c>
      <c r="F126" s="91">
        <v>30</v>
      </c>
      <c r="G126" s="108">
        <v>124</v>
      </c>
      <c r="H126" s="108">
        <f t="shared" si="31"/>
        <v>33905</v>
      </c>
      <c r="I126" s="91">
        <f>16*20</f>
        <v>320</v>
      </c>
      <c r="J126" s="118"/>
      <c r="K126" s="37"/>
      <c r="L126" s="37"/>
      <c r="M126" s="37"/>
      <c r="N126" s="125"/>
      <c r="O126" s="124"/>
      <c r="P126" s="126"/>
      <c r="Q126" s="108">
        <f t="shared" si="30"/>
        <v>49897945.92536407</v>
      </c>
      <c r="R126" s="36">
        <f t="shared" si="24"/>
        <v>-712175.2074445188</v>
      </c>
      <c r="S126" s="58">
        <f t="shared" si="25"/>
        <v>-1.4071794168910674E-2</v>
      </c>
      <c r="T126" s="13">
        <f t="shared" si="26"/>
        <v>1.4071794168910674E-2</v>
      </c>
      <c r="U126" s="114"/>
      <c r="W126"/>
      <c r="X126"/>
    </row>
    <row r="127" spans="1:24" x14ac:dyDescent="0.2">
      <c r="A127" s="90">
        <v>44347</v>
      </c>
      <c r="B127" s="210">
        <v>46990075.142808586</v>
      </c>
      <c r="C127" s="210">
        <f>'Weather Analysis '!AB12</f>
        <v>266.09999999999997</v>
      </c>
      <c r="D127" s="210">
        <f>'Weather Analysis '!AB32</f>
        <v>7.1</v>
      </c>
      <c r="E127" s="91">
        <v>1</v>
      </c>
      <c r="F127" s="91">
        <v>31</v>
      </c>
      <c r="G127" s="108">
        <v>125</v>
      </c>
      <c r="H127" s="108">
        <f t="shared" si="31"/>
        <v>33905</v>
      </c>
      <c r="I127" s="91">
        <f>16*20</f>
        <v>320</v>
      </c>
      <c r="J127" s="122"/>
      <c r="K127" s="121"/>
      <c r="L127" s="120"/>
      <c r="M127" s="123"/>
      <c r="N127" s="125"/>
      <c r="O127" s="124"/>
      <c r="P127" s="126"/>
      <c r="Q127" s="108">
        <f t="shared" si="30"/>
        <v>47097457.241174012</v>
      </c>
      <c r="R127" s="36">
        <f t="shared" si="24"/>
        <v>107382.09836542606</v>
      </c>
      <c r="S127" s="58">
        <f t="shared" si="25"/>
        <v>2.2852080580650007E-3</v>
      </c>
      <c r="T127" s="13">
        <f t="shared" si="26"/>
        <v>2.2852080580650007E-3</v>
      </c>
      <c r="U127" s="114"/>
      <c r="W127"/>
      <c r="X127"/>
    </row>
    <row r="128" spans="1:24" x14ac:dyDescent="0.2">
      <c r="A128" s="90">
        <v>44377</v>
      </c>
      <c r="B128" s="210">
        <v>46876885.862808585</v>
      </c>
      <c r="C128" s="210">
        <f>'Weather Analysis '!AB13</f>
        <v>70.899999999999991</v>
      </c>
      <c r="D128" s="210">
        <f>'Weather Analysis '!AB33</f>
        <v>25.200000000000003</v>
      </c>
      <c r="E128" s="91">
        <v>0</v>
      </c>
      <c r="F128" s="91">
        <v>30</v>
      </c>
      <c r="G128" s="108">
        <v>126</v>
      </c>
      <c r="H128" s="108">
        <f t="shared" si="31"/>
        <v>33905</v>
      </c>
      <c r="I128" s="91">
        <f>16*22</f>
        <v>352</v>
      </c>
      <c r="J128" s="122"/>
      <c r="K128" s="121"/>
      <c r="L128" s="120"/>
      <c r="M128" s="123"/>
      <c r="N128" s="125"/>
      <c r="O128" s="124"/>
      <c r="P128" s="126"/>
      <c r="Q128" s="108">
        <f t="shared" si="30"/>
        <v>41286103.427975647</v>
      </c>
      <c r="R128" s="36">
        <f t="shared" si="24"/>
        <v>-5590782.434832938</v>
      </c>
      <c r="S128" s="58">
        <f t="shared" si="25"/>
        <v>-0.11926522702884111</v>
      </c>
      <c r="T128" s="13">
        <f t="shared" si="26"/>
        <v>0.11926522702884111</v>
      </c>
      <c r="U128" s="114"/>
      <c r="W128"/>
      <c r="X128"/>
    </row>
    <row r="129" spans="1:24" x14ac:dyDescent="0.2">
      <c r="A129" s="90">
        <v>44408</v>
      </c>
      <c r="B129" s="210">
        <v>49479150.082808584</v>
      </c>
      <c r="C129" s="210">
        <f>'Weather Analysis '!AB14</f>
        <v>34.400000000000006</v>
      </c>
      <c r="D129" s="210">
        <f>'Weather Analysis '!AB34</f>
        <v>27.599999999999994</v>
      </c>
      <c r="E129" s="91">
        <v>0</v>
      </c>
      <c r="F129" s="91">
        <v>31</v>
      </c>
      <c r="G129" s="108">
        <v>127</v>
      </c>
      <c r="H129" s="108">
        <f t="shared" si="31"/>
        <v>33905</v>
      </c>
      <c r="I129" s="91">
        <f>16*21</f>
        <v>336</v>
      </c>
      <c r="J129" s="122"/>
      <c r="K129" s="121"/>
      <c r="L129" s="120"/>
      <c r="M129" s="123"/>
      <c r="N129" s="125"/>
      <c r="O129" s="124"/>
      <c r="P129" s="126"/>
      <c r="Q129" s="108">
        <f t="shared" si="30"/>
        <v>41654108.101804376</v>
      </c>
      <c r="R129" s="36">
        <f t="shared" si="24"/>
        <v>-7825041.9810042083</v>
      </c>
      <c r="S129" s="58">
        <f t="shared" si="25"/>
        <v>-0.15814826988556138</v>
      </c>
      <c r="T129" s="13">
        <f t="shared" si="26"/>
        <v>0.15814826988556138</v>
      </c>
      <c r="U129" s="114"/>
      <c r="W129"/>
      <c r="X129"/>
    </row>
    <row r="130" spans="1:24" x14ac:dyDescent="0.2">
      <c r="A130" s="90">
        <v>44439</v>
      </c>
      <c r="B130" s="210">
        <v>52448762.112808578</v>
      </c>
      <c r="C130" s="210">
        <f>'Weather Analysis '!AB15</f>
        <v>8.3000000000000007</v>
      </c>
      <c r="D130" s="210">
        <f>'Weather Analysis '!AB35</f>
        <v>68.599999999999994</v>
      </c>
      <c r="E130" s="91">
        <v>0</v>
      </c>
      <c r="F130" s="91">
        <v>31</v>
      </c>
      <c r="G130" s="108">
        <v>128</v>
      </c>
      <c r="H130" s="108">
        <f t="shared" si="31"/>
        <v>33905</v>
      </c>
      <c r="I130" s="91">
        <f>16*22</f>
        <v>352</v>
      </c>
      <c r="J130" s="122"/>
      <c r="K130" s="121"/>
      <c r="L130" s="120"/>
      <c r="M130" s="123"/>
      <c r="N130" s="125"/>
      <c r="O130" s="124"/>
      <c r="P130" s="126"/>
      <c r="Q130" s="108">
        <f t="shared" si="30"/>
        <v>40672088.877587065</v>
      </c>
      <c r="R130" s="36">
        <f t="shared" si="24"/>
        <v>-11776673.235221513</v>
      </c>
      <c r="S130" s="58">
        <f t="shared" si="25"/>
        <v>-0.22453672423939852</v>
      </c>
      <c r="T130" s="13">
        <f t="shared" si="26"/>
        <v>0.22453672423939852</v>
      </c>
      <c r="U130" s="114"/>
      <c r="W130"/>
      <c r="X130"/>
    </row>
    <row r="131" spans="1:24" x14ac:dyDescent="0.2">
      <c r="A131" s="90">
        <v>44469</v>
      </c>
      <c r="B131" s="210">
        <v>44433577.802808583</v>
      </c>
      <c r="C131" s="210">
        <f>'Weather Analysis '!AB16</f>
        <v>117.6</v>
      </c>
      <c r="D131" s="210">
        <f>'Weather Analysis '!AB36</f>
        <v>2.8</v>
      </c>
      <c r="E131" s="91">
        <v>1</v>
      </c>
      <c r="F131" s="91">
        <v>30</v>
      </c>
      <c r="G131" s="108">
        <v>129</v>
      </c>
      <c r="H131" s="108">
        <f t="shared" si="31"/>
        <v>33905</v>
      </c>
      <c r="I131" s="91">
        <f>16*20</f>
        <v>320</v>
      </c>
      <c r="J131" s="122"/>
      <c r="K131" s="121"/>
      <c r="L131" s="120"/>
      <c r="M131" s="123"/>
      <c r="N131" s="125"/>
      <c r="O131" s="124"/>
      <c r="P131" s="126"/>
      <c r="Q131" s="108">
        <f t="shared" si="30"/>
        <v>39906502.522004783</v>
      </c>
      <c r="R131" s="36">
        <f t="shared" si="24"/>
        <v>-4527075.2808037996</v>
      </c>
      <c r="S131" s="58">
        <f t="shared" si="25"/>
        <v>-0.10188410442423679</v>
      </c>
      <c r="T131" s="13">
        <f t="shared" si="26"/>
        <v>0.10188410442423679</v>
      </c>
      <c r="U131" s="114"/>
      <c r="W131"/>
      <c r="X131"/>
    </row>
    <row r="132" spans="1:24" x14ac:dyDescent="0.2">
      <c r="A132" s="90">
        <v>44500</v>
      </c>
      <c r="B132" s="210">
        <v>48204018.482808582</v>
      </c>
      <c r="C132" s="210">
        <f>'Weather Analysis '!AB17</f>
        <v>208.75</v>
      </c>
      <c r="D132" s="210">
        <f>'Weather Analysis '!AB37</f>
        <v>3.1</v>
      </c>
      <c r="E132" s="91">
        <v>1</v>
      </c>
      <c r="F132" s="91">
        <v>31</v>
      </c>
      <c r="G132" s="108">
        <v>130</v>
      </c>
      <c r="H132" s="108">
        <f t="shared" si="31"/>
        <v>33905</v>
      </c>
      <c r="I132" s="91">
        <f>16*20</f>
        <v>320</v>
      </c>
      <c r="J132" s="122"/>
      <c r="K132" s="121"/>
      <c r="L132" s="120"/>
      <c r="M132" s="123"/>
      <c r="N132" s="125"/>
      <c r="O132" s="124"/>
      <c r="P132" s="126"/>
      <c r="Q132" s="108">
        <f t="shared" si="30"/>
        <v>44754797.167044789</v>
      </c>
      <c r="R132" s="36">
        <f t="shared" si="24"/>
        <v>-3449221.3157637939</v>
      </c>
      <c r="S132" s="58">
        <f t="shared" si="25"/>
        <v>-7.1554642627853104E-2</v>
      </c>
      <c r="T132" s="13">
        <f t="shared" si="26"/>
        <v>7.1554642627853104E-2</v>
      </c>
      <c r="U132" s="114"/>
      <c r="W132"/>
      <c r="X132"/>
    </row>
    <row r="133" spans="1:24" x14ac:dyDescent="0.2">
      <c r="A133" s="90">
        <v>44530</v>
      </c>
      <c r="B133" s="210">
        <v>55185302.592808582</v>
      </c>
      <c r="C133" s="210">
        <f>'Weather Analysis '!AB18</f>
        <v>500.4</v>
      </c>
      <c r="D133" s="210">
        <f>'Weather Analysis '!AB38</f>
        <v>0</v>
      </c>
      <c r="E133" s="91">
        <v>1</v>
      </c>
      <c r="F133" s="91">
        <v>30</v>
      </c>
      <c r="G133" s="108">
        <v>131</v>
      </c>
      <c r="H133" s="108">
        <f t="shared" si="31"/>
        <v>33905</v>
      </c>
      <c r="I133" s="91">
        <f>16*21</f>
        <v>336</v>
      </c>
      <c r="J133" s="122"/>
      <c r="K133" s="121"/>
      <c r="L133" s="120"/>
      <c r="M133" s="123"/>
      <c r="N133" s="125"/>
      <c r="O133" s="124"/>
      <c r="P133" s="126"/>
      <c r="Q133" s="108">
        <f t="shared" si="30"/>
        <v>53210197.230459355</v>
      </c>
      <c r="R133" s="36">
        <f t="shared" si="24"/>
        <v>-1975105.3623492271</v>
      </c>
      <c r="S133" s="58">
        <f t="shared" si="25"/>
        <v>-3.5790423709783394E-2</v>
      </c>
      <c r="T133" s="13">
        <f t="shared" si="26"/>
        <v>3.5790423709783394E-2</v>
      </c>
      <c r="U133" s="114"/>
      <c r="W133"/>
      <c r="X133"/>
    </row>
    <row r="134" spans="1:24" x14ac:dyDescent="0.2">
      <c r="A134" s="90">
        <v>44561</v>
      </c>
      <c r="B134" s="210">
        <v>64586731.152808584</v>
      </c>
      <c r="C134" s="210">
        <f>'Weather Analysis '!AB19</f>
        <v>649.19999999999982</v>
      </c>
      <c r="D134" s="210">
        <f>'Weather Analysis '!AB39</f>
        <v>0</v>
      </c>
      <c r="E134" s="91">
        <v>0</v>
      </c>
      <c r="F134" s="91">
        <v>31</v>
      </c>
      <c r="G134" s="108">
        <v>132</v>
      </c>
      <c r="H134" s="108">
        <f t="shared" si="31"/>
        <v>33905</v>
      </c>
      <c r="I134" s="91">
        <f>16*21</f>
        <v>336</v>
      </c>
      <c r="J134" s="122"/>
      <c r="K134" s="121"/>
      <c r="L134" s="120"/>
      <c r="M134" s="123"/>
      <c r="N134" s="125"/>
      <c r="O134" s="124"/>
      <c r="P134" s="126"/>
      <c r="Q134" s="108">
        <f>$X$69+C134*$X$70+E134*$X$72+F134*$X$73+G134*$X$74+ H134*$X$75</f>
        <v>62902728.12285462</v>
      </c>
      <c r="R134" s="36">
        <f t="shared" si="24"/>
        <v>-1684003.0299539641</v>
      </c>
      <c r="S134" s="58">
        <f t="shared" si="25"/>
        <v>-2.6073513861070121E-2</v>
      </c>
      <c r="T134" s="13">
        <f t="shared" si="26"/>
        <v>2.6073513861070121E-2</v>
      </c>
      <c r="U134" s="114"/>
      <c r="W134"/>
      <c r="X134"/>
    </row>
    <row r="135" spans="1:24" x14ac:dyDescent="0.2">
      <c r="A135" s="90">
        <v>44592</v>
      </c>
      <c r="B135" s="92"/>
      <c r="C135" s="105">
        <f>(C123+C111+C99+C87+C75+C63+C51+C39+C27+C15+C3)/11</f>
        <v>836.67272727272723</v>
      </c>
      <c r="D135" s="105">
        <f>(D123+D111+D99+D87+D75+D63+D51+D39+D27+D15+D3)/11</f>
        <v>0</v>
      </c>
      <c r="E135" s="91">
        <v>0</v>
      </c>
      <c r="F135" s="91">
        <v>31</v>
      </c>
      <c r="G135" s="108">
        <v>133</v>
      </c>
      <c r="H135" s="108">
        <f>'Rate Class Customer Model'!B15+'Rate Class Customer Model'!C15+'Rate Class Customer Model'!D15+'Rate Class Customer Model'!G15</f>
        <v>34006.641468847003</v>
      </c>
      <c r="I135" s="91"/>
      <c r="J135" s="122"/>
      <c r="K135" s="121"/>
      <c r="L135" s="120"/>
      <c r="M135" s="123"/>
      <c r="N135" s="125"/>
      <c r="O135" s="124"/>
      <c r="P135" s="126"/>
      <c r="Q135" s="108">
        <f t="shared" ref="Q135:Q158" si="32">$X$69+C135*$X$70+D135*$X$71+E135*$X$72+F135*$X$73+G135*$X$74+ H135*$X$75</f>
        <v>69412365.2466802</v>
      </c>
      <c r="R135" s="36"/>
      <c r="S135" s="58"/>
      <c r="T135" s="13"/>
      <c r="U135" s="114"/>
      <c r="W135"/>
      <c r="X135"/>
    </row>
    <row r="136" spans="1:24" x14ac:dyDescent="0.2">
      <c r="A136" s="90">
        <v>44620</v>
      </c>
      <c r="B136" s="92"/>
      <c r="C136" s="105">
        <f t="shared" ref="C136:D136" si="33">(C124+C112+C100+C88+C76+C64+C52+C40+C28+C16+C4)/11</f>
        <v>778.59772727272718</v>
      </c>
      <c r="D136" s="105">
        <f t="shared" si="33"/>
        <v>0</v>
      </c>
      <c r="E136" s="91">
        <v>0</v>
      </c>
      <c r="F136" s="91">
        <v>28</v>
      </c>
      <c r="G136" s="108">
        <v>134</v>
      </c>
      <c r="H136" s="108">
        <f>$H$135</f>
        <v>34006.641468847003</v>
      </c>
      <c r="I136" s="91"/>
      <c r="J136" s="122"/>
      <c r="K136" s="121"/>
      <c r="L136" s="120"/>
      <c r="M136" s="123"/>
      <c r="N136" s="125"/>
      <c r="O136" s="124"/>
      <c r="P136" s="126"/>
      <c r="Q136" s="108">
        <f t="shared" si="32"/>
        <v>62162943.19686161</v>
      </c>
      <c r="R136" s="36"/>
      <c r="S136" s="58"/>
      <c r="T136" s="13"/>
      <c r="U136" s="114"/>
      <c r="W136"/>
      <c r="X136"/>
    </row>
    <row r="137" spans="1:24" x14ac:dyDescent="0.2">
      <c r="A137" s="90">
        <v>44651</v>
      </c>
      <c r="B137" s="92"/>
      <c r="C137" s="105">
        <f t="shared" ref="C137:D137" si="34">(C125+C113+C101+C89+C77+C65+C53+C41+C29+C17+C5)/11</f>
        <v>692.49545454545455</v>
      </c>
      <c r="D137" s="105">
        <f t="shared" si="34"/>
        <v>0</v>
      </c>
      <c r="E137" s="91">
        <v>1</v>
      </c>
      <c r="F137" s="91">
        <v>31</v>
      </c>
      <c r="G137" s="108">
        <v>135</v>
      </c>
      <c r="H137" s="108">
        <f t="shared" ref="H137:H146" si="35">$H$135</f>
        <v>34006.641468847003</v>
      </c>
      <c r="I137" s="91"/>
      <c r="J137" s="122"/>
      <c r="K137" s="121"/>
      <c r="L137" s="120"/>
      <c r="M137" s="123"/>
      <c r="N137" s="125"/>
      <c r="O137" s="124"/>
      <c r="P137" s="126"/>
      <c r="Q137" s="108">
        <f t="shared" si="32"/>
        <v>61399263.792260975</v>
      </c>
      <c r="R137" s="36"/>
      <c r="S137" s="58"/>
      <c r="T137" s="13"/>
      <c r="U137" s="114"/>
      <c r="W137"/>
      <c r="X137"/>
    </row>
    <row r="138" spans="1:24" x14ac:dyDescent="0.2">
      <c r="A138" s="90">
        <v>44681</v>
      </c>
      <c r="B138" s="92"/>
      <c r="C138" s="105">
        <f t="shared" ref="C138:D138" si="36">(C126+C114+C102+C90+C78+C66+C54+C42+C30+C18+C6)/11</f>
        <v>471.30397727272725</v>
      </c>
      <c r="D138" s="105">
        <f t="shared" si="36"/>
        <v>0</v>
      </c>
      <c r="E138" s="91">
        <v>1</v>
      </c>
      <c r="F138" s="91">
        <v>30</v>
      </c>
      <c r="G138" s="108">
        <v>136</v>
      </c>
      <c r="H138" s="108">
        <f t="shared" si="35"/>
        <v>34006.641468847003</v>
      </c>
      <c r="I138" s="91"/>
      <c r="J138" s="122"/>
      <c r="K138" s="121"/>
      <c r="L138" s="120"/>
      <c r="M138" s="123"/>
      <c r="N138" s="125"/>
      <c r="O138" s="124"/>
      <c r="P138" s="126"/>
      <c r="Q138" s="108">
        <f t="shared" si="32"/>
        <v>51854832.069963232</v>
      </c>
      <c r="R138" s="36"/>
      <c r="S138" s="58"/>
      <c r="T138" s="13"/>
      <c r="U138" s="114"/>
      <c r="W138"/>
      <c r="X138"/>
    </row>
    <row r="139" spans="1:24" x14ac:dyDescent="0.2">
      <c r="A139" s="90">
        <v>44712</v>
      </c>
      <c r="B139" s="92"/>
      <c r="C139" s="105">
        <f t="shared" ref="C139:D139" si="37">(C127+C115+C103+C91+C79+C67+C55+C43+C31+C19+C7)/11</f>
        <v>253.06818181818181</v>
      </c>
      <c r="D139" s="105">
        <f t="shared" si="37"/>
        <v>4.3590909090909093</v>
      </c>
      <c r="E139" s="91">
        <v>1</v>
      </c>
      <c r="F139" s="91">
        <v>31</v>
      </c>
      <c r="G139" s="108">
        <v>137</v>
      </c>
      <c r="H139" s="108">
        <f t="shared" si="35"/>
        <v>34006.641468847003</v>
      </c>
      <c r="I139" s="91"/>
      <c r="J139" s="122"/>
      <c r="K139" s="121"/>
      <c r="L139" s="120"/>
      <c r="M139" s="123"/>
      <c r="N139" s="125"/>
      <c r="O139" s="124"/>
      <c r="P139" s="126"/>
      <c r="Q139" s="108">
        <f t="shared" si="32"/>
        <v>46380354.372462004</v>
      </c>
      <c r="R139" s="36"/>
      <c r="S139" s="58"/>
      <c r="T139" s="13"/>
      <c r="U139" s="114"/>
      <c r="W139"/>
      <c r="X139"/>
    </row>
    <row r="140" spans="1:24" x14ac:dyDescent="0.2">
      <c r="A140" s="90">
        <v>44742</v>
      </c>
      <c r="B140" s="92"/>
      <c r="C140" s="105">
        <f t="shared" ref="C140:D140" si="38">(C128+C116+C104+C92+C80+C68+C56+C44+C32+C20+C8)/11</f>
        <v>102.49659090909091</v>
      </c>
      <c r="D140" s="105">
        <f t="shared" si="38"/>
        <v>12.678409090909092</v>
      </c>
      <c r="E140" s="91">
        <v>0</v>
      </c>
      <c r="F140" s="91">
        <v>30</v>
      </c>
      <c r="G140" s="108">
        <v>138</v>
      </c>
      <c r="H140" s="108">
        <f t="shared" si="35"/>
        <v>34006.641468847003</v>
      </c>
      <c r="I140" s="91"/>
      <c r="J140" s="122"/>
      <c r="K140" s="121"/>
      <c r="L140" s="120"/>
      <c r="M140" s="123"/>
      <c r="N140" s="125"/>
      <c r="O140" s="124"/>
      <c r="P140" s="126"/>
      <c r="Q140" s="108">
        <f t="shared" si="32"/>
        <v>43158570.239557199</v>
      </c>
      <c r="R140" s="36"/>
      <c r="S140" s="58"/>
      <c r="T140" s="13"/>
      <c r="U140" s="114"/>
      <c r="W140"/>
      <c r="X140"/>
    </row>
    <row r="141" spans="1:24" x14ac:dyDescent="0.2">
      <c r="A141" s="90">
        <v>44773</v>
      </c>
      <c r="B141" s="128"/>
      <c r="C141" s="105">
        <f t="shared" ref="C141:D141" si="39">(C129+C117+C105+C93+C81+C69+C57+C45+C33+C21+C9)/11</f>
        <v>33.977272727272727</v>
      </c>
      <c r="D141" s="105">
        <f t="shared" si="39"/>
        <v>43.406818181818181</v>
      </c>
      <c r="E141" s="91">
        <v>0</v>
      </c>
      <c r="F141" s="91">
        <v>31</v>
      </c>
      <c r="G141" s="108">
        <v>139</v>
      </c>
      <c r="H141" s="108">
        <f t="shared" si="35"/>
        <v>34006.641468847003</v>
      </c>
      <c r="I141" s="91"/>
      <c r="J141" s="6"/>
      <c r="K141" s="6"/>
      <c r="L141" s="6"/>
      <c r="M141" s="6"/>
      <c r="N141" s="99"/>
      <c r="O141" s="99"/>
      <c r="P141" s="100"/>
      <c r="Q141" s="108">
        <f t="shared" si="32"/>
        <v>46182033.866710067</v>
      </c>
      <c r="R141" s="36"/>
      <c r="S141" s="58"/>
      <c r="T141" s="13"/>
      <c r="U141" s="114"/>
      <c r="W141"/>
      <c r="X141"/>
    </row>
    <row r="142" spans="1:24" x14ac:dyDescent="0.2">
      <c r="A142" s="90">
        <v>44804</v>
      </c>
      <c r="B142" s="128"/>
      <c r="C142" s="105">
        <f t="shared" ref="C142:D142" si="40">(C130+C118+C106+C94+C82+C70+C58+C46+C34+C22+C10)/11</f>
        <v>37.840909090909086</v>
      </c>
      <c r="D142" s="105">
        <f t="shared" si="40"/>
        <v>33.336363636363629</v>
      </c>
      <c r="E142" s="91">
        <v>0</v>
      </c>
      <c r="F142" s="91">
        <v>31</v>
      </c>
      <c r="G142" s="108">
        <v>140</v>
      </c>
      <c r="H142" s="108">
        <f t="shared" si="35"/>
        <v>34006.641468847003</v>
      </c>
      <c r="I142" s="91"/>
      <c r="J142" s="6"/>
      <c r="K142" s="6"/>
      <c r="L142" s="6"/>
      <c r="M142" s="6"/>
      <c r="N142" s="99"/>
      <c r="O142" s="99"/>
      <c r="P142" s="100"/>
      <c r="Q142" s="108">
        <f t="shared" si="32"/>
        <v>45013122.369156964</v>
      </c>
      <c r="R142" s="36"/>
      <c r="S142" s="58"/>
      <c r="T142" s="13"/>
      <c r="U142" s="114"/>
      <c r="W142"/>
      <c r="X142"/>
    </row>
    <row r="143" spans="1:24" x14ac:dyDescent="0.2">
      <c r="A143" s="90">
        <v>44834</v>
      </c>
      <c r="B143" s="128"/>
      <c r="C143" s="105">
        <f t="shared" ref="C143:D143" si="41">(C131+C119+C107+C95+C83+C71+C59+C47+C35+C23+C11)/11</f>
        <v>131.90909090909091</v>
      </c>
      <c r="D143" s="105">
        <f t="shared" si="41"/>
        <v>12.159090909090908</v>
      </c>
      <c r="E143" s="91">
        <v>1</v>
      </c>
      <c r="F143" s="91">
        <v>30</v>
      </c>
      <c r="G143" s="108">
        <v>141</v>
      </c>
      <c r="H143" s="108">
        <f t="shared" si="35"/>
        <v>34006.641468847003</v>
      </c>
      <c r="I143" s="91"/>
      <c r="J143" s="6"/>
      <c r="K143" s="6"/>
      <c r="L143" s="6"/>
      <c r="M143" s="6"/>
      <c r="N143" s="99"/>
      <c r="O143" s="99"/>
      <c r="P143" s="100"/>
      <c r="Q143" s="108">
        <f t="shared" si="32"/>
        <v>41108337.724950843</v>
      </c>
      <c r="R143" s="36"/>
      <c r="S143" s="58"/>
      <c r="T143" s="13"/>
      <c r="U143" s="114"/>
      <c r="W143"/>
      <c r="X143"/>
    </row>
    <row r="144" spans="1:24" x14ac:dyDescent="0.2">
      <c r="A144" s="90">
        <v>44865</v>
      </c>
      <c r="B144" s="128"/>
      <c r="C144" s="105">
        <f t="shared" ref="C144:D144" si="42">(C132+C120+C108+C96+C84+C72+C60+C48+C36+C24+C12)/11</f>
        <v>319.66931818181814</v>
      </c>
      <c r="D144" s="105">
        <f t="shared" si="42"/>
        <v>0.59090909090909094</v>
      </c>
      <c r="E144" s="91">
        <v>1</v>
      </c>
      <c r="F144" s="91">
        <v>31</v>
      </c>
      <c r="G144" s="108">
        <v>142</v>
      </c>
      <c r="H144" s="108">
        <f t="shared" si="35"/>
        <v>34006.641468847003</v>
      </c>
      <c r="I144" s="91"/>
      <c r="J144" s="6"/>
      <c r="K144" s="6"/>
      <c r="L144" s="6"/>
      <c r="M144" s="6"/>
      <c r="N144" s="99"/>
      <c r="O144" s="99"/>
      <c r="P144" s="100"/>
      <c r="Q144" s="108">
        <f t="shared" si="32"/>
        <v>47924712.786606073</v>
      </c>
      <c r="R144" s="36"/>
      <c r="S144" s="58"/>
      <c r="T144" s="13"/>
      <c r="U144" s="114"/>
      <c r="W144"/>
      <c r="X144"/>
    </row>
    <row r="145" spans="1:24" x14ac:dyDescent="0.2">
      <c r="A145" s="90">
        <v>44895</v>
      </c>
      <c r="B145" s="128"/>
      <c r="C145" s="105">
        <f t="shared" ref="C145:D145" si="43">(C133+C121+C109+C97+C85+C73+C61+C49+C37+C25+C13)/11</f>
        <v>515.19272727272721</v>
      </c>
      <c r="D145" s="105">
        <f t="shared" si="43"/>
        <v>0</v>
      </c>
      <c r="E145" s="91">
        <v>1</v>
      </c>
      <c r="F145" s="91">
        <v>30</v>
      </c>
      <c r="G145" s="108">
        <v>143</v>
      </c>
      <c r="H145" s="108">
        <f>$H$135</f>
        <v>34006.641468847003</v>
      </c>
      <c r="I145" s="91"/>
      <c r="J145" s="6"/>
      <c r="K145" s="6"/>
      <c r="L145" s="6"/>
      <c r="M145" s="6"/>
      <c r="N145" s="99"/>
      <c r="O145" s="99"/>
      <c r="P145" s="100"/>
      <c r="Q145" s="108">
        <f t="shared" si="32"/>
        <v>52933563.181713477</v>
      </c>
      <c r="R145" s="36"/>
      <c r="S145" s="58"/>
      <c r="T145" s="13"/>
      <c r="U145" s="114"/>
      <c r="W145"/>
      <c r="X145"/>
    </row>
    <row r="146" spans="1:24" x14ac:dyDescent="0.2">
      <c r="A146" s="90">
        <v>44926</v>
      </c>
      <c r="B146" s="128"/>
      <c r="C146" s="105">
        <f t="shared" ref="C146:D146" si="44">(C134+C122+C110+C98+C86+C74+C62+C50+C38+C26+C14)/11</f>
        <v>673.75272727272716</v>
      </c>
      <c r="D146" s="105">
        <f t="shared" si="44"/>
        <v>0</v>
      </c>
      <c r="E146" s="91">
        <v>0</v>
      </c>
      <c r="F146" s="91">
        <v>31</v>
      </c>
      <c r="G146" s="108">
        <v>144</v>
      </c>
      <c r="H146" s="108">
        <f t="shared" si="35"/>
        <v>34006.641468847003</v>
      </c>
      <c r="I146" s="91"/>
      <c r="J146" s="6"/>
      <c r="K146" s="6"/>
      <c r="L146" s="6"/>
      <c r="M146" s="6"/>
      <c r="N146" s="99"/>
      <c r="O146" s="99"/>
      <c r="P146" s="100"/>
      <c r="Q146" s="108">
        <f t="shared" si="32"/>
        <v>62968652.868617341</v>
      </c>
      <c r="R146" s="36"/>
      <c r="S146" s="58"/>
      <c r="T146" s="13"/>
      <c r="U146" s="114"/>
      <c r="W146"/>
      <c r="X146"/>
    </row>
    <row r="147" spans="1:24" x14ac:dyDescent="0.2">
      <c r="A147" s="90">
        <v>44957</v>
      </c>
      <c r="B147" s="128"/>
      <c r="C147" s="91">
        <f>C135</f>
        <v>836.67272727272723</v>
      </c>
      <c r="D147" s="91">
        <f>D135</f>
        <v>0</v>
      </c>
      <c r="E147" s="91">
        <v>0</v>
      </c>
      <c r="F147" s="91">
        <v>31</v>
      </c>
      <c r="G147" s="108">
        <v>145</v>
      </c>
      <c r="H147" s="108">
        <f>'Rate Class Customer Model'!B16+'Rate Class Customer Model'!C16+'Rate Class Customer Model'!D16+'Rate Class Customer Model'!G16</f>
        <v>34108.711230438079</v>
      </c>
      <c r="I147" s="91"/>
      <c r="J147" s="6"/>
      <c r="K147" s="6"/>
      <c r="L147" s="6"/>
      <c r="M147" s="6"/>
      <c r="N147" s="99"/>
      <c r="O147" s="99"/>
      <c r="P147" s="100"/>
      <c r="Q147" s="108">
        <f t="shared" si="32"/>
        <v>68616514.13450633</v>
      </c>
      <c r="R147" s="36"/>
      <c r="S147" s="58"/>
      <c r="T147" s="13"/>
      <c r="U147" s="114"/>
      <c r="W147"/>
      <c r="X147"/>
    </row>
    <row r="148" spans="1:24" x14ac:dyDescent="0.2">
      <c r="A148" s="90">
        <v>44985</v>
      </c>
      <c r="B148" s="128"/>
      <c r="C148" s="91">
        <f t="shared" ref="C148:D148" si="45">C136</f>
        <v>778.59772727272718</v>
      </c>
      <c r="D148" s="91">
        <f t="shared" si="45"/>
        <v>0</v>
      </c>
      <c r="E148" s="91">
        <v>0</v>
      </c>
      <c r="F148" s="91">
        <v>28</v>
      </c>
      <c r="G148" s="108">
        <v>146</v>
      </c>
      <c r="H148" s="108">
        <f>$H$147</f>
        <v>34108.711230438079</v>
      </c>
      <c r="I148" s="91"/>
      <c r="J148" s="6"/>
      <c r="K148" s="6"/>
      <c r="L148" s="6"/>
      <c r="M148" s="6"/>
      <c r="N148" s="99"/>
      <c r="O148" s="99"/>
      <c r="P148" s="100"/>
      <c r="Q148" s="108">
        <f t="shared" si="32"/>
        <v>61367092.084687747</v>
      </c>
      <c r="R148" s="36"/>
      <c r="S148" s="58"/>
      <c r="T148" s="13"/>
      <c r="U148" s="114"/>
      <c r="W148"/>
      <c r="X148"/>
    </row>
    <row r="149" spans="1:24" x14ac:dyDescent="0.2">
      <c r="A149" s="90">
        <v>45016</v>
      </c>
      <c r="B149" s="128"/>
      <c r="C149" s="91">
        <f t="shared" ref="C149:D149" si="46">C137</f>
        <v>692.49545454545455</v>
      </c>
      <c r="D149" s="91">
        <f t="shared" si="46"/>
        <v>0</v>
      </c>
      <c r="E149" s="91">
        <v>1</v>
      </c>
      <c r="F149" s="91">
        <v>31</v>
      </c>
      <c r="G149" s="108">
        <v>147</v>
      </c>
      <c r="H149" s="108">
        <f t="shared" ref="H149:H158" si="47">$H$147</f>
        <v>34108.711230438079</v>
      </c>
      <c r="I149" s="91"/>
      <c r="J149" s="6"/>
      <c r="K149" s="6"/>
      <c r="L149" s="6"/>
      <c r="M149" s="6"/>
      <c r="N149" s="99"/>
      <c r="O149" s="99"/>
      <c r="P149" s="100"/>
      <c r="Q149" s="108">
        <f t="shared" si="32"/>
        <v>60603412.680087112</v>
      </c>
      <c r="R149" s="36"/>
      <c r="S149" s="58"/>
      <c r="T149" s="13"/>
      <c r="U149" s="114"/>
      <c r="W149"/>
      <c r="X149"/>
    </row>
    <row r="150" spans="1:24" x14ac:dyDescent="0.2">
      <c r="A150" s="90">
        <v>45046</v>
      </c>
      <c r="B150" s="128"/>
      <c r="C150" s="91">
        <f t="shared" ref="C150:D150" si="48">C138</f>
        <v>471.30397727272725</v>
      </c>
      <c r="D150" s="91">
        <f t="shared" si="48"/>
        <v>0</v>
      </c>
      <c r="E150" s="91">
        <v>1</v>
      </c>
      <c r="F150" s="91">
        <v>30</v>
      </c>
      <c r="G150" s="108">
        <v>148</v>
      </c>
      <c r="H150" s="108">
        <f t="shared" si="47"/>
        <v>34108.711230438079</v>
      </c>
      <c r="I150" s="91"/>
      <c r="J150" s="6"/>
      <c r="K150" s="6"/>
      <c r="L150" s="6"/>
      <c r="M150" s="6"/>
      <c r="N150" s="99"/>
      <c r="O150" s="99"/>
      <c r="P150" s="100"/>
      <c r="Q150" s="108">
        <f t="shared" si="32"/>
        <v>51058980.957789369</v>
      </c>
      <c r="R150" s="36"/>
      <c r="S150" s="58"/>
      <c r="T150" s="13"/>
      <c r="U150" s="114"/>
      <c r="W150"/>
      <c r="X150"/>
    </row>
    <row r="151" spans="1:24" x14ac:dyDescent="0.2">
      <c r="A151" s="90">
        <v>45077</v>
      </c>
      <c r="B151" s="128"/>
      <c r="C151" s="91">
        <f t="shared" ref="C151:D151" si="49">C139</f>
        <v>253.06818181818181</v>
      </c>
      <c r="D151" s="91">
        <f t="shared" si="49"/>
        <v>4.3590909090909093</v>
      </c>
      <c r="E151" s="91">
        <v>1</v>
      </c>
      <c r="F151" s="91">
        <v>31</v>
      </c>
      <c r="G151" s="108">
        <v>149</v>
      </c>
      <c r="H151" s="108">
        <f t="shared" si="47"/>
        <v>34108.711230438079</v>
      </c>
      <c r="I151" s="91"/>
      <c r="J151" s="6"/>
      <c r="K151" s="6"/>
      <c r="L151" s="6"/>
      <c r="M151" s="6"/>
      <c r="N151" s="99"/>
      <c r="O151" s="99"/>
      <c r="P151" s="100"/>
      <c r="Q151" s="108">
        <f t="shared" si="32"/>
        <v>45584503.260288142</v>
      </c>
      <c r="R151" s="36"/>
      <c r="S151" s="58"/>
      <c r="T151" s="13"/>
      <c r="U151" s="114"/>
      <c r="W151"/>
      <c r="X151"/>
    </row>
    <row r="152" spans="1:24" x14ac:dyDescent="0.2">
      <c r="A152" s="90">
        <v>45107</v>
      </c>
      <c r="B152" s="128"/>
      <c r="C152" s="91">
        <f t="shared" ref="C152:D152" si="50">C140</f>
        <v>102.49659090909091</v>
      </c>
      <c r="D152" s="91">
        <f t="shared" si="50"/>
        <v>12.678409090909092</v>
      </c>
      <c r="E152" s="91">
        <v>0</v>
      </c>
      <c r="F152" s="91">
        <v>30</v>
      </c>
      <c r="G152" s="108">
        <v>150</v>
      </c>
      <c r="H152" s="108">
        <f t="shared" si="47"/>
        <v>34108.711230438079</v>
      </c>
      <c r="I152" s="91"/>
      <c r="J152" s="6"/>
      <c r="K152" s="6"/>
      <c r="L152" s="6"/>
      <c r="M152" s="6"/>
      <c r="N152" s="99"/>
      <c r="O152" s="99"/>
      <c r="P152" s="100"/>
      <c r="Q152" s="108">
        <f t="shared" si="32"/>
        <v>42362719.127383344</v>
      </c>
      <c r="R152" s="36"/>
      <c r="S152" s="58"/>
      <c r="T152" s="13"/>
      <c r="U152" s="114"/>
      <c r="W152"/>
      <c r="X152"/>
    </row>
    <row r="153" spans="1:24" x14ac:dyDescent="0.2">
      <c r="A153" s="90">
        <v>45138</v>
      </c>
      <c r="B153" s="128"/>
      <c r="C153" s="91">
        <f t="shared" ref="C153:D153" si="51">C141</f>
        <v>33.977272727272727</v>
      </c>
      <c r="D153" s="91">
        <f t="shared" si="51"/>
        <v>43.406818181818181</v>
      </c>
      <c r="E153" s="91">
        <v>0</v>
      </c>
      <c r="F153" s="91">
        <v>31</v>
      </c>
      <c r="G153" s="108">
        <v>151</v>
      </c>
      <c r="H153" s="108">
        <f t="shared" si="47"/>
        <v>34108.711230438079</v>
      </c>
      <c r="I153" s="91"/>
      <c r="J153" s="6"/>
      <c r="K153" s="6"/>
      <c r="L153" s="6"/>
      <c r="M153" s="6"/>
      <c r="N153" s="99"/>
      <c r="O153" s="99"/>
      <c r="P153" s="100"/>
      <c r="Q153" s="108">
        <f t="shared" si="32"/>
        <v>45386182.754536204</v>
      </c>
      <c r="R153" s="36"/>
      <c r="S153" s="58"/>
      <c r="T153" s="13"/>
      <c r="U153" s="114"/>
      <c r="W153"/>
      <c r="X153"/>
    </row>
    <row r="154" spans="1:24" x14ac:dyDescent="0.2">
      <c r="A154" s="90">
        <v>45169</v>
      </c>
      <c r="B154" s="128"/>
      <c r="C154" s="91">
        <f t="shared" ref="C154:D154" si="52">C142</f>
        <v>37.840909090909086</v>
      </c>
      <c r="D154" s="91">
        <f t="shared" si="52"/>
        <v>33.336363636363629</v>
      </c>
      <c r="E154" s="91">
        <v>0</v>
      </c>
      <c r="F154" s="91">
        <v>31</v>
      </c>
      <c r="G154" s="108">
        <v>152</v>
      </c>
      <c r="H154" s="108">
        <f t="shared" si="47"/>
        <v>34108.711230438079</v>
      </c>
      <c r="I154" s="91"/>
      <c r="J154" s="6"/>
      <c r="K154" s="6"/>
      <c r="L154" s="6"/>
      <c r="M154" s="6"/>
      <c r="N154" s="99"/>
      <c r="O154" s="99"/>
      <c r="P154" s="100"/>
      <c r="Q154" s="108">
        <f t="shared" si="32"/>
        <v>44217271.256983101</v>
      </c>
      <c r="R154" s="36"/>
      <c r="S154" s="58"/>
      <c r="T154" s="13"/>
      <c r="U154" s="114"/>
      <c r="W154"/>
      <c r="X154"/>
    </row>
    <row r="155" spans="1:24" x14ac:dyDescent="0.2">
      <c r="A155" s="90">
        <v>45199</v>
      </c>
      <c r="B155" s="128"/>
      <c r="C155" s="91">
        <f t="shared" ref="C155:D155" si="53">C143</f>
        <v>131.90909090909091</v>
      </c>
      <c r="D155" s="91">
        <f t="shared" si="53"/>
        <v>12.159090909090908</v>
      </c>
      <c r="E155" s="91">
        <v>1</v>
      </c>
      <c r="F155" s="91">
        <v>30</v>
      </c>
      <c r="G155" s="108">
        <v>153</v>
      </c>
      <c r="H155" s="108">
        <f t="shared" si="47"/>
        <v>34108.711230438079</v>
      </c>
      <c r="I155" s="91"/>
      <c r="J155" s="6"/>
      <c r="K155" s="6"/>
      <c r="L155" s="6"/>
      <c r="M155" s="6"/>
      <c r="N155" s="99"/>
      <c r="O155" s="99"/>
      <c r="P155" s="100"/>
      <c r="Q155" s="108">
        <f t="shared" si="32"/>
        <v>40312486.61277698</v>
      </c>
      <c r="R155" s="36"/>
      <c r="S155" s="58"/>
      <c r="T155" s="13"/>
      <c r="U155" s="114"/>
      <c r="W155"/>
      <c r="X155"/>
    </row>
    <row r="156" spans="1:24" x14ac:dyDescent="0.2">
      <c r="A156" s="90">
        <v>45230</v>
      </c>
      <c r="B156" s="128"/>
      <c r="C156" s="91">
        <f t="shared" ref="C156:D156" si="54">C144</f>
        <v>319.66931818181814</v>
      </c>
      <c r="D156" s="91">
        <f t="shared" si="54"/>
        <v>0.59090909090909094</v>
      </c>
      <c r="E156" s="91">
        <v>1</v>
      </c>
      <c r="F156" s="91">
        <v>31</v>
      </c>
      <c r="G156" s="108">
        <v>154</v>
      </c>
      <c r="H156" s="108">
        <f t="shared" si="47"/>
        <v>34108.711230438079</v>
      </c>
      <c r="I156" s="91"/>
      <c r="J156" s="6"/>
      <c r="K156" s="6"/>
      <c r="L156" s="6"/>
      <c r="M156" s="6"/>
      <c r="N156" s="99"/>
      <c r="O156" s="99"/>
      <c r="P156" s="100"/>
      <c r="Q156" s="108">
        <f t="shared" si="32"/>
        <v>47128861.674432211</v>
      </c>
      <c r="R156" s="36"/>
      <c r="S156" s="58"/>
      <c r="T156" s="13"/>
      <c r="U156" s="114"/>
      <c r="W156"/>
      <c r="X156"/>
    </row>
    <row r="157" spans="1:24" x14ac:dyDescent="0.2">
      <c r="A157" s="90">
        <v>45260</v>
      </c>
      <c r="B157" s="128"/>
      <c r="C157" s="91">
        <f t="shared" ref="C157:D157" si="55">C145</f>
        <v>515.19272727272721</v>
      </c>
      <c r="D157" s="91">
        <f t="shared" si="55"/>
        <v>0</v>
      </c>
      <c r="E157" s="91">
        <v>1</v>
      </c>
      <c r="F157" s="91">
        <v>30</v>
      </c>
      <c r="G157" s="108">
        <v>155</v>
      </c>
      <c r="H157" s="108">
        <f t="shared" si="47"/>
        <v>34108.711230438079</v>
      </c>
      <c r="I157" s="91"/>
      <c r="J157" s="6"/>
      <c r="K157" s="6"/>
      <c r="L157" s="6"/>
      <c r="M157" s="6"/>
      <c r="N157" s="99"/>
      <c r="O157" s="99"/>
      <c r="P157" s="100"/>
      <c r="Q157" s="108">
        <f t="shared" si="32"/>
        <v>52137712.069539621</v>
      </c>
      <c r="R157" s="36"/>
      <c r="S157" s="58"/>
      <c r="T157" s="13"/>
      <c r="U157" s="114"/>
      <c r="W157"/>
      <c r="X157"/>
    </row>
    <row r="158" spans="1:24" x14ac:dyDescent="0.2">
      <c r="A158" s="90">
        <v>45291</v>
      </c>
      <c r="B158" s="128"/>
      <c r="C158" s="91">
        <f t="shared" ref="C158:D158" si="56">C146</f>
        <v>673.75272727272716</v>
      </c>
      <c r="D158" s="91">
        <f t="shared" si="56"/>
        <v>0</v>
      </c>
      <c r="E158" s="91">
        <v>0</v>
      </c>
      <c r="F158" s="91">
        <v>31</v>
      </c>
      <c r="G158" s="108">
        <v>156</v>
      </c>
      <c r="H158" s="108">
        <f t="shared" si="47"/>
        <v>34108.711230438079</v>
      </c>
      <c r="I158" s="91"/>
      <c r="J158" s="6"/>
      <c r="K158" s="6"/>
      <c r="L158" s="6"/>
      <c r="M158" s="6"/>
      <c r="N158" s="99"/>
      <c r="O158" s="99"/>
      <c r="P158" s="100"/>
      <c r="Q158" s="108">
        <f t="shared" si="32"/>
        <v>62172801.756443478</v>
      </c>
      <c r="R158" s="36"/>
      <c r="S158" s="58"/>
      <c r="T158" s="13"/>
      <c r="U158" s="114"/>
      <c r="W158"/>
      <c r="X158"/>
    </row>
    <row r="159" spans="1:24" x14ac:dyDescent="0.2">
      <c r="A159" s="90"/>
      <c r="B159" s="128"/>
      <c r="C159" s="128"/>
      <c r="D159" s="91"/>
      <c r="E159" s="128"/>
      <c r="F159" s="128"/>
      <c r="G159" s="108"/>
      <c r="H159" s="128"/>
      <c r="I159" s="91"/>
      <c r="J159" s="99"/>
      <c r="K159" s="99"/>
      <c r="L159" s="98"/>
      <c r="M159"/>
      <c r="N159" s="99"/>
      <c r="O159" s="99"/>
      <c r="P159" s="100"/>
      <c r="Q159" s="108"/>
      <c r="R159" s="36"/>
      <c r="S159" s="58"/>
      <c r="T159" s="13"/>
      <c r="U159" s="58"/>
      <c r="W159" s="114"/>
    </row>
    <row r="160" spans="1:24" x14ac:dyDescent="0.2">
      <c r="A160" s="37"/>
      <c r="G160" s="99"/>
      <c r="H160" s="99"/>
      <c r="I160" s="99"/>
      <c r="J160" s="117"/>
      <c r="K160" s="10"/>
      <c r="L160"/>
      <c r="M160" s="99"/>
      <c r="N160" s="99"/>
      <c r="O160" s="99"/>
      <c r="P160" s="100"/>
      <c r="Q160" s="10"/>
      <c r="R160" s="100"/>
      <c r="S160" s="10"/>
    </row>
    <row r="161" spans="1:24" x14ac:dyDescent="0.2">
      <c r="A161" s="37"/>
      <c r="I161" s="10"/>
      <c r="N161" s="10"/>
      <c r="V161" s="107"/>
    </row>
    <row r="162" spans="1:24" x14ac:dyDescent="0.2">
      <c r="A162" s="37"/>
      <c r="G162" s="15"/>
      <c r="H162" s="42" t="s">
        <v>62</v>
      </c>
      <c r="I162" s="10"/>
      <c r="K162" s="36">
        <f>SUM(K159:K161)</f>
        <v>0</v>
      </c>
      <c r="N162" s="10"/>
      <c r="Q162" s="36">
        <f>SUM(Q3:Q158)</f>
        <v>8803610421.7252197</v>
      </c>
      <c r="R162" s="36"/>
      <c r="S162" s="36"/>
      <c r="T162" s="36"/>
    </row>
    <row r="163" spans="1:24" ht="51" x14ac:dyDescent="0.2">
      <c r="A163" s="37"/>
      <c r="B163" s="133" t="s">
        <v>218</v>
      </c>
      <c r="I163" s="10"/>
      <c r="N163" s="10"/>
      <c r="Q163" s="34" t="s">
        <v>219</v>
      </c>
      <c r="R163" s="47" t="s">
        <v>14</v>
      </c>
      <c r="S163" s="47" t="s">
        <v>15</v>
      </c>
      <c r="T163" s="47" t="s">
        <v>82</v>
      </c>
      <c r="U163" s="34" t="s">
        <v>62</v>
      </c>
      <c r="V163" s="34" t="s">
        <v>221</v>
      </c>
      <c r="W163" s="34" t="s">
        <v>322</v>
      </c>
    </row>
    <row r="164" spans="1:24" x14ac:dyDescent="0.2">
      <c r="A164" s="38">
        <v>2011</v>
      </c>
      <c r="B164" s="6">
        <f>SUM(B3:B14)</f>
        <v>745049194</v>
      </c>
      <c r="Q164" s="6">
        <f>SUM(Q3:Q14)</f>
        <v>731059136.97020352</v>
      </c>
      <c r="R164" s="6">
        <f>Q164-B164</f>
        <v>-13990057.029796481</v>
      </c>
      <c r="S164" s="44">
        <f>R164/B164</f>
        <v>-1.8777360129318497E-2</v>
      </c>
      <c r="T164" s="44">
        <f t="shared" ref="T164:T174" si="57">ABS(S164)</f>
        <v>1.8777360129318497E-2</v>
      </c>
      <c r="U164" s="6">
        <f>'Purchased Power Model WN tk'!Q164</f>
        <v>734179598.2981472</v>
      </c>
      <c r="V164" s="18">
        <f>U164/Q164</f>
        <v>1.0042684116374991</v>
      </c>
      <c r="W164" s="39">
        <f>V164*B164</f>
        <v>748229370.65017891</v>
      </c>
      <c r="X164" s="5"/>
    </row>
    <row r="165" spans="1:24" x14ac:dyDescent="0.2">
      <c r="A165" s="30">
        <v>2012</v>
      </c>
      <c r="B165" s="6">
        <f>SUM(B15:B26)</f>
        <v>706953513</v>
      </c>
      <c r="Q165" s="6">
        <f>SUM(Q15:Q26)</f>
        <v>705463160.33182871</v>
      </c>
      <c r="R165" s="6">
        <f t="shared" ref="R165:R174" si="58">Q165-B165</f>
        <v>-1490352.6681712866</v>
      </c>
      <c r="S165" s="44">
        <f t="shared" ref="S165:S174" si="59">R165/B165</f>
        <v>-2.1081339023932208E-3</v>
      </c>
      <c r="T165" s="44">
        <f t="shared" si="57"/>
        <v>2.1081339023932208E-3</v>
      </c>
      <c r="U165" s="6">
        <f>'Purchased Power Model WN tk'!Q165</f>
        <v>726359514.08935785</v>
      </c>
      <c r="V165" s="18">
        <f t="shared" ref="V165:V170" si="60">U165/Q165</f>
        <v>1.0296207582940264</v>
      </c>
      <c r="W165" s="39">
        <f t="shared" ref="W165:W176" si="61">V165*B165</f>
        <v>727894012.13368583</v>
      </c>
      <c r="X165" s="5"/>
    </row>
    <row r="166" spans="1:24" x14ac:dyDescent="0.2">
      <c r="A166" s="38">
        <v>2013</v>
      </c>
      <c r="B166" s="6">
        <f>SUM(B27:B38)</f>
        <v>730568311</v>
      </c>
      <c r="Q166" s="6">
        <f>SUM(Q27:Q38)</f>
        <v>727273535.55742931</v>
      </c>
      <c r="R166" s="6">
        <f t="shared" si="58"/>
        <v>-3294775.4425706863</v>
      </c>
      <c r="S166" s="44">
        <f t="shared" si="59"/>
        <v>-4.5098800385426057E-3</v>
      </c>
      <c r="T166" s="44">
        <f t="shared" si="57"/>
        <v>4.5098800385426057E-3</v>
      </c>
      <c r="U166" s="6">
        <f>'Purchased Power Model WN tk'!Q166</f>
        <v>715040119.87575555</v>
      </c>
      <c r="V166" s="18">
        <f t="shared" si="60"/>
        <v>0.98317907213233424</v>
      </c>
      <c r="W166" s="39">
        <f t="shared" si="61"/>
        <v>718279474.13826656</v>
      </c>
      <c r="X166" s="5"/>
    </row>
    <row r="167" spans="1:24" x14ac:dyDescent="0.2">
      <c r="A167" s="30">
        <v>2014</v>
      </c>
      <c r="B167" s="6">
        <f>SUM(B39:B50)</f>
        <v>730490284.99000001</v>
      </c>
      <c r="Q167" s="6">
        <f>SUM(Q39:Q50)</f>
        <v>725078488.85155165</v>
      </c>
      <c r="R167" s="6">
        <f t="shared" si="58"/>
        <v>-5411796.1384483576</v>
      </c>
      <c r="S167" s="44">
        <f t="shared" si="59"/>
        <v>-7.4084436845350266E-3</v>
      </c>
      <c r="T167" s="44">
        <f t="shared" si="57"/>
        <v>7.4084436845350266E-3</v>
      </c>
      <c r="U167" s="6">
        <f>'Purchased Power Model WN tk'!Q167</f>
        <v>705544371.77379799</v>
      </c>
      <c r="V167" s="18">
        <f t="shared" si="60"/>
        <v>0.97305930685008513</v>
      </c>
      <c r="W167" s="39">
        <f t="shared" si="61"/>
        <v>710810370.37309051</v>
      </c>
      <c r="X167" s="5"/>
    </row>
    <row r="168" spans="1:24" x14ac:dyDescent="0.2">
      <c r="A168" s="38">
        <v>2015</v>
      </c>
      <c r="B168" s="6">
        <f>SUM(B51:B62)</f>
        <v>698517377.1099999</v>
      </c>
      <c r="Q168" s="6">
        <f>SUM(Q51:Q62)</f>
        <v>703901684.41210961</v>
      </c>
      <c r="R168" s="6">
        <f t="shared" si="58"/>
        <v>5384307.3021097183</v>
      </c>
      <c r="S168" s="44">
        <f t="shared" si="59"/>
        <v>7.7081937809283987E-3</v>
      </c>
      <c r="T168" s="44">
        <f t="shared" si="57"/>
        <v>7.7081937809283987E-3</v>
      </c>
      <c r="U168" s="6">
        <f>'Purchased Power Model WN tk'!Q168</f>
        <v>696035467.78606093</v>
      </c>
      <c r="V168" s="18">
        <f t="shared" si="60"/>
        <v>0.9888248361948182</v>
      </c>
      <c r="W168" s="39">
        <f t="shared" si="61"/>
        <v>690711331.00002968</v>
      </c>
      <c r="X168" s="5"/>
    </row>
    <row r="169" spans="1:24" x14ac:dyDescent="0.2">
      <c r="A169" s="30">
        <v>2016</v>
      </c>
      <c r="B169" s="6">
        <f>SUM(B63:B74)</f>
        <v>669958461.73000014</v>
      </c>
      <c r="Q169" s="6">
        <f>SUM(Q63:Q74)</f>
        <v>678826549.11724424</v>
      </c>
      <c r="R169" s="6">
        <f t="shared" si="58"/>
        <v>8868087.3872441053</v>
      </c>
      <c r="S169" s="44">
        <f t="shared" si="59"/>
        <v>1.3236771969928536E-2</v>
      </c>
      <c r="T169" s="44">
        <f t="shared" si="57"/>
        <v>1.3236771969928536E-2</v>
      </c>
      <c r="U169" s="6">
        <f>'Purchased Power Model WN tk'!Q169</f>
        <v>688238126.92229605</v>
      </c>
      <c r="V169" s="18">
        <f t="shared" si="60"/>
        <v>1.0138644810184438</v>
      </c>
      <c r="W169" s="39">
        <f t="shared" si="61"/>
        <v>679247088.10580158</v>
      </c>
      <c r="X169" s="5"/>
    </row>
    <row r="170" spans="1:24" x14ac:dyDescent="0.2">
      <c r="A170" s="30">
        <v>2017</v>
      </c>
      <c r="B170" s="6">
        <f>SUM(B75:B86)</f>
        <v>652970473</v>
      </c>
      <c r="H170" s="6"/>
      <c r="I170" s="36"/>
      <c r="Q170" s="6">
        <f>SUM(Q75:Q86)</f>
        <v>667414767.34397888</v>
      </c>
      <c r="R170" s="6">
        <f t="shared" si="58"/>
        <v>14444294.343978882</v>
      </c>
      <c r="S170" s="44">
        <f t="shared" si="59"/>
        <v>2.2120899705642405E-2</v>
      </c>
      <c r="T170" s="44">
        <f t="shared" si="57"/>
        <v>2.2120899705642405E-2</v>
      </c>
      <c r="U170" s="6">
        <f>'Purchased Power Model WN tk'!Q170</f>
        <v>676969550.54199982</v>
      </c>
      <c r="V170" s="18">
        <f t="shared" si="60"/>
        <v>1.0143161099596953</v>
      </c>
      <c r="W170" s="39">
        <f t="shared" si="61"/>
        <v>662318470.09190226</v>
      </c>
      <c r="X170" s="5"/>
    </row>
    <row r="171" spans="1:24" x14ac:dyDescent="0.2">
      <c r="A171" s="30">
        <v>2018</v>
      </c>
      <c r="B171" s="6">
        <f>SUM(B87:B98)</f>
        <v>666736298.38999999</v>
      </c>
      <c r="Q171" s="6">
        <f>SUM(Q87:Q98)</f>
        <v>684015773.32876098</v>
      </c>
      <c r="R171" s="6">
        <f t="shared" si="58"/>
        <v>17279474.938760996</v>
      </c>
      <c r="S171" s="44">
        <f t="shared" si="59"/>
        <v>2.5916505491731245E-2</v>
      </c>
      <c r="T171" s="44">
        <f t="shared" si="57"/>
        <v>2.5916505491731245E-2</v>
      </c>
      <c r="U171" s="6">
        <f>'Purchased Power Model WN tk'!Q171</f>
        <v>667418212.37365949</v>
      </c>
      <c r="V171" s="18">
        <f t="shared" ref="V171:V176" si="62">U171/Q171</f>
        <v>0.97573511956554815</v>
      </c>
      <c r="W171" s="39">
        <f t="shared" si="61"/>
        <v>650558021.82825768</v>
      </c>
      <c r="X171" s="5"/>
    </row>
    <row r="172" spans="1:24" x14ac:dyDescent="0.2">
      <c r="A172" s="30">
        <v>2019</v>
      </c>
      <c r="B172" s="6">
        <f>SUM(B99:B110)</f>
        <v>660639513.94000006</v>
      </c>
      <c r="Q172" s="6">
        <f>SUM(Q99:Q110)</f>
        <v>671082095.06483686</v>
      </c>
      <c r="R172" s="6">
        <f t="shared" si="58"/>
        <v>10442581.124836802</v>
      </c>
      <c r="S172" s="44">
        <f t="shared" si="59"/>
        <v>1.5806776471116755E-2</v>
      </c>
      <c r="T172" s="44">
        <f t="shared" si="57"/>
        <v>1.5806776471116755E-2</v>
      </c>
      <c r="U172" s="6">
        <f>'Purchased Power Model WN tk'!Q172</f>
        <v>657903633.2979387</v>
      </c>
      <c r="V172" s="18">
        <f t="shared" si="62"/>
        <v>0.9803623701722739</v>
      </c>
      <c r="W172" s="39">
        <f t="shared" si="61"/>
        <v>647666119.71567738</v>
      </c>
      <c r="X172" s="5"/>
    </row>
    <row r="173" spans="1:24" x14ac:dyDescent="0.2">
      <c r="A173" s="30">
        <v>2020</v>
      </c>
      <c r="B173" s="6">
        <f>SUM(B111:B122)</f>
        <v>659068595.53012538</v>
      </c>
      <c r="Q173" s="6">
        <f>SUM(Q111:Q122)</f>
        <v>647283484.79280627</v>
      </c>
      <c r="R173" s="6">
        <f t="shared" si="58"/>
        <v>-11785110.737319112</v>
      </c>
      <c r="S173" s="44">
        <f t="shared" si="59"/>
        <v>-1.7881463048379197E-2</v>
      </c>
      <c r="T173" s="44">
        <f t="shared" si="57"/>
        <v>1.7881463048379197E-2</v>
      </c>
      <c r="U173" s="6">
        <f>'Purchased Power Model WN tk'!Q173</f>
        <v>648341030.9398129</v>
      </c>
      <c r="V173" s="18">
        <f t="shared" si="62"/>
        <v>1.0016338222306802</v>
      </c>
      <c r="W173" s="39">
        <f t="shared" si="61"/>
        <v>660145396.45304573</v>
      </c>
      <c r="X173" s="5"/>
    </row>
    <row r="174" spans="1:24" x14ac:dyDescent="0.2">
      <c r="A174" s="30">
        <v>2021</v>
      </c>
      <c r="B174" s="6">
        <f>SUM(B123:B134)</f>
        <v>647740936.70370293</v>
      </c>
      <c r="Q174" s="6">
        <f>SUM(Q123:Q134)</f>
        <v>610764455.86947477</v>
      </c>
      <c r="R174" s="6">
        <f t="shared" si="58"/>
        <v>-36976480.834228158</v>
      </c>
      <c r="S174" s="44">
        <f t="shared" si="59"/>
        <v>-5.708529249733426E-2</v>
      </c>
      <c r="T174" s="44">
        <f t="shared" si="57"/>
        <v>5.708529249733426E-2</v>
      </c>
      <c r="U174" s="6">
        <f>'Purchased Power Model WN tk'!Q174</f>
        <v>638787285.15838873</v>
      </c>
      <c r="V174" s="18">
        <f t="shared" si="62"/>
        <v>1.0458815653393272</v>
      </c>
      <c r="W174" s="39">
        <f t="shared" si="61"/>
        <v>677460304.81403089</v>
      </c>
      <c r="X174" s="5"/>
    </row>
    <row r="175" spans="1:24" x14ac:dyDescent="0.2">
      <c r="A175" s="30">
        <v>2022</v>
      </c>
      <c r="Q175" s="6">
        <f>SUM(Q135:Q146)</f>
        <v>630498751.71553993</v>
      </c>
      <c r="R175" s="6"/>
      <c r="S175" s="6"/>
      <c r="T175" s="27"/>
      <c r="U175" s="6">
        <f>'Purchased Power Model WN tk'!Q175</f>
        <v>629237292.77584827</v>
      </c>
      <c r="V175" s="18">
        <f t="shared" si="62"/>
        <v>0.99799926814088158</v>
      </c>
      <c r="W175" s="39">
        <f t="shared" si="61"/>
        <v>0</v>
      </c>
      <c r="X175" s="18"/>
    </row>
    <row r="176" spans="1:24" x14ac:dyDescent="0.2">
      <c r="A176" s="30">
        <v>2023</v>
      </c>
      <c r="Q176" s="6">
        <f>SUM(Q147:Q158)</f>
        <v>620948538.36945367</v>
      </c>
      <c r="R176" s="6"/>
      <c r="S176" s="6"/>
      <c r="T176" s="27"/>
      <c r="U176" s="6">
        <f>'Purchased Power Model WN tk'!Q176</f>
        <v>619687079.42976189</v>
      </c>
      <c r="V176" s="18">
        <f t="shared" si="62"/>
        <v>0.99796849680489752</v>
      </c>
      <c r="W176" s="39">
        <f t="shared" si="61"/>
        <v>0</v>
      </c>
      <c r="X176" s="18"/>
    </row>
    <row r="177" spans="1:23" x14ac:dyDescent="0.2">
      <c r="Q177" s="6"/>
      <c r="S177" s="6"/>
    </row>
    <row r="178" spans="1:23" x14ac:dyDescent="0.2">
      <c r="A178" s="116" t="s">
        <v>220</v>
      </c>
      <c r="B178" s="6">
        <f>SUM(B164:B174)</f>
        <v>7568692959.3938284</v>
      </c>
      <c r="L178" s="6">
        <f>Q178-B178</f>
        <v>-16529827.753602982</v>
      </c>
      <c r="Q178" s="6">
        <f>SUM(Q164:Q174)</f>
        <v>7552163131.6402254</v>
      </c>
      <c r="S178"/>
      <c r="T178"/>
    </row>
    <row r="179" spans="1:23" x14ac:dyDescent="0.2">
      <c r="S179"/>
      <c r="T179"/>
    </row>
    <row r="180" spans="1:23" x14ac:dyDescent="0.2">
      <c r="L180" s="6">
        <f>Q180-Q162</f>
        <v>0</v>
      </c>
      <c r="Q180" s="6">
        <f>SUM(Q164:Q176)</f>
        <v>8803610421.7252197</v>
      </c>
      <c r="R180" s="6"/>
      <c r="S180" s="6"/>
      <c r="T180"/>
    </row>
    <row r="181" spans="1:23" x14ac:dyDescent="0.2">
      <c r="L181" s="119"/>
      <c r="Q181" s="119" t="s">
        <v>114</v>
      </c>
      <c r="S181"/>
      <c r="T181"/>
      <c r="U181"/>
      <c r="V181"/>
      <c r="W181"/>
    </row>
    <row r="184" spans="1:23" x14ac:dyDescent="0.2">
      <c r="B184" s="651" t="s">
        <v>91</v>
      </c>
      <c r="C184" s="651"/>
      <c r="D184" s="651"/>
      <c r="E184" s="651"/>
      <c r="F184" s="651"/>
      <c r="G184" s="652"/>
      <c r="H184" s="652"/>
    </row>
    <row r="185" spans="1:23" x14ac:dyDescent="0.2">
      <c r="C185" s="59">
        <f>'Weather Analysis '!AD8</f>
        <v>815.92000000000007</v>
      </c>
      <c r="D185" s="59">
        <f>'Weather Analysis '!AD28</f>
        <v>0</v>
      </c>
      <c r="E185" s="10">
        <f t="shared" ref="E185:H196" si="63">E87</f>
        <v>0</v>
      </c>
      <c r="F185" s="10">
        <f t="shared" si="63"/>
        <v>31</v>
      </c>
      <c r="G185" s="10">
        <f t="shared" si="63"/>
        <v>85</v>
      </c>
      <c r="H185" s="10">
        <f t="shared" si="63"/>
        <v>33637</v>
      </c>
      <c r="I185" s="10">
        <v>352</v>
      </c>
      <c r="J185" s="6"/>
      <c r="K185" s="6"/>
      <c r="L185" s="6"/>
      <c r="M185" s="6"/>
      <c r="N185" s="10"/>
      <c r="O185" s="10"/>
      <c r="P185" s="36"/>
      <c r="Q185" s="108">
        <f t="shared" ref="Q185:Q196" si="64">$X$44+C185*$X$45+D185*$X$46+E185*$X$47+F185*$X$48+G185*$X$49+ H185*$X$50</f>
        <v>71252248.068020374</v>
      </c>
      <c r="R185" s="36"/>
      <c r="S185" s="10"/>
    </row>
    <row r="186" spans="1:23" x14ac:dyDescent="0.2">
      <c r="C186" s="59">
        <f>'Weather Analysis '!AD9</f>
        <v>792.03236842105298</v>
      </c>
      <c r="D186" s="59">
        <f>'Weather Analysis '!AD29</f>
        <v>0</v>
      </c>
      <c r="E186" s="10">
        <f t="shared" si="63"/>
        <v>0</v>
      </c>
      <c r="F186" s="10">
        <f t="shared" si="63"/>
        <v>28</v>
      </c>
      <c r="G186" s="10">
        <f t="shared" si="63"/>
        <v>86</v>
      </c>
      <c r="H186" s="10">
        <f t="shared" si="63"/>
        <v>33637</v>
      </c>
      <c r="I186" s="10">
        <v>304</v>
      </c>
      <c r="J186" s="6"/>
      <c r="K186" s="6"/>
      <c r="L186" s="6"/>
      <c r="M186" s="6"/>
      <c r="N186" s="10"/>
      <c r="O186" s="10"/>
      <c r="P186" s="36"/>
      <c r="Q186" s="108">
        <f t="shared" si="64"/>
        <v>65130004.023422301</v>
      </c>
      <c r="R186" s="36"/>
      <c r="S186" s="10"/>
    </row>
    <row r="187" spans="1:23" x14ac:dyDescent="0.2">
      <c r="C187" s="59">
        <f>'Weather Analysis '!AD10</f>
        <v>680.40842105263187</v>
      </c>
      <c r="D187" s="59">
        <f>'Weather Analysis '!AD30</f>
        <v>0</v>
      </c>
      <c r="E187" s="10">
        <f t="shared" si="63"/>
        <v>1</v>
      </c>
      <c r="F187" s="10">
        <f t="shared" si="63"/>
        <v>31</v>
      </c>
      <c r="G187" s="10">
        <f t="shared" si="63"/>
        <v>87</v>
      </c>
      <c r="H187" s="10">
        <f t="shared" si="63"/>
        <v>33637</v>
      </c>
      <c r="I187" s="10">
        <v>336</v>
      </c>
      <c r="J187" s="6"/>
      <c r="K187" s="6"/>
      <c r="L187" s="6"/>
      <c r="M187" s="6"/>
      <c r="N187" s="10"/>
      <c r="O187" s="10"/>
      <c r="P187" s="36"/>
      <c r="Q187" s="108">
        <f t="shared" si="64"/>
        <v>63525348.21415472</v>
      </c>
      <c r="R187" s="36"/>
      <c r="S187" s="10"/>
    </row>
    <row r="188" spans="1:23" x14ac:dyDescent="0.2">
      <c r="C188" s="59">
        <f>'Weather Analysis '!AD11</f>
        <v>477.98717105263131</v>
      </c>
      <c r="D188" s="59">
        <f>'Weather Analysis '!AD31</f>
        <v>-0.22473684210527267</v>
      </c>
      <c r="E188" s="10">
        <f t="shared" si="63"/>
        <v>1</v>
      </c>
      <c r="F188" s="10">
        <f t="shared" si="63"/>
        <v>30</v>
      </c>
      <c r="G188" s="10">
        <f t="shared" si="63"/>
        <v>88</v>
      </c>
      <c r="H188" s="10">
        <f t="shared" si="63"/>
        <v>33637</v>
      </c>
      <c r="I188" s="10">
        <v>320</v>
      </c>
      <c r="J188" s="6"/>
      <c r="K188" s="6"/>
      <c r="L188" s="6"/>
      <c r="M188" s="6"/>
      <c r="N188" s="10"/>
      <c r="O188" s="10"/>
      <c r="P188" s="36"/>
      <c r="Q188" s="108">
        <f t="shared" si="64"/>
        <v>54569603.238486439</v>
      </c>
      <c r="R188" s="36"/>
      <c r="S188" s="10"/>
    </row>
    <row r="189" spans="1:23" x14ac:dyDescent="0.2">
      <c r="C189" s="59">
        <f>'Weather Analysis '!AD12</f>
        <v>268.88736842105254</v>
      </c>
      <c r="D189" s="59">
        <f>'Weather Analysis '!AD32</f>
        <v>6.1286842105262735</v>
      </c>
      <c r="E189" s="10">
        <f t="shared" si="63"/>
        <v>1</v>
      </c>
      <c r="F189" s="10">
        <f t="shared" si="63"/>
        <v>31</v>
      </c>
      <c r="G189" s="10">
        <f t="shared" si="63"/>
        <v>89</v>
      </c>
      <c r="H189" s="10">
        <f t="shared" si="63"/>
        <v>33637</v>
      </c>
      <c r="I189" s="10">
        <v>336</v>
      </c>
      <c r="J189" s="6"/>
      <c r="K189" s="6"/>
      <c r="L189" s="6"/>
      <c r="M189" s="6"/>
      <c r="N189" s="10"/>
      <c r="O189" s="10"/>
      <c r="P189" s="36"/>
      <c r="Q189" s="108">
        <f t="shared" si="64"/>
        <v>49666847.873443276</v>
      </c>
      <c r="R189" s="36"/>
      <c r="S189" s="10"/>
    </row>
    <row r="190" spans="1:23" x14ac:dyDescent="0.2">
      <c r="C190" s="59">
        <f>'Weather Analysis '!AD13</f>
        <v>108.18519736842109</v>
      </c>
      <c r="D190" s="59">
        <f>'Weather Analysis '!AD33</f>
        <v>9.8162499999998545</v>
      </c>
      <c r="E190" s="10">
        <f t="shared" si="63"/>
        <v>0</v>
      </c>
      <c r="F190" s="10">
        <f t="shared" si="63"/>
        <v>30</v>
      </c>
      <c r="G190" s="10">
        <f t="shared" si="63"/>
        <v>90</v>
      </c>
      <c r="H190" s="10">
        <f t="shared" si="63"/>
        <v>33637</v>
      </c>
      <c r="I190" s="10">
        <v>336</v>
      </c>
      <c r="J190" s="6"/>
      <c r="K190" s="6"/>
      <c r="L190" s="6"/>
      <c r="M190" s="6"/>
      <c r="N190" s="10"/>
      <c r="O190" s="10"/>
      <c r="P190" s="36"/>
      <c r="Q190" s="108">
        <f t="shared" si="64"/>
        <v>45501443.989239901</v>
      </c>
      <c r="R190" s="36"/>
      <c r="S190" s="10"/>
    </row>
    <row r="191" spans="1:23" x14ac:dyDescent="0.2">
      <c r="C191" s="59">
        <f>'Weather Analysis '!AD14</f>
        <v>34.833684210526314</v>
      </c>
      <c r="D191" s="59">
        <f>'Weather Analysis '!AD34</f>
        <v>34.756973684210607</v>
      </c>
      <c r="E191" s="10">
        <f t="shared" si="63"/>
        <v>0</v>
      </c>
      <c r="F191" s="10">
        <f t="shared" si="63"/>
        <v>31</v>
      </c>
      <c r="G191" s="10">
        <f t="shared" si="63"/>
        <v>91</v>
      </c>
      <c r="H191" s="10">
        <f t="shared" si="63"/>
        <v>33637</v>
      </c>
      <c r="I191" s="10">
        <v>352</v>
      </c>
      <c r="J191" s="6"/>
      <c r="K191" s="6"/>
      <c r="L191" s="6"/>
      <c r="M191" s="6"/>
      <c r="N191" s="10"/>
      <c r="O191" s="10"/>
      <c r="P191" s="36"/>
      <c r="Q191" s="108">
        <f t="shared" si="64"/>
        <v>47654942.631748945</v>
      </c>
      <c r="R191" s="36"/>
      <c r="S191" s="10"/>
    </row>
    <row r="192" spans="1:23" x14ac:dyDescent="0.2">
      <c r="C192" s="59">
        <f>'Weather Analysis '!AD15</f>
        <v>36.201578947368432</v>
      </c>
      <c r="D192" s="59">
        <f>'Weather Analysis '!AD35</f>
        <v>34.614736842105259</v>
      </c>
      <c r="E192" s="10">
        <f t="shared" si="63"/>
        <v>0</v>
      </c>
      <c r="F192" s="10">
        <f t="shared" si="63"/>
        <v>31</v>
      </c>
      <c r="G192" s="10">
        <f t="shared" si="63"/>
        <v>92</v>
      </c>
      <c r="H192" s="10">
        <f t="shared" si="63"/>
        <v>33637</v>
      </c>
      <c r="I192" s="10">
        <v>320</v>
      </c>
      <c r="J192" s="6"/>
      <c r="K192" s="6"/>
      <c r="L192" s="6"/>
      <c r="M192" s="6"/>
      <c r="N192" s="10"/>
      <c r="O192" s="10"/>
      <c r="P192" s="36"/>
      <c r="Q192" s="108">
        <f t="shared" si="64"/>
        <v>47630211.861504793</v>
      </c>
      <c r="R192" s="36"/>
      <c r="S192" s="10"/>
    </row>
    <row r="193" spans="3:24" x14ac:dyDescent="0.2">
      <c r="C193" s="59">
        <f>'Weather Analysis '!AD16</f>
        <v>139.78578947368442</v>
      </c>
      <c r="D193" s="59">
        <f>'Weather Analysis '!AD36</f>
        <v>7.7718421052632038</v>
      </c>
      <c r="E193" s="10">
        <f t="shared" si="63"/>
        <v>1</v>
      </c>
      <c r="F193" s="10">
        <f t="shared" si="63"/>
        <v>30</v>
      </c>
      <c r="G193" s="10">
        <f t="shared" si="63"/>
        <v>93</v>
      </c>
      <c r="H193" s="10">
        <f t="shared" si="63"/>
        <v>33637</v>
      </c>
      <c r="I193" s="10">
        <v>336</v>
      </c>
      <c r="J193" s="6"/>
      <c r="K193" s="6"/>
      <c r="L193" s="6"/>
      <c r="M193" s="6"/>
      <c r="N193" s="10"/>
      <c r="O193" s="10"/>
      <c r="P193" s="36"/>
      <c r="Q193" s="108">
        <f t="shared" si="64"/>
        <v>43356017.581642389</v>
      </c>
      <c r="R193" s="36"/>
      <c r="S193" s="10"/>
    </row>
    <row r="194" spans="3:24" x14ac:dyDescent="0.2">
      <c r="C194" s="59">
        <f>'Weather Analysis '!AD17</f>
        <v>314.25855263157882</v>
      </c>
      <c r="D194" s="59">
        <f>'Weather Analysis '!AD37</f>
        <v>0.33421052631578618</v>
      </c>
      <c r="E194" s="10">
        <f t="shared" si="63"/>
        <v>1</v>
      </c>
      <c r="F194" s="10">
        <f t="shared" si="63"/>
        <v>31</v>
      </c>
      <c r="G194" s="10">
        <f t="shared" si="63"/>
        <v>94</v>
      </c>
      <c r="H194" s="10">
        <f t="shared" si="63"/>
        <v>33637</v>
      </c>
      <c r="I194" s="10">
        <v>352</v>
      </c>
      <c r="J194" s="6"/>
      <c r="K194" s="6"/>
      <c r="L194" s="6"/>
      <c r="M194" s="6"/>
      <c r="N194" s="10"/>
      <c r="O194" s="10"/>
      <c r="P194" s="36"/>
      <c r="Q194" s="108">
        <f t="shared" si="64"/>
        <v>50278698.820764065</v>
      </c>
      <c r="R194" s="36"/>
      <c r="S194" s="10"/>
    </row>
    <row r="195" spans="3:24" x14ac:dyDescent="0.2">
      <c r="C195" s="59">
        <f>'Weather Analysis '!AD18</f>
        <v>512.63131578947377</v>
      </c>
      <c r="D195" s="59">
        <f>'Weather Analysis '!AD38</f>
        <v>0</v>
      </c>
      <c r="E195" s="10">
        <f t="shared" si="63"/>
        <v>1</v>
      </c>
      <c r="F195" s="10">
        <f t="shared" si="63"/>
        <v>30</v>
      </c>
      <c r="G195" s="10">
        <f t="shared" si="63"/>
        <v>95</v>
      </c>
      <c r="H195" s="10">
        <f t="shared" si="63"/>
        <v>33637</v>
      </c>
      <c r="I195" s="10">
        <v>304</v>
      </c>
      <c r="J195" s="6"/>
      <c r="K195" s="6"/>
      <c r="L195" s="6"/>
      <c r="M195" s="6"/>
      <c r="N195" s="10"/>
      <c r="O195" s="10"/>
      <c r="P195" s="36"/>
      <c r="Q195" s="108">
        <f t="shared" si="64"/>
        <v>55428935.055352598</v>
      </c>
      <c r="R195" s="36"/>
      <c r="S195" s="10"/>
    </row>
    <row r="196" spans="3:24" x14ac:dyDescent="0.2">
      <c r="C196" s="59">
        <f>'Weather Analysis '!AD19</f>
        <v>676.62442105263199</v>
      </c>
      <c r="D196" s="59">
        <f>'Weather Analysis '!AD39</f>
        <v>0</v>
      </c>
      <c r="E196" s="10">
        <f t="shared" si="63"/>
        <v>0</v>
      </c>
      <c r="F196" s="10">
        <f t="shared" si="63"/>
        <v>31</v>
      </c>
      <c r="G196" s="10">
        <f t="shared" si="63"/>
        <v>96</v>
      </c>
      <c r="H196" s="10">
        <f t="shared" si="63"/>
        <v>33637</v>
      </c>
      <c r="I196" s="10">
        <v>336</v>
      </c>
      <c r="J196" s="6"/>
      <c r="K196" s="6"/>
      <c r="L196" s="6"/>
      <c r="M196" s="6"/>
      <c r="N196" s="10"/>
      <c r="O196" s="10"/>
      <c r="P196" s="36"/>
      <c r="Q196" s="108">
        <f t="shared" si="64"/>
        <v>65734376.575651616</v>
      </c>
      <c r="R196" s="36">
        <f>SUM(Q185:Q195)</f>
        <v>593994301.35777974</v>
      </c>
      <c r="S196" s="10"/>
      <c r="T196" s="36"/>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5"/>
    </row>
  </sheetData>
  <dataConsolidate/>
  <mergeCells count="1">
    <mergeCell ref="B184:H184"/>
  </mergeCells>
  <phoneticPr fontId="0" type="noConversion"/>
  <printOptions gridLines="1"/>
  <pageMargins left="0.38" right="0.75" top="0.73" bottom="0.74" header="0.5" footer="0.5"/>
  <pageSetup scale="17" orientation="landscape" r:id="rId1"/>
  <headerFooter alignWithMargins="0">
    <oddFooter>&amp;L&amp;Z&amp;F</oddFooter>
  </headerFooter>
  <ignoredErrors>
    <ignoredError sqref="B164:B171"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28C3-7A26-4C00-8AEC-D8114CFC5610}">
  <sheetPr codeName="Sheet5">
    <tabColor rgb="FF00FF00"/>
    <pageSetUpPr fitToPage="1"/>
  </sheetPr>
  <dimension ref="A2:AE227"/>
  <sheetViews>
    <sheetView zoomScaleNormal="100" workbookViewId="0">
      <pane xSplit="1" ySplit="2" topLeftCell="B141" activePane="bottomRight" state="frozen"/>
      <selection activeCell="M35" sqref="M35"/>
      <selection pane="topRight" activeCell="M35" sqref="M35"/>
      <selection pane="bottomLeft" activeCell="M35" sqref="M35"/>
      <selection pane="bottomRight" activeCell="Q176" sqref="Q176"/>
    </sheetView>
  </sheetViews>
  <sheetFormatPr defaultRowHeight="12.75" x14ac:dyDescent="0.2"/>
  <cols>
    <col min="1" max="1" width="11.85546875" style="30" customWidth="1"/>
    <col min="2" max="6" width="18" style="6" customWidth="1"/>
    <col min="7" max="7" width="11.7109375" style="1" customWidth="1"/>
    <col min="8" max="8" width="13.42578125" style="1" customWidth="1"/>
    <col min="9" max="9" width="12.42578125" style="1" customWidth="1"/>
    <col min="10" max="10" width="12.28515625" style="97" customWidth="1"/>
    <col min="11" max="11" width="12.7109375" style="1" hidden="1" customWidth="1"/>
    <col min="12" max="12" width="14.85546875" style="1" hidden="1" customWidth="1"/>
    <col min="13" max="13" width="13" style="1" hidden="1" customWidth="1"/>
    <col min="14" max="14" width="10.140625" style="1" customWidth="1"/>
    <col min="15" max="16" width="14.85546875" style="1" customWidth="1"/>
    <col min="17" max="17" width="16.42578125" style="1" bestFit="1" customWidth="1"/>
    <col min="18" max="18" width="14.85546875" style="1" customWidth="1"/>
    <col min="19" max="19" width="16.42578125" style="1" bestFit="1" customWidth="1"/>
    <col min="20" max="20" width="16" style="1" customWidth="1"/>
    <col min="21" max="21" width="14.140625" style="1" customWidth="1"/>
    <col min="22" max="22" width="13" style="1" customWidth="1"/>
    <col min="23" max="23" width="22.42578125" style="1" bestFit="1" customWidth="1"/>
    <col min="24" max="24" width="18.85546875" style="1" bestFit="1" customWidth="1"/>
    <col min="25" max="25" width="42.140625" customWidth="1"/>
    <col min="26" max="26" width="15.85546875" bestFit="1" customWidth="1"/>
    <col min="27" max="27" width="15.28515625" bestFit="1" customWidth="1"/>
    <col min="28" max="28" width="13" bestFit="1" customWidth="1"/>
    <col min="29" max="29" width="17.140625" customWidth="1"/>
    <col min="30" max="30" width="17.140625" bestFit="1" customWidth="1"/>
    <col min="31" max="31" width="16" bestFit="1" customWidth="1"/>
    <col min="32" max="32" width="26.140625" bestFit="1" customWidth="1"/>
    <col min="33" max="33" width="23" bestFit="1" customWidth="1"/>
    <col min="36" max="36" width="40.7109375" bestFit="1" customWidth="1"/>
    <col min="37" max="37" width="42.85546875" bestFit="1" customWidth="1"/>
  </cols>
  <sheetData>
    <row r="2" spans="1:28" ht="38.25" x14ac:dyDescent="0.2">
      <c r="A2" s="89"/>
      <c r="B2" s="81" t="s">
        <v>60</v>
      </c>
      <c r="C2" s="82" t="s">
        <v>4</v>
      </c>
      <c r="D2" s="82" t="s">
        <v>5</v>
      </c>
      <c r="E2" s="82" t="s">
        <v>22</v>
      </c>
      <c r="F2" s="83" t="s">
        <v>6</v>
      </c>
      <c r="G2" s="82" t="s">
        <v>214</v>
      </c>
      <c r="H2" s="82" t="s">
        <v>81</v>
      </c>
      <c r="I2" s="82" t="s">
        <v>7</v>
      </c>
      <c r="J2" s="81" t="s">
        <v>0</v>
      </c>
      <c r="K2" s="88" t="s">
        <v>86</v>
      </c>
      <c r="L2" s="81" t="s">
        <v>212</v>
      </c>
      <c r="M2" s="81" t="s">
        <v>213</v>
      </c>
      <c r="N2" s="84" t="s">
        <v>8</v>
      </c>
      <c r="O2" s="82" t="s">
        <v>108</v>
      </c>
      <c r="P2" s="82" t="s">
        <v>109</v>
      </c>
      <c r="Q2" s="82" t="s">
        <v>13</v>
      </c>
      <c r="R2" s="83" t="s">
        <v>14</v>
      </c>
      <c r="S2" s="82" t="s">
        <v>15</v>
      </c>
      <c r="T2" s="82" t="s">
        <v>82</v>
      </c>
      <c r="U2"/>
      <c r="V2"/>
      <c r="W2" t="s">
        <v>23</v>
      </c>
      <c r="X2" t="s">
        <v>351</v>
      </c>
    </row>
    <row r="3" spans="1:28" ht="13.5" thickBot="1" x14ac:dyDescent="0.25">
      <c r="A3" s="90">
        <v>40574</v>
      </c>
      <c r="B3" s="109">
        <f>'Purchased Power Model'!B3</f>
        <v>83643833</v>
      </c>
      <c r="C3" s="105">
        <f>'Purchased Power Model'!$C$185</f>
        <v>815.92000000000007</v>
      </c>
      <c r="D3" s="105">
        <f>'Purchased Power Model'!$D$185</f>
        <v>0</v>
      </c>
      <c r="E3" s="105">
        <f>'Purchased Power Model'!E185</f>
        <v>0</v>
      </c>
      <c r="F3" s="105">
        <f>'Purchased Power Model'!F185</f>
        <v>31</v>
      </c>
      <c r="G3" s="108">
        <v>1</v>
      </c>
      <c r="H3" s="109">
        <f>'Purchased Power Model'!H3</f>
        <v>33040</v>
      </c>
      <c r="I3" s="112">
        <v>336</v>
      </c>
      <c r="J3" s="118">
        <f>'Rate Class Energy Model'!F6</f>
        <v>1.0465217405234657</v>
      </c>
      <c r="K3" s="129" t="e">
        <f>#REF!</f>
        <v>#REF!</v>
      </c>
      <c r="L3" s="93" t="e">
        <f t="shared" ref="L3:L34" si="0">K3*J3</f>
        <v>#REF!</v>
      </c>
      <c r="M3" s="93" t="e">
        <f t="shared" ref="M3:M34" si="1">B3+L3</f>
        <v>#REF!</v>
      </c>
      <c r="N3" s="110">
        <v>139.10070640604135</v>
      </c>
      <c r="O3" s="91">
        <v>189.3</v>
      </c>
      <c r="P3" s="91">
        <v>17.399999999999999</v>
      </c>
      <c r="Q3" s="108">
        <f t="shared" ref="Q3:Q34" si="2">$X$18+C3*$X$19+D3*$X$20+E3*$X$21+F3*$X$22+G3*$X$23+ H3*$X$24</f>
        <v>77431631.002061129</v>
      </c>
      <c r="R3" s="36">
        <f t="shared" ref="R3:R34" si="3">Q3-B3</f>
        <v>-6212201.9979388714</v>
      </c>
      <c r="S3" s="58">
        <f t="shared" ref="S3:S34" si="4">R3/B3</f>
        <v>-7.4269695387332038E-2</v>
      </c>
      <c r="T3" s="13">
        <f t="shared" ref="T3:T66" si="5">ABS(S3)</f>
        <v>7.4269695387332038E-2</v>
      </c>
      <c r="U3" s="113"/>
      <c r="V3" s="13"/>
      <c r="W3"/>
      <c r="X3"/>
    </row>
    <row r="4" spans="1:28" x14ac:dyDescent="0.2">
      <c r="A4" s="90">
        <v>40602</v>
      </c>
      <c r="B4" s="109">
        <f>'Purchased Power Model'!B4</f>
        <v>72687185</v>
      </c>
      <c r="C4" s="105">
        <f>'Purchased Power Model'!$C$186</f>
        <v>792.03236842105298</v>
      </c>
      <c r="D4" s="105">
        <f>'Purchased Power Model'!$D$186</f>
        <v>0</v>
      </c>
      <c r="E4" s="91">
        <v>0</v>
      </c>
      <c r="F4" s="91">
        <v>28</v>
      </c>
      <c r="G4" s="108">
        <v>2</v>
      </c>
      <c r="H4" s="109">
        <f>'Purchased Power Model'!H4</f>
        <v>33045</v>
      </c>
      <c r="I4" s="112">
        <v>304</v>
      </c>
      <c r="J4" s="118">
        <f>J3</f>
        <v>1.0465217405234657</v>
      </c>
      <c r="K4" s="129" t="e">
        <f>#REF!</f>
        <v>#REF!</v>
      </c>
      <c r="L4" s="93" t="e">
        <f t="shared" si="0"/>
        <v>#REF!</v>
      </c>
      <c r="M4" s="93" t="e">
        <f t="shared" si="1"/>
        <v>#REF!</v>
      </c>
      <c r="N4" s="110">
        <v>139.39855831733732</v>
      </c>
      <c r="O4" s="91">
        <v>185.4</v>
      </c>
      <c r="P4" s="91">
        <v>17.600000000000001</v>
      </c>
      <c r="Q4" s="108">
        <f t="shared" si="2"/>
        <v>71381910.350901008</v>
      </c>
      <c r="R4" s="36">
        <f t="shared" si="3"/>
        <v>-1305274.6490989923</v>
      </c>
      <c r="S4" s="58">
        <f t="shared" si="4"/>
        <v>-1.7957424669823054E-2</v>
      </c>
      <c r="T4" s="13">
        <f t="shared" si="5"/>
        <v>1.7957424669823054E-2</v>
      </c>
      <c r="U4" s="113"/>
      <c r="V4" s="13"/>
      <c r="W4" s="26" t="s">
        <v>24</v>
      </c>
      <c r="X4" s="26"/>
    </row>
    <row r="5" spans="1:28" x14ac:dyDescent="0.2">
      <c r="A5" s="90">
        <v>40633</v>
      </c>
      <c r="B5" s="109">
        <f>'Purchased Power Model'!B5</f>
        <v>72688244</v>
      </c>
      <c r="C5" s="105">
        <f>'Purchased Power Model'!$C$187</f>
        <v>680.40842105263187</v>
      </c>
      <c r="D5" s="105">
        <f>'Purchased Power Model'!$D$187</f>
        <v>0</v>
      </c>
      <c r="E5" s="91">
        <v>1</v>
      </c>
      <c r="F5" s="91">
        <v>31</v>
      </c>
      <c r="G5" s="108">
        <v>3</v>
      </c>
      <c r="H5" s="109">
        <f>'Purchased Power Model'!H5</f>
        <v>33047</v>
      </c>
      <c r="I5" s="112">
        <v>368</v>
      </c>
      <c r="J5" s="118">
        <f t="shared" ref="J5:J14" si="6">J4</f>
        <v>1.0465217405234657</v>
      </c>
      <c r="K5" s="129" t="e">
        <f>#REF!</f>
        <v>#REF!</v>
      </c>
      <c r="L5" s="93" t="e">
        <f t="shared" si="0"/>
        <v>#REF!</v>
      </c>
      <c r="M5" s="93" t="e">
        <f t="shared" si="1"/>
        <v>#REF!</v>
      </c>
      <c r="N5" s="110">
        <v>139.69704800944226</v>
      </c>
      <c r="O5" s="91">
        <v>182.9</v>
      </c>
      <c r="P5" s="91">
        <v>18.399999999999999</v>
      </c>
      <c r="Q5" s="108">
        <f t="shared" si="2"/>
        <v>69722379.171295837</v>
      </c>
      <c r="R5" s="36">
        <f t="shared" si="3"/>
        <v>-2965864.8287041634</v>
      </c>
      <c r="S5" s="58">
        <f t="shared" si="4"/>
        <v>-4.0802537872618901E-2</v>
      </c>
      <c r="T5" s="13">
        <f t="shared" si="5"/>
        <v>4.0802537872618901E-2</v>
      </c>
      <c r="U5" s="113"/>
      <c r="V5" s="13"/>
      <c r="W5" t="s">
        <v>25</v>
      </c>
      <c r="X5" s="132">
        <v>0.97492356897765553</v>
      </c>
    </row>
    <row r="6" spans="1:28" x14ac:dyDescent="0.2">
      <c r="A6" s="90">
        <v>40663</v>
      </c>
      <c r="B6" s="109">
        <f>'Purchased Power Model'!B6</f>
        <v>60902854</v>
      </c>
      <c r="C6" s="105">
        <f>'Purchased Power Model'!$C$188</f>
        <v>477.98717105263131</v>
      </c>
      <c r="D6" s="105">
        <f>'Purchased Power Model'!$D$188</f>
        <v>-0.22473684210527267</v>
      </c>
      <c r="E6" s="91">
        <v>1</v>
      </c>
      <c r="F6" s="91">
        <v>30</v>
      </c>
      <c r="G6" s="108">
        <v>4</v>
      </c>
      <c r="H6" s="109">
        <f>'Purchased Power Model'!H6</f>
        <v>33047</v>
      </c>
      <c r="I6" s="112">
        <v>320</v>
      </c>
      <c r="J6" s="118">
        <f t="shared" si="6"/>
        <v>1.0465217405234657</v>
      </c>
      <c r="K6" s="129" t="e">
        <f>#REF!</f>
        <v>#REF!</v>
      </c>
      <c r="L6" s="93" t="e">
        <f t="shared" si="0"/>
        <v>#REF!</v>
      </c>
      <c r="M6" s="93" t="e">
        <f t="shared" si="1"/>
        <v>#REF!</v>
      </c>
      <c r="N6" s="110">
        <v>139.99617684801592</v>
      </c>
      <c r="O6" s="91">
        <v>182.2</v>
      </c>
      <c r="P6" s="91">
        <v>19.899999999999999</v>
      </c>
      <c r="Q6" s="108">
        <f t="shared" si="2"/>
        <v>60809109.000052288</v>
      </c>
      <c r="R6" s="36">
        <f t="shared" si="3"/>
        <v>-93744.999947711825</v>
      </c>
      <c r="S6" s="58">
        <f t="shared" si="4"/>
        <v>-1.5392546291461452E-3</v>
      </c>
      <c r="T6" s="13">
        <f t="shared" si="5"/>
        <v>1.5392546291461452E-3</v>
      </c>
      <c r="U6" s="113"/>
      <c r="V6" s="13"/>
      <c r="W6" t="s">
        <v>26</v>
      </c>
      <c r="X6" s="132">
        <v>0.95047596534812939</v>
      </c>
    </row>
    <row r="7" spans="1:28" x14ac:dyDescent="0.2">
      <c r="A7" s="90">
        <v>40694</v>
      </c>
      <c r="B7" s="109">
        <f>'Purchased Power Model'!B7</f>
        <v>52597908</v>
      </c>
      <c r="C7" s="105">
        <f>'Purchased Power Model'!$C$189</f>
        <v>268.88736842105254</v>
      </c>
      <c r="D7" s="105">
        <f>'Purchased Power Model'!$D$189</f>
        <v>6.1286842105262735</v>
      </c>
      <c r="E7" s="91">
        <v>1</v>
      </c>
      <c r="F7" s="91">
        <v>31</v>
      </c>
      <c r="G7" s="108">
        <v>5</v>
      </c>
      <c r="H7" s="109">
        <f>'Purchased Power Model'!H7</f>
        <v>33046</v>
      </c>
      <c r="I7" s="112">
        <v>336</v>
      </c>
      <c r="J7" s="118">
        <f t="shared" si="6"/>
        <v>1.0465217405234657</v>
      </c>
      <c r="K7" s="129" t="e">
        <f>#REF!</f>
        <v>#REF!</v>
      </c>
      <c r="L7" s="93" t="e">
        <f t="shared" si="0"/>
        <v>#REF!</v>
      </c>
      <c r="M7" s="93" t="e">
        <f t="shared" si="1"/>
        <v>#REF!</v>
      </c>
      <c r="N7" s="110">
        <v>140.29594620164227</v>
      </c>
      <c r="O7" s="91">
        <v>186.5</v>
      </c>
      <c r="P7" s="91">
        <v>20.2</v>
      </c>
      <c r="Q7" s="108">
        <f t="shared" si="2"/>
        <v>55900613.783484779</v>
      </c>
      <c r="R7" s="36">
        <f t="shared" si="3"/>
        <v>3302705.7834847793</v>
      </c>
      <c r="S7" s="58">
        <f t="shared" si="4"/>
        <v>6.2791580674364064E-2</v>
      </c>
      <c r="T7" s="13">
        <f t="shared" si="5"/>
        <v>6.2791580674364064E-2</v>
      </c>
      <c r="U7" s="113"/>
      <c r="V7" s="13"/>
      <c r="W7" t="s">
        <v>27</v>
      </c>
      <c r="X7" s="132">
        <v>0.94809881168483956</v>
      </c>
    </row>
    <row r="8" spans="1:28" x14ac:dyDescent="0.2">
      <c r="A8" s="90">
        <v>40724</v>
      </c>
      <c r="B8" s="109">
        <f>'Purchased Power Model'!B8</f>
        <v>48777799</v>
      </c>
      <c r="C8" s="105">
        <f>'Purchased Power Model'!$C$190</f>
        <v>108.18519736842109</v>
      </c>
      <c r="D8" s="105">
        <f>'Purchased Power Model'!$D$190</f>
        <v>9.8162499999998545</v>
      </c>
      <c r="E8" s="91">
        <v>0</v>
      </c>
      <c r="F8" s="91">
        <v>30</v>
      </c>
      <c r="G8" s="108">
        <v>6</v>
      </c>
      <c r="H8" s="109">
        <f>'Purchased Power Model'!H8</f>
        <v>33056</v>
      </c>
      <c r="I8" s="112">
        <v>352</v>
      </c>
      <c r="J8" s="118">
        <f t="shared" si="6"/>
        <v>1.0465217405234657</v>
      </c>
      <c r="K8" s="129" t="e">
        <f>#REF!</f>
        <v>#REF!</v>
      </c>
      <c r="L8" s="93" t="e">
        <f t="shared" si="0"/>
        <v>#REF!</v>
      </c>
      <c r="M8" s="93" t="e">
        <f t="shared" si="1"/>
        <v>#REF!</v>
      </c>
      <c r="N8" s="110">
        <v>140.59635744183578</v>
      </c>
      <c r="O8" s="91">
        <v>193</v>
      </c>
      <c r="P8" s="91">
        <v>19.3</v>
      </c>
      <c r="Q8" s="108">
        <f t="shared" si="2"/>
        <v>51753175.962110862</v>
      </c>
      <c r="R8" s="36">
        <f t="shared" si="3"/>
        <v>2975376.9621108621</v>
      </c>
      <c r="S8" s="58">
        <f t="shared" si="4"/>
        <v>6.0998589996052552E-2</v>
      </c>
      <c r="T8" s="13">
        <f t="shared" si="5"/>
        <v>6.0998589996052552E-2</v>
      </c>
      <c r="U8" s="113"/>
      <c r="V8" s="13"/>
      <c r="W8" t="s">
        <v>28</v>
      </c>
      <c r="X8">
        <v>2244679.7638867721</v>
      </c>
    </row>
    <row r="9" spans="1:28" ht="13.5" thickBot="1" x14ac:dyDescent="0.25">
      <c r="A9" s="90">
        <v>40755</v>
      </c>
      <c r="B9" s="109">
        <f>'Purchased Power Model'!B9</f>
        <v>54638457</v>
      </c>
      <c r="C9" s="105">
        <f>'Purchased Power Model'!$C$191</f>
        <v>34.833684210526314</v>
      </c>
      <c r="D9" s="105">
        <f>'Purchased Power Model'!$D$191</f>
        <v>34.756973684210607</v>
      </c>
      <c r="E9" s="91">
        <v>0</v>
      </c>
      <c r="F9" s="91">
        <v>31</v>
      </c>
      <c r="G9" s="108">
        <v>7</v>
      </c>
      <c r="H9" s="109">
        <f>'Purchased Power Model'!H9</f>
        <v>33071</v>
      </c>
      <c r="I9" s="112">
        <v>320</v>
      </c>
      <c r="J9" s="118">
        <f t="shared" si="6"/>
        <v>1.0465217405234657</v>
      </c>
      <c r="K9" s="129" t="e">
        <f>#REF!</f>
        <v>#REF!</v>
      </c>
      <c r="L9" s="93" t="e">
        <f t="shared" si="0"/>
        <v>#REF!</v>
      </c>
      <c r="M9" s="93" t="e">
        <f t="shared" si="1"/>
        <v>#REF!</v>
      </c>
      <c r="N9" s="110">
        <v>140.89741194304773</v>
      </c>
      <c r="O9" s="91">
        <v>198.4</v>
      </c>
      <c r="P9" s="91">
        <v>17.8</v>
      </c>
      <c r="Q9" s="108">
        <f t="shared" si="2"/>
        <v>53894566.955922671</v>
      </c>
      <c r="R9" s="36">
        <f t="shared" si="3"/>
        <v>-743890.04407732934</v>
      </c>
      <c r="S9" s="58">
        <f t="shared" si="4"/>
        <v>-1.3614770345314279E-2</v>
      </c>
      <c r="T9" s="13">
        <f t="shared" si="5"/>
        <v>1.3614770345314279E-2</v>
      </c>
      <c r="U9" s="113"/>
      <c r="V9" s="13"/>
      <c r="W9" s="24" t="s">
        <v>29</v>
      </c>
      <c r="X9" s="24">
        <v>132</v>
      </c>
    </row>
    <row r="10" spans="1:28" x14ac:dyDescent="0.2">
      <c r="A10" s="90">
        <v>40786</v>
      </c>
      <c r="B10" s="109">
        <f>'Purchased Power Model'!B10</f>
        <v>54146196</v>
      </c>
      <c r="C10" s="105">
        <f>'Purchased Power Model'!$C$192</f>
        <v>36.201578947368432</v>
      </c>
      <c r="D10" s="105">
        <f>'Purchased Power Model'!$D$192</f>
        <v>34.614736842105259</v>
      </c>
      <c r="E10" s="91">
        <v>0</v>
      </c>
      <c r="F10" s="91">
        <v>31</v>
      </c>
      <c r="G10" s="108">
        <v>8</v>
      </c>
      <c r="H10" s="109">
        <f>'Purchased Power Model'!H10</f>
        <v>33098</v>
      </c>
      <c r="I10" s="112">
        <v>352</v>
      </c>
      <c r="J10" s="118">
        <f t="shared" si="6"/>
        <v>1.0465217405234657</v>
      </c>
      <c r="K10" s="129" t="e">
        <f>#REF!</f>
        <v>#REF!</v>
      </c>
      <c r="L10" s="93" t="e">
        <f t="shared" si="0"/>
        <v>#REF!</v>
      </c>
      <c r="M10" s="93" t="e">
        <f t="shared" si="1"/>
        <v>#REF!</v>
      </c>
      <c r="N10" s="110">
        <v>141.19911108267243</v>
      </c>
      <c r="O10" s="91">
        <v>200.6</v>
      </c>
      <c r="P10" s="91">
        <v>16.899999999999999</v>
      </c>
      <c r="Q10" s="108">
        <f t="shared" si="2"/>
        <v>53857967.922209814</v>
      </c>
      <c r="R10" s="36">
        <f t="shared" si="3"/>
        <v>-288228.07779018581</v>
      </c>
      <c r="S10" s="58">
        <f t="shared" si="4"/>
        <v>-5.3231454669536863E-3</v>
      </c>
      <c r="T10" s="13">
        <f t="shared" si="5"/>
        <v>5.3231454669536863E-3</v>
      </c>
      <c r="U10" s="113"/>
      <c r="V10" s="13"/>
      <c r="W10"/>
      <c r="X10"/>
    </row>
    <row r="11" spans="1:28" ht="13.5" thickBot="1" x14ac:dyDescent="0.25">
      <c r="A11" s="90">
        <v>40816</v>
      </c>
      <c r="B11" s="109">
        <f>'Purchased Power Model'!B11</f>
        <v>52585712</v>
      </c>
      <c r="C11" s="105">
        <f>'Purchased Power Model'!$C$193</f>
        <v>139.78578947368442</v>
      </c>
      <c r="D11" s="105">
        <f>'Purchased Power Model'!$D$193</f>
        <v>7.7718421052632038</v>
      </c>
      <c r="E11" s="91">
        <v>1</v>
      </c>
      <c r="F11" s="91">
        <v>30</v>
      </c>
      <c r="G11" s="108">
        <v>9</v>
      </c>
      <c r="H11" s="109">
        <f>'Purchased Power Model'!H11</f>
        <v>33126</v>
      </c>
      <c r="I11" s="112">
        <v>336</v>
      </c>
      <c r="J11" s="118">
        <f t="shared" si="6"/>
        <v>1.0465217405234657</v>
      </c>
      <c r="K11" s="129" t="e">
        <f>#REF!</f>
        <v>#REF!</v>
      </c>
      <c r="L11" s="93" t="e">
        <f t="shared" si="0"/>
        <v>#REF!</v>
      </c>
      <c r="M11" s="93" t="e">
        <f t="shared" si="1"/>
        <v>#REF!</v>
      </c>
      <c r="N11" s="110">
        <v>141.50145624105357</v>
      </c>
      <c r="O11" s="91">
        <v>200.6</v>
      </c>
      <c r="P11" s="91">
        <v>16.399999999999999</v>
      </c>
      <c r="Q11" s="108">
        <f t="shared" si="2"/>
        <v>49589161.64348051</v>
      </c>
      <c r="R11" s="36">
        <f t="shared" si="3"/>
        <v>-2996550.3565194905</v>
      </c>
      <c r="S11" s="58">
        <f t="shared" si="4"/>
        <v>-5.6984116836137744E-2</v>
      </c>
      <c r="T11" s="13">
        <f t="shared" si="5"/>
        <v>5.6984116836137744E-2</v>
      </c>
      <c r="U11" s="113"/>
      <c r="V11" s="13"/>
      <c r="W11" t="s">
        <v>30</v>
      </c>
      <c r="X11"/>
    </row>
    <row r="12" spans="1:28" x14ac:dyDescent="0.2">
      <c r="A12" s="90">
        <v>40847</v>
      </c>
      <c r="B12" s="109">
        <f>'Purchased Power Model'!B12</f>
        <v>56921149</v>
      </c>
      <c r="C12" s="105">
        <f>'Purchased Power Model'!$C$194</f>
        <v>314.25855263157882</v>
      </c>
      <c r="D12" s="105">
        <f>'Purchased Power Model'!$D$194</f>
        <v>0.33421052631578618</v>
      </c>
      <c r="E12" s="91">
        <v>1</v>
      </c>
      <c r="F12" s="91">
        <v>31</v>
      </c>
      <c r="G12" s="108">
        <v>10</v>
      </c>
      <c r="H12" s="109">
        <f>'Purchased Power Model'!H12</f>
        <v>33143</v>
      </c>
      <c r="I12" s="112">
        <v>320</v>
      </c>
      <c r="J12" s="118">
        <f t="shared" si="6"/>
        <v>1.0465217405234657</v>
      </c>
      <c r="K12" s="129" t="e">
        <f>#REF!</f>
        <v>#REF!</v>
      </c>
      <c r="L12" s="93" t="e">
        <f t="shared" si="0"/>
        <v>#REF!</v>
      </c>
      <c r="M12" s="93" t="e">
        <f t="shared" si="1"/>
        <v>#REF!</v>
      </c>
      <c r="N12" s="110">
        <v>141.80444880149057</v>
      </c>
      <c r="O12" s="91">
        <v>200.2</v>
      </c>
      <c r="P12" s="91">
        <v>15.5</v>
      </c>
      <c r="Q12" s="108">
        <f t="shared" si="2"/>
        <v>56446454.761890016</v>
      </c>
      <c r="R12" s="36">
        <f t="shared" si="3"/>
        <v>-474694.2381099835</v>
      </c>
      <c r="S12" s="58">
        <f t="shared" si="4"/>
        <v>-8.3395055519695054E-3</v>
      </c>
      <c r="T12" s="13">
        <f t="shared" si="5"/>
        <v>8.3395055519695054E-3</v>
      </c>
      <c r="U12" s="113"/>
      <c r="V12" s="13"/>
      <c r="W12" s="25"/>
      <c r="X12" s="25" t="s">
        <v>34</v>
      </c>
      <c r="Y12" s="25" t="s">
        <v>35</v>
      </c>
      <c r="Z12" s="25" t="s">
        <v>36</v>
      </c>
      <c r="AA12" s="25" t="s">
        <v>37</v>
      </c>
      <c r="AB12" s="25" t="s">
        <v>38</v>
      </c>
    </row>
    <row r="13" spans="1:28" x14ac:dyDescent="0.2">
      <c r="A13" s="90">
        <v>40877</v>
      </c>
      <c r="B13" s="109">
        <f>'Purchased Power Model'!B13</f>
        <v>61640573</v>
      </c>
      <c r="C13" s="105">
        <f>'Purchased Power Model'!$C$195</f>
        <v>512.63131578947377</v>
      </c>
      <c r="D13" s="105">
        <f>'Purchased Power Model'!$D$195</f>
        <v>0</v>
      </c>
      <c r="E13" s="91">
        <v>1</v>
      </c>
      <c r="F13" s="91">
        <v>30</v>
      </c>
      <c r="G13" s="108">
        <v>11</v>
      </c>
      <c r="H13" s="109">
        <f>'Purchased Power Model'!H13</f>
        <v>33199</v>
      </c>
      <c r="I13" s="112">
        <v>352</v>
      </c>
      <c r="J13" s="118">
        <f t="shared" si="6"/>
        <v>1.0465217405234657</v>
      </c>
      <c r="K13" s="129" t="e">
        <f>#REF!</f>
        <v>#REF!</v>
      </c>
      <c r="L13" s="93" t="e">
        <f t="shared" si="0"/>
        <v>#REF!</v>
      </c>
      <c r="M13" s="93" t="e">
        <f t="shared" si="1"/>
        <v>#REF!</v>
      </c>
      <c r="N13" s="110">
        <v>142.10809015024478</v>
      </c>
      <c r="O13" s="91">
        <v>198</v>
      </c>
      <c r="P13" s="91">
        <v>14.6</v>
      </c>
      <c r="Q13" s="108">
        <f t="shared" si="2"/>
        <v>61584476.151168779</v>
      </c>
      <c r="R13" s="36">
        <f t="shared" si="3"/>
        <v>-56096.848831221461</v>
      </c>
      <c r="S13" s="58">
        <f t="shared" si="4"/>
        <v>-9.1006371454758312E-4</v>
      </c>
      <c r="T13" s="13">
        <f t="shared" si="5"/>
        <v>9.1006371454758312E-4</v>
      </c>
      <c r="U13" s="113"/>
      <c r="V13" s="13"/>
      <c r="W13" t="s">
        <v>31</v>
      </c>
      <c r="X13">
        <v>6</v>
      </c>
      <c r="Y13">
        <v>1.2087706774292098E+16</v>
      </c>
      <c r="Z13">
        <v>2014617795715349.8</v>
      </c>
      <c r="AA13">
        <v>399.83783127959282</v>
      </c>
      <c r="AB13">
        <v>4.9419642895851772E-79</v>
      </c>
    </row>
    <row r="14" spans="1:28" x14ac:dyDescent="0.2">
      <c r="A14" s="90">
        <v>40908</v>
      </c>
      <c r="B14" s="109">
        <f>'Purchased Power Model'!B14</f>
        <v>73819284</v>
      </c>
      <c r="C14" s="105">
        <f>'Purchased Power Model'!$C$196</f>
        <v>676.62442105263199</v>
      </c>
      <c r="D14" s="105">
        <f>'Purchased Power Model'!$D$196</f>
        <v>0</v>
      </c>
      <c r="E14" s="91">
        <v>0</v>
      </c>
      <c r="F14" s="91">
        <v>31</v>
      </c>
      <c r="G14" s="108">
        <v>12</v>
      </c>
      <c r="H14" s="109">
        <f>'Purchased Power Model'!H14</f>
        <v>33248</v>
      </c>
      <c r="I14" s="112">
        <v>336</v>
      </c>
      <c r="J14" s="118">
        <f t="shared" si="6"/>
        <v>1.0465217405234657</v>
      </c>
      <c r="K14" s="129" t="e">
        <f>#REF!</f>
        <v>#REF!</v>
      </c>
      <c r="L14" s="93" t="e">
        <f t="shared" si="0"/>
        <v>#REF!</v>
      </c>
      <c r="M14" s="93" t="e">
        <f t="shared" si="1"/>
        <v>#REF!</v>
      </c>
      <c r="N14" s="110">
        <v>142.41238167654581</v>
      </c>
      <c r="O14" s="91">
        <v>197.3</v>
      </c>
      <c r="P14" s="91">
        <v>14.1</v>
      </c>
      <c r="Q14" s="108">
        <f t="shared" si="2"/>
        <v>71808151.593569517</v>
      </c>
      <c r="R14" s="36">
        <f t="shared" si="3"/>
        <v>-2011132.4064304829</v>
      </c>
      <c r="S14" s="58">
        <f t="shared" si="4"/>
        <v>-2.7243997739540293E-2</v>
      </c>
      <c r="T14" s="13">
        <f t="shared" si="5"/>
        <v>2.7243997739540293E-2</v>
      </c>
      <c r="U14" s="113"/>
      <c r="V14" s="13"/>
      <c r="W14" t="s">
        <v>32</v>
      </c>
      <c r="X14">
        <v>125</v>
      </c>
      <c r="Y14">
        <v>629823405300346.88</v>
      </c>
      <c r="Z14">
        <v>5038587242402.7754</v>
      </c>
    </row>
    <row r="15" spans="1:28" ht="13.5" thickBot="1" x14ac:dyDescent="0.25">
      <c r="A15" s="90">
        <v>40939</v>
      </c>
      <c r="B15" s="109">
        <f>'Purchased Power Model'!B15</f>
        <v>73790226</v>
      </c>
      <c r="C15" s="105">
        <f>'Purchased Power Model'!$C$185</f>
        <v>815.92000000000007</v>
      </c>
      <c r="D15" s="105">
        <f>'Purchased Power Model'!$D$185</f>
        <v>0</v>
      </c>
      <c r="E15" s="91">
        <v>0</v>
      </c>
      <c r="F15" s="91">
        <v>31</v>
      </c>
      <c r="G15" s="108">
        <v>13</v>
      </c>
      <c r="H15" s="109">
        <f>'Purchased Power Model'!H15</f>
        <v>33203</v>
      </c>
      <c r="I15" s="112">
        <v>336</v>
      </c>
      <c r="J15" s="118">
        <f>'Rate Class Energy Model'!F7</f>
        <v>1.0446059893380324</v>
      </c>
      <c r="K15" s="129" t="e">
        <f>#REF!</f>
        <v>#REF!</v>
      </c>
      <c r="L15" s="93" t="e">
        <f t="shared" si="0"/>
        <v>#REF!</v>
      </c>
      <c r="M15" s="93" t="e">
        <f t="shared" si="1"/>
        <v>#REF!</v>
      </c>
      <c r="N15" s="110">
        <v>142.61257743956915</v>
      </c>
      <c r="O15" s="91">
        <v>196.5</v>
      </c>
      <c r="P15" s="91">
        <v>15</v>
      </c>
      <c r="Q15" s="108">
        <f t="shared" si="2"/>
        <v>76633160.310615897</v>
      </c>
      <c r="R15" s="36">
        <f t="shared" si="3"/>
        <v>2842934.3106158972</v>
      </c>
      <c r="S15" s="58">
        <f t="shared" si="4"/>
        <v>3.8527247641386778E-2</v>
      </c>
      <c r="T15" s="13">
        <f t="shared" si="5"/>
        <v>3.8527247641386778E-2</v>
      </c>
      <c r="U15" s="113"/>
      <c r="V15" s="13"/>
      <c r="W15" s="24" t="s">
        <v>12</v>
      </c>
      <c r="X15" s="24">
        <v>131</v>
      </c>
      <c r="Y15" s="24">
        <v>1.2717530179592444E+16</v>
      </c>
      <c r="Z15" s="24"/>
      <c r="AA15" s="24"/>
      <c r="AB15" s="24"/>
    </row>
    <row r="16" spans="1:28" ht="13.5" thickBot="1" x14ac:dyDescent="0.25">
      <c r="A16" s="90">
        <v>40968</v>
      </c>
      <c r="B16" s="109">
        <f>'Purchased Power Model'!B16</f>
        <v>68046427</v>
      </c>
      <c r="C16" s="105">
        <f>'Purchased Power Model'!$C$186</f>
        <v>792.03236842105298</v>
      </c>
      <c r="D16" s="105">
        <f>'Purchased Power Model'!$D$186</f>
        <v>0</v>
      </c>
      <c r="E16" s="91">
        <v>0</v>
      </c>
      <c r="F16" s="91">
        <v>29</v>
      </c>
      <c r="G16" s="108">
        <v>14</v>
      </c>
      <c r="H16" s="109">
        <f>'Purchased Power Model'!H16</f>
        <v>33203</v>
      </c>
      <c r="I16" s="112">
        <v>320</v>
      </c>
      <c r="J16" s="118">
        <f>J15</f>
        <v>1.0446059893380324</v>
      </c>
      <c r="K16" s="129" t="e">
        <f>#REF!</f>
        <v>#REF!</v>
      </c>
      <c r="L16" s="93" t="e">
        <f t="shared" si="0"/>
        <v>#REF!</v>
      </c>
      <c r="M16" s="93" t="e">
        <f t="shared" si="1"/>
        <v>#REF!</v>
      </c>
      <c r="N16" s="110">
        <v>142.81305462716429</v>
      </c>
      <c r="O16" s="91">
        <v>198.1</v>
      </c>
      <c r="P16" s="91">
        <v>15.7</v>
      </c>
      <c r="Q16" s="108">
        <f t="shared" si="2"/>
        <v>72298700.189235389</v>
      </c>
      <c r="R16" s="36">
        <f t="shared" si="3"/>
        <v>4252273.1892353892</v>
      </c>
      <c r="S16" s="58">
        <f t="shared" si="4"/>
        <v>6.2490763684555979E-2</v>
      </c>
      <c r="T16" s="13">
        <f t="shared" si="5"/>
        <v>6.2490763684555979E-2</v>
      </c>
      <c r="U16" s="113"/>
      <c r="V16" s="13"/>
      <c r="W16"/>
      <c r="X16"/>
    </row>
    <row r="17" spans="1:31" x14ac:dyDescent="0.2">
      <c r="A17" s="90">
        <v>40999</v>
      </c>
      <c r="B17" s="109">
        <f>'Purchased Power Model'!B17</f>
        <v>64860708</v>
      </c>
      <c r="C17" s="105">
        <f>'Purchased Power Model'!$C$187</f>
        <v>680.40842105263187</v>
      </c>
      <c r="D17" s="105">
        <f>'Purchased Power Model'!$D$187</f>
        <v>0</v>
      </c>
      <c r="E17" s="91">
        <v>1</v>
      </c>
      <c r="F17" s="91">
        <v>31</v>
      </c>
      <c r="G17" s="108">
        <v>15</v>
      </c>
      <c r="H17" s="109">
        <f>'Purchased Power Model'!H17</f>
        <v>33203</v>
      </c>
      <c r="I17" s="112">
        <v>352</v>
      </c>
      <c r="J17" s="118">
        <f t="shared" ref="J17:J26" si="7">J16</f>
        <v>1.0446059893380324</v>
      </c>
      <c r="K17" s="129" t="e">
        <f>#REF!</f>
        <v>#REF!</v>
      </c>
      <c r="L17" s="93" t="e">
        <f t="shared" si="0"/>
        <v>#REF!</v>
      </c>
      <c r="M17" s="93" t="e">
        <f t="shared" si="1"/>
        <v>#REF!</v>
      </c>
      <c r="N17" s="110">
        <v>143.01381363494295</v>
      </c>
      <c r="O17" s="91">
        <v>195.9</v>
      </c>
      <c r="P17" s="91">
        <v>17.899999999999999</v>
      </c>
      <c r="Q17" s="108">
        <f t="shared" si="2"/>
        <v>68924209.431486085</v>
      </c>
      <c r="R17" s="36">
        <f t="shared" si="3"/>
        <v>4063501.4314860851</v>
      </c>
      <c r="S17" s="58">
        <f t="shared" si="4"/>
        <v>6.2649661972331308E-2</v>
      </c>
      <c r="T17" s="13">
        <f t="shared" si="5"/>
        <v>6.2649661972331308E-2</v>
      </c>
      <c r="U17" s="113"/>
      <c r="V17" s="13"/>
      <c r="W17" s="25"/>
      <c r="X17" s="25" t="s">
        <v>39</v>
      </c>
      <c r="Y17" s="25" t="s">
        <v>28</v>
      </c>
      <c r="Z17" s="25" t="s">
        <v>40</v>
      </c>
      <c r="AA17" s="25" t="s">
        <v>41</v>
      </c>
      <c r="AB17" s="25" t="s">
        <v>42</v>
      </c>
      <c r="AC17" s="25" t="s">
        <v>43</v>
      </c>
      <c r="AD17" s="25" t="s">
        <v>216</v>
      </c>
      <c r="AE17" s="25" t="s">
        <v>217</v>
      </c>
    </row>
    <row r="18" spans="1:31" x14ac:dyDescent="0.2">
      <c r="A18" s="90">
        <v>41029</v>
      </c>
      <c r="B18" s="109">
        <f>'Purchased Power Model'!B18</f>
        <v>55490558</v>
      </c>
      <c r="C18" s="105">
        <f>'Purchased Power Model'!$C$188</f>
        <v>477.98717105263131</v>
      </c>
      <c r="D18" s="105">
        <f>'Purchased Power Model'!$D$188</f>
        <v>-0.22473684210527267</v>
      </c>
      <c r="E18" s="91">
        <v>1</v>
      </c>
      <c r="F18" s="91">
        <v>30</v>
      </c>
      <c r="G18" s="108">
        <v>16</v>
      </c>
      <c r="H18" s="109">
        <f>'Purchased Power Model'!H18</f>
        <v>33210</v>
      </c>
      <c r="I18" s="112">
        <v>320</v>
      </c>
      <c r="J18" s="118">
        <f t="shared" si="7"/>
        <v>1.0446059893380324</v>
      </c>
      <c r="K18" s="129" t="e">
        <f>#REF!</f>
        <v>#REF!</v>
      </c>
      <c r="L18" s="93" t="e">
        <f t="shared" si="0"/>
        <v>#REF!</v>
      </c>
      <c r="M18" s="93" t="e">
        <f t="shared" si="1"/>
        <v>#REF!</v>
      </c>
      <c r="N18" s="110">
        <v>143.21485485907297</v>
      </c>
      <c r="O18" s="91">
        <v>194.4</v>
      </c>
      <c r="P18" s="91">
        <v>17.600000000000001</v>
      </c>
      <c r="Q18" s="108">
        <f t="shared" si="2"/>
        <v>60010638.308607064</v>
      </c>
      <c r="R18" s="36">
        <f t="shared" si="3"/>
        <v>4520080.3086070642</v>
      </c>
      <c r="S18" s="58">
        <f t="shared" si="4"/>
        <v>8.145674636407628E-2</v>
      </c>
      <c r="T18" s="13">
        <f t="shared" si="5"/>
        <v>8.145674636407628E-2</v>
      </c>
      <c r="U18" s="113"/>
      <c r="V18" s="13"/>
      <c r="W18" t="s">
        <v>33</v>
      </c>
      <c r="X18" s="130">
        <v>-2885688.1868697749</v>
      </c>
      <c r="Y18">
        <v>83660496.853860795</v>
      </c>
      <c r="Z18">
        <v>-3.4492840652267834E-2</v>
      </c>
      <c r="AA18">
        <v>0.97253917094104936</v>
      </c>
      <c r="AB18">
        <v>-168460194.51671958</v>
      </c>
      <c r="AC18">
        <v>162688818.14298004</v>
      </c>
      <c r="AD18">
        <v>-168460194.51671958</v>
      </c>
      <c r="AE18">
        <v>162688818.14298004</v>
      </c>
    </row>
    <row r="19" spans="1:31" x14ac:dyDescent="0.2">
      <c r="A19" s="90">
        <v>41060</v>
      </c>
      <c r="B19" s="109">
        <f>'Purchased Power Model'!B19</f>
        <v>50211578</v>
      </c>
      <c r="C19" s="105">
        <f>'Purchased Power Model'!$C$189</f>
        <v>268.88736842105254</v>
      </c>
      <c r="D19" s="105">
        <f>'Purchased Power Model'!$D$189</f>
        <v>6.1286842105262735</v>
      </c>
      <c r="E19" s="91">
        <v>1</v>
      </c>
      <c r="F19" s="91">
        <v>31</v>
      </c>
      <c r="G19" s="108">
        <v>17</v>
      </c>
      <c r="H19" s="109">
        <f>'Purchased Power Model'!H19</f>
        <v>33210</v>
      </c>
      <c r="I19" s="112">
        <v>352</v>
      </c>
      <c r="J19" s="118">
        <f t="shared" si="7"/>
        <v>1.0446059893380324</v>
      </c>
      <c r="K19" s="129" t="e">
        <f>#REF!</f>
        <v>#REF!</v>
      </c>
      <c r="L19" s="93" t="e">
        <f t="shared" si="0"/>
        <v>#REF!</v>
      </c>
      <c r="M19" s="93" t="e">
        <f t="shared" si="1"/>
        <v>#REF!</v>
      </c>
      <c r="N19" s="110">
        <v>143.41617869627913</v>
      </c>
      <c r="O19" s="91">
        <v>192.8</v>
      </c>
      <c r="P19" s="91">
        <v>18.2</v>
      </c>
      <c r="Q19" s="108">
        <f t="shared" si="2"/>
        <v>55102100.098948762</v>
      </c>
      <c r="R19" s="36">
        <f t="shared" si="3"/>
        <v>4890522.0989487618</v>
      </c>
      <c r="S19" s="58">
        <f t="shared" si="4"/>
        <v>9.7398295248732517E-2</v>
      </c>
      <c r="T19" s="13">
        <f t="shared" si="5"/>
        <v>9.7398295248732517E-2</v>
      </c>
      <c r="U19" s="113"/>
      <c r="V19" s="13"/>
      <c r="W19" t="s">
        <v>4</v>
      </c>
      <c r="X19" s="130">
        <v>35098.237142274003</v>
      </c>
      <c r="Y19">
        <v>930.03193716874875</v>
      </c>
      <c r="Z19">
        <v>37.738743950150649</v>
      </c>
      <c r="AA19">
        <v>3.5117093141368987E-70</v>
      </c>
      <c r="AB19">
        <v>33257.588512889211</v>
      </c>
      <c r="AC19">
        <v>36938.885771658795</v>
      </c>
      <c r="AD19">
        <v>33257.588512889211</v>
      </c>
      <c r="AE19">
        <v>36938.885771658795</v>
      </c>
    </row>
    <row r="20" spans="1:31" x14ac:dyDescent="0.2">
      <c r="A20" s="90">
        <v>41090</v>
      </c>
      <c r="B20" s="109">
        <f>'Purchased Power Model'!B20</f>
        <v>50441593</v>
      </c>
      <c r="C20" s="105">
        <f>'Purchased Power Model'!$C$190</f>
        <v>108.18519736842109</v>
      </c>
      <c r="D20" s="105">
        <f>'Purchased Power Model'!$D$190</f>
        <v>9.8162499999998545</v>
      </c>
      <c r="E20" s="91">
        <v>0</v>
      </c>
      <c r="F20" s="91">
        <v>30</v>
      </c>
      <c r="G20" s="108">
        <v>18</v>
      </c>
      <c r="H20" s="109">
        <f>'Purchased Power Model'!H20</f>
        <v>33210</v>
      </c>
      <c r="I20" s="112">
        <v>336</v>
      </c>
      <c r="J20" s="118">
        <f t="shared" si="7"/>
        <v>1.0446059893380324</v>
      </c>
      <c r="K20" s="129" t="e">
        <f>#REF!</f>
        <v>#REF!</v>
      </c>
      <c r="L20" s="93" t="e">
        <f t="shared" si="0"/>
        <v>#REF!</v>
      </c>
      <c r="M20" s="93" t="e">
        <f t="shared" si="1"/>
        <v>#REF!</v>
      </c>
      <c r="N20" s="110">
        <v>143.61778554384387</v>
      </c>
      <c r="O20" s="91">
        <v>193.4</v>
      </c>
      <c r="P20" s="91">
        <v>17.399999999999999</v>
      </c>
      <c r="Q20" s="108">
        <f t="shared" si="2"/>
        <v>50955092.208482675</v>
      </c>
      <c r="R20" s="36">
        <f t="shared" si="3"/>
        <v>513499.20848267525</v>
      </c>
      <c r="S20" s="58">
        <f t="shared" si="4"/>
        <v>1.0180075170954163E-2</v>
      </c>
      <c r="T20" s="13">
        <f t="shared" si="5"/>
        <v>1.0180075170954163E-2</v>
      </c>
      <c r="U20" s="113"/>
      <c r="V20" s="13"/>
      <c r="W20" t="s">
        <v>5</v>
      </c>
      <c r="X20" s="130">
        <v>122989.78983333083</v>
      </c>
      <c r="Y20">
        <v>17466.920116538797</v>
      </c>
      <c r="Z20">
        <v>7.0412980086212356</v>
      </c>
      <c r="AA20">
        <v>1.1219237671268031E-10</v>
      </c>
      <c r="AB20">
        <v>88420.587113309331</v>
      </c>
      <c r="AC20">
        <v>157558.99255335232</v>
      </c>
      <c r="AD20">
        <v>88420.587113309331</v>
      </c>
      <c r="AE20">
        <v>157558.99255335232</v>
      </c>
    </row>
    <row r="21" spans="1:31" x14ac:dyDescent="0.2">
      <c r="A21" s="90">
        <v>41121</v>
      </c>
      <c r="B21" s="109">
        <f>'Purchased Power Model'!B21</f>
        <v>52218431</v>
      </c>
      <c r="C21" s="105">
        <f>'Purchased Power Model'!$C$191</f>
        <v>34.833684210526314</v>
      </c>
      <c r="D21" s="105">
        <f>'Purchased Power Model'!$D$191</f>
        <v>34.756973684210607</v>
      </c>
      <c r="E21" s="91">
        <v>0</v>
      </c>
      <c r="F21" s="91">
        <v>31</v>
      </c>
      <c r="G21" s="108">
        <v>19</v>
      </c>
      <c r="H21" s="109">
        <f>'Purchased Power Model'!H21</f>
        <v>33212</v>
      </c>
      <c r="I21" s="112">
        <v>336</v>
      </c>
      <c r="J21" s="118">
        <f t="shared" si="7"/>
        <v>1.0446059893380324</v>
      </c>
      <c r="K21" s="129" t="e">
        <f>#REF!</f>
        <v>#REF!</v>
      </c>
      <c r="L21" s="93" t="e">
        <f t="shared" si="0"/>
        <v>#REF!</v>
      </c>
      <c r="M21" s="93" t="e">
        <f t="shared" si="1"/>
        <v>#REF!</v>
      </c>
      <c r="N21" s="110">
        <v>143.81967579960809</v>
      </c>
      <c r="O21" s="91">
        <v>194.2</v>
      </c>
      <c r="P21" s="91">
        <v>18.7</v>
      </c>
      <c r="Q21" s="108">
        <f t="shared" si="2"/>
        <v>53097042.112474665</v>
      </c>
      <c r="R21" s="36">
        <f t="shared" si="3"/>
        <v>878611.11247466505</v>
      </c>
      <c r="S21" s="58">
        <f t="shared" si="4"/>
        <v>1.6825689620484099E-2</v>
      </c>
      <c r="T21" s="13">
        <f t="shared" si="5"/>
        <v>1.6825689620484099E-2</v>
      </c>
      <c r="U21" s="113"/>
      <c r="V21" s="13"/>
      <c r="W21" t="s">
        <v>22</v>
      </c>
      <c r="X21" s="130">
        <v>-2820822.8761031665</v>
      </c>
      <c r="Y21">
        <v>450944.88738588529</v>
      </c>
      <c r="Z21">
        <v>-6.2553605884200101</v>
      </c>
      <c r="AA21">
        <v>5.7722164249980514E-9</v>
      </c>
      <c r="AB21">
        <v>-3713298.7747499719</v>
      </c>
      <c r="AC21">
        <v>-1928346.9774563608</v>
      </c>
      <c r="AD21">
        <v>-3713298.7747499719</v>
      </c>
      <c r="AE21">
        <v>-1928346.9774563608</v>
      </c>
    </row>
    <row r="22" spans="1:31" x14ac:dyDescent="0.2">
      <c r="A22" s="90">
        <v>41152</v>
      </c>
      <c r="B22" s="109">
        <f>'Purchased Power Model'!B22</f>
        <v>51797361</v>
      </c>
      <c r="C22" s="105">
        <f>'Purchased Power Model'!$C$192</f>
        <v>36.201578947368432</v>
      </c>
      <c r="D22" s="105">
        <f>'Purchased Power Model'!$D$192</f>
        <v>34.614736842105259</v>
      </c>
      <c r="E22" s="91">
        <v>0</v>
      </c>
      <c r="F22" s="91">
        <v>31</v>
      </c>
      <c r="G22" s="108">
        <v>20</v>
      </c>
      <c r="H22" s="109">
        <f>'Purchased Power Model'!H22</f>
        <v>33212</v>
      </c>
      <c r="I22" s="112">
        <v>352</v>
      </c>
      <c r="J22" s="118">
        <f t="shared" si="7"/>
        <v>1.0446059893380324</v>
      </c>
      <c r="K22" s="129" t="e">
        <f>#REF!</f>
        <v>#REF!</v>
      </c>
      <c r="L22" s="93" t="e">
        <f t="shared" si="0"/>
        <v>#REF!</v>
      </c>
      <c r="M22" s="93" t="e">
        <f t="shared" si="1"/>
        <v>#REF!</v>
      </c>
      <c r="N22" s="110">
        <v>144.02184986197204</v>
      </c>
      <c r="O22" s="91">
        <v>192.2</v>
      </c>
      <c r="P22" s="91">
        <v>19.899999999999999</v>
      </c>
      <c r="Q22" s="108">
        <f t="shared" si="2"/>
        <v>53061603.892212965</v>
      </c>
      <c r="R22" s="36">
        <f t="shared" si="3"/>
        <v>1264242.8922129646</v>
      </c>
      <c r="S22" s="58">
        <f t="shared" si="4"/>
        <v>2.440747690240367E-2</v>
      </c>
      <c r="T22" s="13">
        <f t="shared" si="5"/>
        <v>2.440747690240367E-2</v>
      </c>
      <c r="U22" s="113"/>
      <c r="V22" s="13"/>
      <c r="W22" t="s">
        <v>6</v>
      </c>
      <c r="X22" s="130">
        <v>1715045.564325691</v>
      </c>
      <c r="Y22">
        <v>246206.32022707412</v>
      </c>
      <c r="Z22">
        <v>6.9658876455483281</v>
      </c>
      <c r="AA22">
        <v>1.6515016447938375E-10</v>
      </c>
      <c r="AB22">
        <v>1227772.7000717721</v>
      </c>
      <c r="AC22">
        <v>2202318.4285796098</v>
      </c>
      <c r="AD22">
        <v>1227772.7000717721</v>
      </c>
      <c r="AE22">
        <v>2202318.4285796098</v>
      </c>
    </row>
    <row r="23" spans="1:31" x14ac:dyDescent="0.2">
      <c r="A23" s="90">
        <v>41182</v>
      </c>
      <c r="B23" s="109">
        <f>'Purchased Power Model'!B23</f>
        <v>49181637</v>
      </c>
      <c r="C23" s="105">
        <f>'Purchased Power Model'!$C$193</f>
        <v>139.78578947368442</v>
      </c>
      <c r="D23" s="105">
        <f>'Purchased Power Model'!$D$193</f>
        <v>7.7718421052632038</v>
      </c>
      <c r="E23" s="91">
        <v>1</v>
      </c>
      <c r="F23" s="91">
        <v>30</v>
      </c>
      <c r="G23" s="108">
        <v>21</v>
      </c>
      <c r="H23" s="109">
        <f>'Purchased Power Model'!H23</f>
        <v>33212</v>
      </c>
      <c r="I23" s="112">
        <v>304</v>
      </c>
      <c r="J23" s="118">
        <f t="shared" si="7"/>
        <v>1.0446059893380324</v>
      </c>
      <c r="K23" s="129" t="e">
        <f>#REF!</f>
        <v>#REF!</v>
      </c>
      <c r="L23" s="93" t="e">
        <f t="shared" si="0"/>
        <v>#REF!</v>
      </c>
      <c r="M23" s="93" t="e">
        <f t="shared" si="1"/>
        <v>#REF!</v>
      </c>
      <c r="N23" s="110">
        <v>144.22430812989595</v>
      </c>
      <c r="O23" s="91">
        <v>190.9</v>
      </c>
      <c r="P23" s="91">
        <v>19.899999999999999</v>
      </c>
      <c r="Q23" s="108">
        <f t="shared" si="2"/>
        <v>48794001.420025595</v>
      </c>
      <c r="R23" s="36">
        <f t="shared" si="3"/>
        <v>-387635.57997440547</v>
      </c>
      <c r="S23" s="58">
        <f t="shared" si="4"/>
        <v>-7.8817136561437646E-3</v>
      </c>
      <c r="T23" s="13">
        <f t="shared" si="5"/>
        <v>7.8817136561437646E-3</v>
      </c>
      <c r="U23" s="113"/>
      <c r="V23" s="13"/>
      <c r="W23" t="s">
        <v>214</v>
      </c>
      <c r="X23" s="130">
        <v>-65955.234803960848</v>
      </c>
      <c r="Y23">
        <v>16283.993908580898</v>
      </c>
      <c r="Z23">
        <v>-4.0503107022906431</v>
      </c>
      <c r="AA23">
        <v>8.9159771976161643E-5</v>
      </c>
      <c r="AB23">
        <v>-98183.279746143584</v>
      </c>
      <c r="AC23">
        <v>-33727.189861778104</v>
      </c>
      <c r="AD23">
        <v>-98183.279746143584</v>
      </c>
      <c r="AE23">
        <v>-33727.189861778104</v>
      </c>
    </row>
    <row r="24" spans="1:31" ht="13.5" thickBot="1" x14ac:dyDescent="0.25">
      <c r="A24" s="90">
        <v>41213</v>
      </c>
      <c r="B24" s="109">
        <f>'Purchased Power Model'!B24</f>
        <v>55200719</v>
      </c>
      <c r="C24" s="105">
        <f>'Purchased Power Model'!$C$194</f>
        <v>314.25855263157882</v>
      </c>
      <c r="D24" s="105">
        <f>'Purchased Power Model'!$D$194</f>
        <v>0.33421052631578618</v>
      </c>
      <c r="E24" s="91">
        <v>1</v>
      </c>
      <c r="F24" s="91">
        <v>31</v>
      </c>
      <c r="G24" s="108">
        <v>22</v>
      </c>
      <c r="H24" s="109">
        <f>'Purchased Power Model'!H24</f>
        <v>33055</v>
      </c>
      <c r="I24" s="112">
        <v>352</v>
      </c>
      <c r="J24" s="118">
        <f t="shared" si="7"/>
        <v>1.0446059893380324</v>
      </c>
      <c r="K24" s="129" t="e">
        <f>#REF!</f>
        <v>#REF!</v>
      </c>
      <c r="L24" s="93" t="e">
        <f t="shared" si="0"/>
        <v>#REF!</v>
      </c>
      <c r="M24" s="93" t="e">
        <f t="shared" si="1"/>
        <v>#REF!</v>
      </c>
      <c r="N24" s="110">
        <v>144.42705100290087</v>
      </c>
      <c r="O24" s="91">
        <v>190.6</v>
      </c>
      <c r="P24" s="91">
        <v>19</v>
      </c>
      <c r="Q24" s="108">
        <f t="shared" si="2"/>
        <v>55658775.336231433</v>
      </c>
      <c r="R24" s="36">
        <f t="shared" si="3"/>
        <v>458056.33623143286</v>
      </c>
      <c r="S24" s="58">
        <f t="shared" si="4"/>
        <v>8.2980139485399253E-3</v>
      </c>
      <c r="T24" s="13">
        <f t="shared" si="5"/>
        <v>8.2980139485399253E-3</v>
      </c>
      <c r="U24" s="113"/>
      <c r="V24" s="13"/>
      <c r="W24" s="24" t="s">
        <v>81</v>
      </c>
      <c r="X24" s="131">
        <v>-42.993090783467757</v>
      </c>
      <c r="Y24" s="24">
        <v>2521.0572987768824</v>
      </c>
      <c r="Z24" s="24">
        <v>-1.7053595253200438E-2</v>
      </c>
      <c r="AA24" s="24">
        <v>0.98642104920842089</v>
      </c>
      <c r="AB24" s="24">
        <v>-5032.4783720316336</v>
      </c>
      <c r="AC24" s="24">
        <v>4946.4921904646981</v>
      </c>
      <c r="AD24" s="24">
        <v>-5032.4783720316336</v>
      </c>
      <c r="AE24" s="24">
        <v>4946.4921904646981</v>
      </c>
    </row>
    <row r="25" spans="1:31" x14ac:dyDescent="0.2">
      <c r="A25" s="90">
        <v>41243</v>
      </c>
      <c r="B25" s="109">
        <f>'Purchased Power Model'!B25</f>
        <v>63048824</v>
      </c>
      <c r="C25" s="105">
        <f>'Purchased Power Model'!$C$195</f>
        <v>512.63131578947377</v>
      </c>
      <c r="D25" s="105">
        <f>'Purchased Power Model'!$D$195</f>
        <v>0</v>
      </c>
      <c r="E25" s="91">
        <v>1</v>
      </c>
      <c r="F25" s="91">
        <v>30</v>
      </c>
      <c r="G25" s="108">
        <v>23</v>
      </c>
      <c r="H25" s="109">
        <f>'Purchased Power Model'!H25</f>
        <v>33055</v>
      </c>
      <c r="I25" s="112">
        <v>352</v>
      </c>
      <c r="J25" s="118">
        <f t="shared" si="7"/>
        <v>1.0446059893380324</v>
      </c>
      <c r="K25" s="129" t="e">
        <f>#REF!</f>
        <v>#REF!</v>
      </c>
      <c r="L25" s="93" t="e">
        <f t="shared" si="0"/>
        <v>#REF!</v>
      </c>
      <c r="M25" s="93" t="e">
        <f t="shared" si="1"/>
        <v>#REF!</v>
      </c>
      <c r="N25" s="110">
        <v>144.63007888106955</v>
      </c>
      <c r="O25" s="91">
        <v>193.1</v>
      </c>
      <c r="P25" s="91">
        <v>18</v>
      </c>
      <c r="Q25" s="108">
        <f t="shared" si="2"/>
        <v>60799204.338594072</v>
      </c>
      <c r="R25" s="36">
        <f t="shared" si="3"/>
        <v>-2249619.6614059284</v>
      </c>
      <c r="S25" s="58">
        <f t="shared" si="4"/>
        <v>-3.5680596697662888E-2</v>
      </c>
      <c r="T25" s="13">
        <f t="shared" si="5"/>
        <v>3.5680596697662888E-2</v>
      </c>
      <c r="U25" s="113"/>
      <c r="V25" s="13"/>
      <c r="W25"/>
      <c r="X25"/>
    </row>
    <row r="26" spans="1:31" x14ac:dyDescent="0.2">
      <c r="A26" s="90">
        <v>41274</v>
      </c>
      <c r="B26" s="109">
        <f>'Purchased Power Model'!B26</f>
        <v>72665451</v>
      </c>
      <c r="C26" s="105">
        <f>'Purchased Power Model'!$C$196</f>
        <v>676.62442105263199</v>
      </c>
      <c r="D26" s="105">
        <f>'Purchased Power Model'!$D$196</f>
        <v>0</v>
      </c>
      <c r="E26" s="91">
        <v>0</v>
      </c>
      <c r="F26" s="91">
        <v>31</v>
      </c>
      <c r="G26" s="108">
        <v>24</v>
      </c>
      <c r="H26" s="109">
        <f>'Purchased Power Model'!H26</f>
        <v>33055</v>
      </c>
      <c r="I26" s="112">
        <v>304</v>
      </c>
      <c r="J26" s="118">
        <f t="shared" si="7"/>
        <v>1.0446059893380324</v>
      </c>
      <c r="K26" s="129" t="e">
        <f>#REF!</f>
        <v>#REF!</v>
      </c>
      <c r="L26" s="93" t="e">
        <f t="shared" si="0"/>
        <v>#REF!</v>
      </c>
      <c r="M26" s="93" t="e">
        <f t="shared" si="1"/>
        <v>#REF!</v>
      </c>
      <c r="N26" s="110">
        <v>144.83339216504706</v>
      </c>
      <c r="O26" s="91">
        <v>194.2</v>
      </c>
      <c r="P26" s="91">
        <v>18.7</v>
      </c>
      <c r="Q26" s="108">
        <f t="shared" si="2"/>
        <v>71024986.442443192</v>
      </c>
      <c r="R26" s="36">
        <f t="shared" si="3"/>
        <v>-1640464.557556808</v>
      </c>
      <c r="S26" s="58">
        <f t="shared" si="4"/>
        <v>-2.2575578008272569E-2</v>
      </c>
      <c r="T26" s="13">
        <f t="shared" si="5"/>
        <v>2.2575578008272569E-2</v>
      </c>
      <c r="U26" s="113"/>
      <c r="V26" s="13"/>
      <c r="W26"/>
      <c r="X26"/>
    </row>
    <row r="27" spans="1:31" x14ac:dyDescent="0.2">
      <c r="A27" s="90">
        <v>41305</v>
      </c>
      <c r="B27" s="109">
        <f>'Purchased Power Model'!B27</f>
        <v>77430385</v>
      </c>
      <c r="C27" s="105">
        <f>'Purchased Power Model'!$C$185</f>
        <v>815.92000000000007</v>
      </c>
      <c r="D27" s="105">
        <f>'Purchased Power Model'!$D$185</f>
        <v>0</v>
      </c>
      <c r="E27" s="91">
        <v>0</v>
      </c>
      <c r="F27" s="91">
        <v>31</v>
      </c>
      <c r="G27" s="108">
        <v>25</v>
      </c>
      <c r="H27" s="109">
        <f>'Purchased Power Model'!H27</f>
        <v>33306</v>
      </c>
      <c r="I27" s="91">
        <v>352</v>
      </c>
      <c r="J27" s="118">
        <f>'Rate Class Energy Model'!F8</f>
        <v>1.0614958266693164</v>
      </c>
      <c r="K27" s="129" t="e">
        <f>#REF!</f>
        <v>#REF!</v>
      </c>
      <c r="L27" s="93" t="e">
        <f t="shared" si="0"/>
        <v>#REF!</v>
      </c>
      <c r="M27" s="93" t="e">
        <f t="shared" si="1"/>
        <v>#REF!</v>
      </c>
      <c r="N27" s="110">
        <v>144.98936781896037</v>
      </c>
      <c r="O27" s="91">
        <v>193.9</v>
      </c>
      <c r="P27" s="91">
        <v>19.3</v>
      </c>
      <c r="Q27" s="108">
        <f t="shared" si="2"/>
        <v>75837269.204617664</v>
      </c>
      <c r="R27" s="36">
        <f t="shared" si="3"/>
        <v>-1593115.7953823358</v>
      </c>
      <c r="S27" s="58">
        <f t="shared" si="4"/>
        <v>-2.0574814336546766E-2</v>
      </c>
      <c r="T27" s="13">
        <f t="shared" si="5"/>
        <v>2.0574814336546766E-2</v>
      </c>
      <c r="U27" s="113"/>
      <c r="V27" s="13"/>
      <c r="W27"/>
      <c r="X27"/>
    </row>
    <row r="28" spans="1:31" x14ac:dyDescent="0.2">
      <c r="A28" s="90">
        <v>41333</v>
      </c>
      <c r="B28" s="109">
        <f>'Purchased Power Model'!B28</f>
        <v>69794850</v>
      </c>
      <c r="C28" s="105">
        <f>'Purchased Power Model'!$C$186</f>
        <v>792.03236842105298</v>
      </c>
      <c r="D28" s="105">
        <f>'Purchased Power Model'!$D$186</f>
        <v>0</v>
      </c>
      <c r="E28" s="91">
        <v>0</v>
      </c>
      <c r="F28" s="91">
        <v>28</v>
      </c>
      <c r="G28" s="108">
        <v>26</v>
      </c>
      <c r="H28" s="109">
        <f>'Purchased Power Model'!H28</f>
        <v>33306</v>
      </c>
      <c r="I28" s="91">
        <v>304</v>
      </c>
      <c r="J28" s="118">
        <f>J27</f>
        <v>1.0614958266693164</v>
      </c>
      <c r="K28" s="129" t="e">
        <f>#REF!</f>
        <v>#REF!</v>
      </c>
      <c r="L28" s="93" t="e">
        <f t="shared" si="0"/>
        <v>#REF!</v>
      </c>
      <c r="M28" s="93" t="e">
        <f t="shared" si="1"/>
        <v>#REF!</v>
      </c>
      <c r="N28" s="110">
        <v>145.14551144798114</v>
      </c>
      <c r="O28" s="91">
        <v>193.3</v>
      </c>
      <c r="P28" s="91">
        <v>19.2</v>
      </c>
      <c r="Q28" s="108">
        <f t="shared" si="2"/>
        <v>69787763.518911466</v>
      </c>
      <c r="R28" s="36">
        <f t="shared" si="3"/>
        <v>-7086.4810885339975</v>
      </c>
      <c r="S28" s="58">
        <f t="shared" si="4"/>
        <v>-1.0153300835998641E-4</v>
      </c>
      <c r="T28" s="13">
        <f t="shared" si="5"/>
        <v>1.0153300835998641E-4</v>
      </c>
      <c r="U28" s="113"/>
      <c r="V28" s="13"/>
      <c r="W28"/>
      <c r="X28"/>
    </row>
    <row r="29" spans="1:31" x14ac:dyDescent="0.2">
      <c r="A29" s="90">
        <v>41364</v>
      </c>
      <c r="B29" s="109">
        <f>'Purchased Power Model'!B29</f>
        <v>69264159</v>
      </c>
      <c r="C29" s="105">
        <f>'Purchased Power Model'!$C$187</f>
        <v>680.40842105263187</v>
      </c>
      <c r="D29" s="105">
        <f>'Purchased Power Model'!$D$187</f>
        <v>0</v>
      </c>
      <c r="E29" s="91">
        <v>1</v>
      </c>
      <c r="F29" s="91">
        <v>31</v>
      </c>
      <c r="G29" s="108">
        <v>27</v>
      </c>
      <c r="H29" s="109">
        <f>'Purchased Power Model'!H29</f>
        <v>33306</v>
      </c>
      <c r="I29" s="91">
        <v>320</v>
      </c>
      <c r="J29" s="118">
        <f t="shared" ref="J29:J38" si="8">J28</f>
        <v>1.0614958266693164</v>
      </c>
      <c r="K29" s="129" t="e">
        <f>#REF!</f>
        <v>#REF!</v>
      </c>
      <c r="L29" s="93" t="e">
        <f t="shared" si="0"/>
        <v>#REF!</v>
      </c>
      <c r="M29" s="93" t="e">
        <f t="shared" si="1"/>
        <v>#REF!</v>
      </c>
      <c r="N29" s="110">
        <v>145.30182323300707</v>
      </c>
      <c r="O29" s="91">
        <v>193.6</v>
      </c>
      <c r="P29" s="91">
        <v>18.399999999999999</v>
      </c>
      <c r="Q29" s="108">
        <f t="shared" si="2"/>
        <v>68128318.325487852</v>
      </c>
      <c r="R29" s="36">
        <f t="shared" si="3"/>
        <v>-1135840.6745121479</v>
      </c>
      <c r="S29" s="58">
        <f t="shared" si="4"/>
        <v>-1.6398678492756232E-2</v>
      </c>
      <c r="T29" s="13">
        <f t="shared" si="5"/>
        <v>1.6398678492756232E-2</v>
      </c>
      <c r="U29" s="113"/>
      <c r="V29" s="13"/>
      <c r="W29"/>
      <c r="X29"/>
    </row>
    <row r="30" spans="1:31" x14ac:dyDescent="0.2">
      <c r="A30" s="90">
        <v>41394</v>
      </c>
      <c r="B30" s="109">
        <f>'Purchased Power Model'!B30</f>
        <v>62490524</v>
      </c>
      <c r="C30" s="105">
        <f>'Purchased Power Model'!$C$188</f>
        <v>477.98717105263131</v>
      </c>
      <c r="D30" s="105">
        <f>'Purchased Power Model'!$D$188</f>
        <v>-0.22473684210527267</v>
      </c>
      <c r="E30" s="91">
        <v>1</v>
      </c>
      <c r="F30" s="91">
        <v>30</v>
      </c>
      <c r="G30" s="108">
        <v>28</v>
      </c>
      <c r="H30" s="109">
        <f>'Purchased Power Model'!H30</f>
        <v>33294</v>
      </c>
      <c r="I30" s="91">
        <v>352</v>
      </c>
      <c r="J30" s="118">
        <f t="shared" si="8"/>
        <v>1.0614958266693164</v>
      </c>
      <c r="K30" s="129" t="e">
        <f>#REF!</f>
        <v>#REF!</v>
      </c>
      <c r="L30" s="93" t="e">
        <f t="shared" si="0"/>
        <v>#REF!</v>
      </c>
      <c r="M30" s="93" t="e">
        <f t="shared" si="1"/>
        <v>#REF!</v>
      </c>
      <c r="N30" s="110">
        <v>145.45830335513068</v>
      </c>
      <c r="O30" s="91">
        <v>193.6</v>
      </c>
      <c r="P30" s="91">
        <v>17.399999999999999</v>
      </c>
      <c r="Q30" s="108">
        <f t="shared" si="2"/>
        <v>59215564.071333721</v>
      </c>
      <c r="R30" s="36">
        <f t="shared" si="3"/>
        <v>-3274959.9286662787</v>
      </c>
      <c r="S30" s="58">
        <f t="shared" si="4"/>
        <v>-5.2407304644561448E-2</v>
      </c>
      <c r="T30" s="13">
        <f t="shared" si="5"/>
        <v>5.2407304644561448E-2</v>
      </c>
      <c r="U30" s="113"/>
      <c r="V30" s="13"/>
      <c r="W30"/>
      <c r="X30"/>
    </row>
    <row r="31" spans="1:31" x14ac:dyDescent="0.2">
      <c r="A31" s="90">
        <v>41425</v>
      </c>
      <c r="B31" s="109">
        <f>'Purchased Power Model'!B31</f>
        <v>51260742</v>
      </c>
      <c r="C31" s="105">
        <f>'Purchased Power Model'!$C$189</f>
        <v>268.88736842105254</v>
      </c>
      <c r="D31" s="105">
        <f>'Purchased Power Model'!$D$189</f>
        <v>6.1286842105262735</v>
      </c>
      <c r="E31" s="91">
        <v>1</v>
      </c>
      <c r="F31" s="91">
        <v>31</v>
      </c>
      <c r="G31" s="108">
        <v>29</v>
      </c>
      <c r="H31" s="109">
        <f>'Purchased Power Model'!H31</f>
        <v>33294</v>
      </c>
      <c r="I31" s="91">
        <v>352</v>
      </c>
      <c r="J31" s="118">
        <f t="shared" si="8"/>
        <v>1.0614958266693164</v>
      </c>
      <c r="K31" s="129" t="e">
        <f>#REF!</f>
        <v>#REF!</v>
      </c>
      <c r="L31" s="93" t="e">
        <f t="shared" si="0"/>
        <v>#REF!</v>
      </c>
      <c r="M31" s="93" t="e">
        <f t="shared" si="1"/>
        <v>#REF!</v>
      </c>
      <c r="N31" s="110">
        <v>145.6149519956395</v>
      </c>
      <c r="O31" s="91">
        <v>195.9</v>
      </c>
      <c r="P31" s="91">
        <v>15.8</v>
      </c>
      <c r="Q31" s="108">
        <f t="shared" si="2"/>
        <v>54307025.861675426</v>
      </c>
      <c r="R31" s="36">
        <f t="shared" si="3"/>
        <v>3046283.8616754264</v>
      </c>
      <c r="S31" s="58">
        <f t="shared" si="4"/>
        <v>5.9427229158630329E-2</v>
      </c>
      <c r="T31" s="13">
        <f t="shared" si="5"/>
        <v>5.9427229158630329E-2</v>
      </c>
      <c r="U31" s="113"/>
      <c r="V31" s="13"/>
      <c r="W31"/>
      <c r="X31"/>
    </row>
    <row r="32" spans="1:31" x14ac:dyDescent="0.2">
      <c r="A32" s="90">
        <v>41455</v>
      </c>
      <c r="B32" s="109">
        <f>'Purchased Power Model'!B32</f>
        <v>48246051</v>
      </c>
      <c r="C32" s="105">
        <f>'Purchased Power Model'!$C$190</f>
        <v>108.18519736842109</v>
      </c>
      <c r="D32" s="105">
        <f>'Purchased Power Model'!$D$190</f>
        <v>9.8162499999998545</v>
      </c>
      <c r="E32" s="91">
        <v>0</v>
      </c>
      <c r="F32" s="91">
        <v>30</v>
      </c>
      <c r="G32" s="108">
        <v>30</v>
      </c>
      <c r="H32" s="109">
        <f>'Purchased Power Model'!H32</f>
        <v>33294</v>
      </c>
      <c r="I32" s="91">
        <v>320</v>
      </c>
      <c r="J32" s="118">
        <f t="shared" si="8"/>
        <v>1.0614958266693164</v>
      </c>
      <c r="K32" s="129" t="e">
        <f>#REF!</f>
        <v>#REF!</v>
      </c>
      <c r="L32" s="93" t="e">
        <f t="shared" si="0"/>
        <v>#REF!</v>
      </c>
      <c r="M32" s="93" t="e">
        <f t="shared" si="1"/>
        <v>#REF!</v>
      </c>
      <c r="N32" s="110">
        <v>145.77176933601632</v>
      </c>
      <c r="O32" s="91">
        <v>199</v>
      </c>
      <c r="P32" s="91">
        <v>14.9</v>
      </c>
      <c r="Q32" s="108">
        <f t="shared" si="2"/>
        <v>50160017.971209332</v>
      </c>
      <c r="R32" s="36">
        <f t="shared" si="3"/>
        <v>1913966.9712093323</v>
      </c>
      <c r="S32" s="58">
        <f t="shared" si="4"/>
        <v>3.9670956099792133E-2</v>
      </c>
      <c r="T32" s="13">
        <f t="shared" si="5"/>
        <v>3.9670956099792133E-2</v>
      </c>
      <c r="U32" s="113"/>
      <c r="V32" s="13"/>
      <c r="W32"/>
      <c r="X32"/>
    </row>
    <row r="33" spans="1:24" x14ac:dyDescent="0.2">
      <c r="A33" s="90">
        <v>41486</v>
      </c>
      <c r="B33" s="109">
        <f>'Purchased Power Model'!B33</f>
        <v>52370705</v>
      </c>
      <c r="C33" s="105">
        <f>'Purchased Power Model'!$C$191</f>
        <v>34.833684210526314</v>
      </c>
      <c r="D33" s="105">
        <f>'Purchased Power Model'!$D$191</f>
        <v>34.756973684210607</v>
      </c>
      <c r="E33" s="91">
        <v>0</v>
      </c>
      <c r="F33" s="91">
        <v>31</v>
      </c>
      <c r="G33" s="108">
        <v>31</v>
      </c>
      <c r="H33" s="109">
        <f>'Purchased Power Model'!H33</f>
        <v>33515</v>
      </c>
      <c r="I33" s="91">
        <v>352</v>
      </c>
      <c r="J33" s="118">
        <f t="shared" si="8"/>
        <v>1.0614958266693164</v>
      </c>
      <c r="K33" s="129" t="e">
        <f>#REF!</f>
        <v>#REF!</v>
      </c>
      <c r="L33" s="93" t="e">
        <f t="shared" si="0"/>
        <v>#REF!</v>
      </c>
      <c r="M33" s="93" t="e">
        <f t="shared" si="1"/>
        <v>#REF!</v>
      </c>
      <c r="N33" s="110">
        <v>145.92875555793933</v>
      </c>
      <c r="O33" s="91">
        <v>203.9</v>
      </c>
      <c r="P33" s="91">
        <v>14</v>
      </c>
      <c r="Q33" s="108">
        <f t="shared" si="2"/>
        <v>52292552.388319746</v>
      </c>
      <c r="R33" s="36">
        <f t="shared" si="3"/>
        <v>-78152.61168025434</v>
      </c>
      <c r="S33" s="58">
        <f t="shared" si="4"/>
        <v>-1.4922963454521824E-3</v>
      </c>
      <c r="T33" s="13">
        <f t="shared" si="5"/>
        <v>1.4922963454521824E-3</v>
      </c>
      <c r="U33" s="113"/>
      <c r="V33" s="13"/>
      <c r="W33" s="6"/>
      <c r="X33" s="43"/>
    </row>
    <row r="34" spans="1:24" x14ac:dyDescent="0.2">
      <c r="A34" s="90">
        <v>41517</v>
      </c>
      <c r="B34" s="109">
        <f>'Purchased Power Model'!B34</f>
        <v>51254455</v>
      </c>
      <c r="C34" s="105">
        <f>'Purchased Power Model'!$C$192</f>
        <v>36.201578947368432</v>
      </c>
      <c r="D34" s="105">
        <f>'Purchased Power Model'!$D$192</f>
        <v>34.614736842105259</v>
      </c>
      <c r="E34" s="91">
        <v>0</v>
      </c>
      <c r="F34" s="91">
        <v>31</v>
      </c>
      <c r="G34" s="108">
        <v>32</v>
      </c>
      <c r="H34" s="109">
        <f>'Purchased Power Model'!H34</f>
        <v>33515</v>
      </c>
      <c r="I34" s="91">
        <v>336</v>
      </c>
      <c r="J34" s="118">
        <f t="shared" si="8"/>
        <v>1.0614958266693164</v>
      </c>
      <c r="K34" s="129" t="e">
        <f>#REF!</f>
        <v>#REF!</v>
      </c>
      <c r="L34" s="93" t="e">
        <f t="shared" si="0"/>
        <v>#REF!</v>
      </c>
      <c r="M34" s="93" t="e">
        <f t="shared" si="1"/>
        <v>#REF!</v>
      </c>
      <c r="N34" s="110">
        <v>146.08591084328242</v>
      </c>
      <c r="O34" s="91">
        <v>205</v>
      </c>
      <c r="P34" s="91">
        <v>14.4</v>
      </c>
      <c r="Q34" s="108">
        <f t="shared" si="2"/>
        <v>52257114.168058045</v>
      </c>
      <c r="R34" s="36">
        <f t="shared" si="3"/>
        <v>1002659.1680580452</v>
      </c>
      <c r="S34" s="58">
        <f t="shared" si="4"/>
        <v>1.9562380832223173E-2</v>
      </c>
      <c r="T34" s="13">
        <f t="shared" si="5"/>
        <v>1.9562380832223173E-2</v>
      </c>
      <c r="U34" s="113"/>
      <c r="V34" s="13"/>
      <c r="W34" s="6"/>
      <c r="X34" s="43"/>
    </row>
    <row r="35" spans="1:24" x14ac:dyDescent="0.2">
      <c r="A35" s="90">
        <v>41547</v>
      </c>
      <c r="B35" s="109">
        <f>'Purchased Power Model'!B35</f>
        <v>48184318</v>
      </c>
      <c r="C35" s="105">
        <f>'Purchased Power Model'!$C$193</f>
        <v>139.78578947368442</v>
      </c>
      <c r="D35" s="105">
        <f>'Purchased Power Model'!$D$193</f>
        <v>7.7718421052632038</v>
      </c>
      <c r="E35" s="91">
        <v>1</v>
      </c>
      <c r="F35" s="91">
        <v>30</v>
      </c>
      <c r="G35" s="108">
        <v>33</v>
      </c>
      <c r="H35" s="109">
        <f>'Purchased Power Model'!H35</f>
        <v>33515</v>
      </c>
      <c r="I35" s="91">
        <v>320</v>
      </c>
      <c r="J35" s="118">
        <f t="shared" si="8"/>
        <v>1.0614958266693164</v>
      </c>
      <c r="K35" s="129" t="e">
        <f>#REF!</f>
        <v>#REF!</v>
      </c>
      <c r="L35" s="93" t="e">
        <f t="shared" ref="L35:L66" si="9">K35*J35</f>
        <v>#REF!</v>
      </c>
      <c r="M35" s="93" t="e">
        <f t="shared" ref="M35:M66" si="10">B35+L35</f>
        <v>#REF!</v>
      </c>
      <c r="N35" s="110">
        <v>146.2432353741153</v>
      </c>
      <c r="O35" s="91">
        <v>203.1</v>
      </c>
      <c r="P35" s="91">
        <v>14.2</v>
      </c>
      <c r="Q35" s="108">
        <f t="shared" ref="Q35:Q66" si="11">$X$18+C35*$X$19+D35*$X$20+E35*$X$21+F35*$X$22+G35*$X$23+ H35*$X$24</f>
        <v>47989511.695870675</v>
      </c>
      <c r="R35" s="36">
        <f t="shared" ref="R35:R66" si="12">Q35-B35</f>
        <v>-194806.30412932485</v>
      </c>
      <c r="S35" s="58">
        <f t="shared" ref="S35:S66" si="13">R35/B35</f>
        <v>-4.0429399484148525E-3</v>
      </c>
      <c r="T35" s="13">
        <f t="shared" si="5"/>
        <v>4.0429399484148525E-3</v>
      </c>
      <c r="U35" s="113"/>
      <c r="V35" s="13"/>
      <c r="W35" s="6"/>
      <c r="X35" s="43"/>
    </row>
    <row r="36" spans="1:24" x14ac:dyDescent="0.2">
      <c r="A36" s="90">
        <v>41578</v>
      </c>
      <c r="B36" s="109">
        <f>'Purchased Power Model'!B36</f>
        <v>54286247</v>
      </c>
      <c r="C36" s="105">
        <f>'Purchased Power Model'!$C$194</f>
        <v>314.25855263157882</v>
      </c>
      <c r="D36" s="105">
        <f>'Purchased Power Model'!$D$194</f>
        <v>0.33421052631578618</v>
      </c>
      <c r="E36" s="91">
        <v>1</v>
      </c>
      <c r="F36" s="91">
        <v>31</v>
      </c>
      <c r="G36" s="108">
        <v>34</v>
      </c>
      <c r="H36" s="109">
        <f>'Purchased Power Model'!H36</f>
        <v>33393</v>
      </c>
      <c r="I36" s="91">
        <v>352</v>
      </c>
      <c r="J36" s="118">
        <f t="shared" si="8"/>
        <v>1.0614958266693164</v>
      </c>
      <c r="K36" s="129" t="e">
        <f>#REF!</f>
        <v>#REF!</v>
      </c>
      <c r="L36" s="93" t="e">
        <f t="shared" si="9"/>
        <v>#REF!</v>
      </c>
      <c r="M36" s="93" t="e">
        <f t="shared" si="10"/>
        <v>#REF!</v>
      </c>
      <c r="N36" s="110">
        <v>146.4007293327038</v>
      </c>
      <c r="O36" s="91">
        <v>200.2</v>
      </c>
      <c r="P36" s="91">
        <v>14.7</v>
      </c>
      <c r="Q36" s="108">
        <f t="shared" si="11"/>
        <v>54852780.853899091</v>
      </c>
      <c r="R36" s="36">
        <f t="shared" si="12"/>
        <v>566533.85389909148</v>
      </c>
      <c r="S36" s="58">
        <f t="shared" si="13"/>
        <v>1.0436047529664216E-2</v>
      </c>
      <c r="T36" s="13">
        <f t="shared" si="5"/>
        <v>1.0436047529664216E-2</v>
      </c>
      <c r="U36" s="113"/>
      <c r="V36" s="13"/>
      <c r="W36" s="6"/>
      <c r="X36" s="43"/>
    </row>
    <row r="37" spans="1:24" x14ac:dyDescent="0.2">
      <c r="A37" s="90">
        <v>41608</v>
      </c>
      <c r="B37" s="109">
        <f>'Purchased Power Model'!B37</f>
        <v>64675563</v>
      </c>
      <c r="C37" s="105">
        <f>'Purchased Power Model'!$C$195</f>
        <v>512.63131578947377</v>
      </c>
      <c r="D37" s="105">
        <f>'Purchased Power Model'!$D$195</f>
        <v>0</v>
      </c>
      <c r="E37" s="91">
        <v>1</v>
      </c>
      <c r="F37" s="91">
        <v>30</v>
      </c>
      <c r="G37" s="108">
        <v>35</v>
      </c>
      <c r="H37" s="109">
        <f>'Purchased Power Model'!H37</f>
        <v>33393</v>
      </c>
      <c r="I37" s="91">
        <v>336</v>
      </c>
      <c r="J37" s="118">
        <f t="shared" si="8"/>
        <v>1.0614958266693164</v>
      </c>
      <c r="K37" s="129" t="e">
        <f>#REF!</f>
        <v>#REF!</v>
      </c>
      <c r="L37" s="93" t="e">
        <f t="shared" si="9"/>
        <v>#REF!</v>
      </c>
      <c r="M37" s="93" t="e">
        <f t="shared" si="10"/>
        <v>#REF!</v>
      </c>
      <c r="N37" s="110">
        <v>146.55839290151005</v>
      </c>
      <c r="O37" s="91">
        <v>197.8</v>
      </c>
      <c r="P37" s="91">
        <v>14.1</v>
      </c>
      <c r="Q37" s="108">
        <f t="shared" si="11"/>
        <v>59993209.85626173</v>
      </c>
      <c r="R37" s="36">
        <f t="shared" si="12"/>
        <v>-4682353.1437382698</v>
      </c>
      <c r="S37" s="58">
        <f t="shared" si="13"/>
        <v>-7.2397562951841174E-2</v>
      </c>
      <c r="T37" s="13">
        <f t="shared" si="5"/>
        <v>7.2397562951841174E-2</v>
      </c>
      <c r="U37" s="113"/>
      <c r="V37" s="13"/>
      <c r="W37" s="6"/>
      <c r="X37" s="43"/>
    </row>
    <row r="38" spans="1:24" x14ac:dyDescent="0.2">
      <c r="A38" s="90">
        <v>41639</v>
      </c>
      <c r="B38" s="109">
        <f>'Purchased Power Model'!B38</f>
        <v>81310312</v>
      </c>
      <c r="C38" s="105">
        <f>'Purchased Power Model'!$C$196</f>
        <v>676.62442105263199</v>
      </c>
      <c r="D38" s="105">
        <f>'Purchased Power Model'!$D$196</f>
        <v>0</v>
      </c>
      <c r="E38" s="91">
        <v>0</v>
      </c>
      <c r="F38" s="91">
        <v>31</v>
      </c>
      <c r="G38" s="108">
        <v>36</v>
      </c>
      <c r="H38" s="109">
        <f>'Purchased Power Model'!H38</f>
        <v>33393</v>
      </c>
      <c r="I38" s="91">
        <v>320</v>
      </c>
      <c r="J38" s="118">
        <f t="shared" si="8"/>
        <v>1.0614958266693164</v>
      </c>
      <c r="K38" s="129" t="e">
        <f>#REF!</f>
        <v>#REF!</v>
      </c>
      <c r="L38" s="93" t="e">
        <f t="shared" si="9"/>
        <v>#REF!</v>
      </c>
      <c r="M38" s="93" t="e">
        <f t="shared" si="10"/>
        <v>#REF!</v>
      </c>
      <c r="N38" s="110">
        <v>146.71622626319265</v>
      </c>
      <c r="O38" s="91">
        <v>196.9</v>
      </c>
      <c r="P38" s="91">
        <v>14.5</v>
      </c>
      <c r="Q38" s="108">
        <f t="shared" si="11"/>
        <v>70218991.960110843</v>
      </c>
      <c r="R38" s="36">
        <f t="shared" si="12"/>
        <v>-11091320.039889157</v>
      </c>
      <c r="S38" s="58">
        <f t="shared" si="13"/>
        <v>-0.13640729898920026</v>
      </c>
      <c r="T38" s="13">
        <f t="shared" si="5"/>
        <v>0.13640729898920026</v>
      </c>
      <c r="U38" s="113"/>
      <c r="V38" s="13"/>
      <c r="W38" s="6"/>
      <c r="X38" s="43"/>
    </row>
    <row r="39" spans="1:24" x14ac:dyDescent="0.2">
      <c r="A39" s="90">
        <v>41670</v>
      </c>
      <c r="B39" s="109">
        <f>'Purchased Power Model'!B39</f>
        <v>84076330.890000001</v>
      </c>
      <c r="C39" s="105">
        <f>'Purchased Power Model'!$C$185</f>
        <v>815.92000000000007</v>
      </c>
      <c r="D39" s="105">
        <f>'Purchased Power Model'!$D$185</f>
        <v>0</v>
      </c>
      <c r="E39" s="91">
        <v>0</v>
      </c>
      <c r="F39" s="91">
        <v>31</v>
      </c>
      <c r="G39" s="108">
        <v>37</v>
      </c>
      <c r="H39" s="109">
        <f>'Purchased Power Model'!H39</f>
        <v>33166</v>
      </c>
      <c r="I39" s="91">
        <v>352</v>
      </c>
      <c r="J39" s="118">
        <f>'Rate Class Energy Model'!F9</f>
        <v>1.0408170385773401</v>
      </c>
      <c r="K39" s="129" t="e">
        <f>#REF!</f>
        <v>#REF!</v>
      </c>
      <c r="L39" s="93" t="e">
        <f t="shared" si="9"/>
        <v>#REF!</v>
      </c>
      <c r="M39" s="93" t="e">
        <f t="shared" si="10"/>
        <v>#REF!</v>
      </c>
      <c r="N39" s="110">
        <v>146.94652822408554</v>
      </c>
      <c r="O39" s="91">
        <v>193.9</v>
      </c>
      <c r="P39" s="91">
        <v>14.9</v>
      </c>
      <c r="Q39" s="108">
        <f t="shared" si="11"/>
        <v>75051825.419679821</v>
      </c>
      <c r="R39" s="36">
        <f t="shared" si="12"/>
        <v>-9024505.4703201801</v>
      </c>
      <c r="S39" s="58">
        <f t="shared" si="13"/>
        <v>-0.10733705163855516</v>
      </c>
      <c r="T39" s="13">
        <f t="shared" si="5"/>
        <v>0.10733705163855516</v>
      </c>
      <c r="U39" s="113"/>
      <c r="V39" s="13"/>
      <c r="W39" s="6"/>
      <c r="X39" s="43"/>
    </row>
    <row r="40" spans="1:24" x14ac:dyDescent="0.2">
      <c r="A40" s="90">
        <v>41698</v>
      </c>
      <c r="B40" s="109">
        <f>'Purchased Power Model'!B40</f>
        <v>73283049.849999994</v>
      </c>
      <c r="C40" s="105">
        <f>'Purchased Power Model'!$C$186</f>
        <v>792.03236842105298</v>
      </c>
      <c r="D40" s="105">
        <f>'Purchased Power Model'!$D$186</f>
        <v>0</v>
      </c>
      <c r="E40" s="91">
        <v>0</v>
      </c>
      <c r="F40" s="91">
        <v>28</v>
      </c>
      <c r="G40" s="108">
        <v>38</v>
      </c>
      <c r="H40" s="109">
        <f>'Purchased Power Model'!H40</f>
        <v>33166</v>
      </c>
      <c r="I40" s="91">
        <v>304</v>
      </c>
      <c r="J40" s="118">
        <f>J39</f>
        <v>1.0408170385773401</v>
      </c>
      <c r="K40" s="129" t="e">
        <f>#REF!</f>
        <v>#REF!</v>
      </c>
      <c r="L40" s="93" t="e">
        <f t="shared" si="9"/>
        <v>#REF!</v>
      </c>
      <c r="M40" s="93" t="e">
        <f t="shared" si="10"/>
        <v>#REF!</v>
      </c>
      <c r="N40" s="110">
        <v>147.17719169232183</v>
      </c>
      <c r="O40" s="91">
        <v>193.1</v>
      </c>
      <c r="P40" s="91">
        <v>15.4</v>
      </c>
      <c r="Q40" s="108">
        <f t="shared" si="11"/>
        <v>69002319.733973622</v>
      </c>
      <c r="R40" s="36">
        <f t="shared" si="12"/>
        <v>-4280730.1160263717</v>
      </c>
      <c r="S40" s="58">
        <f t="shared" si="13"/>
        <v>-5.8413645785600064E-2</v>
      </c>
      <c r="T40" s="13">
        <f t="shared" si="5"/>
        <v>5.8413645785600064E-2</v>
      </c>
      <c r="U40" s="113"/>
      <c r="V40" s="13"/>
      <c r="W40" s="6"/>
      <c r="X40" s="43"/>
    </row>
    <row r="41" spans="1:24" x14ac:dyDescent="0.2">
      <c r="A41" s="90">
        <v>41729</v>
      </c>
      <c r="B41" s="109">
        <f>'Purchased Power Model'!B41</f>
        <v>75936435.359999999</v>
      </c>
      <c r="C41" s="105">
        <f>'Purchased Power Model'!$C$187</f>
        <v>680.40842105263187</v>
      </c>
      <c r="D41" s="105">
        <f>'Purchased Power Model'!$D$187</f>
        <v>0</v>
      </c>
      <c r="E41" s="91">
        <v>1</v>
      </c>
      <c r="F41" s="91">
        <v>31</v>
      </c>
      <c r="G41" s="108">
        <v>39</v>
      </c>
      <c r="H41" s="109">
        <f>'Purchased Power Model'!H41</f>
        <v>33166</v>
      </c>
      <c r="I41" s="91">
        <v>336</v>
      </c>
      <c r="J41" s="118">
        <f t="shared" ref="J41:J50" si="14">J40</f>
        <v>1.0408170385773401</v>
      </c>
      <c r="K41" s="129" t="e">
        <f>#REF!</f>
        <v>#REF!</v>
      </c>
      <c r="L41" s="93" t="e">
        <f t="shared" si="9"/>
        <v>#REF!</v>
      </c>
      <c r="M41" s="93" t="e">
        <f t="shared" si="10"/>
        <v>#REF!</v>
      </c>
      <c r="N41" s="110">
        <v>147.40821723536328</v>
      </c>
      <c r="O41" s="91">
        <v>193.3</v>
      </c>
      <c r="P41" s="91">
        <v>15.5</v>
      </c>
      <c r="Q41" s="108">
        <f t="shared" si="11"/>
        <v>67342874.540550008</v>
      </c>
      <c r="R41" s="36">
        <f t="shared" si="12"/>
        <v>-8593560.819449991</v>
      </c>
      <c r="S41" s="58">
        <f t="shared" si="13"/>
        <v>-0.11316781962057576</v>
      </c>
      <c r="T41" s="13">
        <f t="shared" si="5"/>
        <v>0.11316781962057576</v>
      </c>
      <c r="U41" s="113"/>
      <c r="V41" s="13"/>
      <c r="W41" s="6"/>
      <c r="X41" s="43"/>
    </row>
    <row r="42" spans="1:24" x14ac:dyDescent="0.2">
      <c r="A42" s="90">
        <v>41759</v>
      </c>
      <c r="B42" s="109">
        <f>'Purchased Power Model'!B42</f>
        <v>60945927.880000003</v>
      </c>
      <c r="C42" s="105">
        <f>'Purchased Power Model'!$C$188</f>
        <v>477.98717105263131</v>
      </c>
      <c r="D42" s="105">
        <f>'Purchased Power Model'!$D$188</f>
        <v>-0.22473684210527267</v>
      </c>
      <c r="E42" s="91">
        <v>1</v>
      </c>
      <c r="F42" s="91">
        <v>30</v>
      </c>
      <c r="G42" s="108">
        <v>40</v>
      </c>
      <c r="H42" s="109">
        <f>'Purchased Power Model'!H42</f>
        <v>33415</v>
      </c>
      <c r="I42" s="91">
        <v>320</v>
      </c>
      <c r="J42" s="118">
        <f t="shared" si="14"/>
        <v>1.0408170385773401</v>
      </c>
      <c r="K42" s="129" t="e">
        <f>#REF!</f>
        <v>#REF!</v>
      </c>
      <c r="L42" s="93" t="e">
        <f t="shared" si="9"/>
        <v>#REF!</v>
      </c>
      <c r="M42" s="93" t="e">
        <f t="shared" si="10"/>
        <v>#REF!</v>
      </c>
      <c r="N42" s="110">
        <v>147.63960542156246</v>
      </c>
      <c r="O42" s="91">
        <v>195.9</v>
      </c>
      <c r="P42" s="91">
        <v>15.2</v>
      </c>
      <c r="Q42" s="108">
        <f t="shared" si="11"/>
        <v>58418899.089701384</v>
      </c>
      <c r="R42" s="36">
        <f t="shared" si="12"/>
        <v>-2527028.7902986184</v>
      </c>
      <c r="S42" s="58">
        <f t="shared" si="13"/>
        <v>-4.1463455856710116E-2</v>
      </c>
      <c r="T42" s="13">
        <f t="shared" si="5"/>
        <v>4.1463455856710116E-2</v>
      </c>
      <c r="U42" s="113"/>
      <c r="V42" s="13"/>
      <c r="W42"/>
      <c r="X42"/>
    </row>
    <row r="43" spans="1:24" x14ac:dyDescent="0.2">
      <c r="A43" s="90">
        <v>41790</v>
      </c>
      <c r="B43" s="109">
        <f>'Purchased Power Model'!B43</f>
        <v>53127584.270000003</v>
      </c>
      <c r="C43" s="105">
        <f>'Purchased Power Model'!$C$189</f>
        <v>268.88736842105254</v>
      </c>
      <c r="D43" s="105">
        <f>'Purchased Power Model'!$D$189</f>
        <v>6.1286842105262735</v>
      </c>
      <c r="E43" s="91">
        <v>1</v>
      </c>
      <c r="F43" s="91">
        <v>31</v>
      </c>
      <c r="G43" s="108">
        <v>41</v>
      </c>
      <c r="H43" s="109">
        <f>'Purchased Power Model'!H43</f>
        <v>33415</v>
      </c>
      <c r="I43" s="91">
        <v>336</v>
      </c>
      <c r="J43" s="118">
        <f t="shared" si="14"/>
        <v>1.0408170385773401</v>
      </c>
      <c r="K43" s="129" t="e">
        <f>#REF!</f>
        <v>#REF!</v>
      </c>
      <c r="L43" s="93" t="e">
        <f t="shared" si="9"/>
        <v>#REF!</v>
      </c>
      <c r="M43" s="93" t="e">
        <f t="shared" si="10"/>
        <v>#REF!</v>
      </c>
      <c r="N43" s="110">
        <v>147.87135682016401</v>
      </c>
      <c r="O43" s="91">
        <v>199</v>
      </c>
      <c r="P43" s="91">
        <v>16</v>
      </c>
      <c r="Q43" s="108">
        <f t="shared" si="11"/>
        <v>53510360.880043089</v>
      </c>
      <c r="R43" s="36">
        <f t="shared" si="12"/>
        <v>382776.61004308611</v>
      </c>
      <c r="S43" s="58">
        <f t="shared" si="13"/>
        <v>7.2048562964537382E-3</v>
      </c>
      <c r="T43" s="13">
        <f t="shared" si="5"/>
        <v>7.2048562964537382E-3</v>
      </c>
      <c r="U43" s="113"/>
      <c r="V43" s="13"/>
      <c r="W43"/>
      <c r="X43"/>
    </row>
    <row r="44" spans="1:24" x14ac:dyDescent="0.2">
      <c r="A44" s="90">
        <v>41820</v>
      </c>
      <c r="B44" s="109">
        <f>'Purchased Power Model'!B44</f>
        <v>47524355.130000003</v>
      </c>
      <c r="C44" s="105">
        <f>'Purchased Power Model'!$C$190</f>
        <v>108.18519736842109</v>
      </c>
      <c r="D44" s="105">
        <f>'Purchased Power Model'!$D$190</f>
        <v>9.8162499999998545</v>
      </c>
      <c r="E44" s="91">
        <v>0</v>
      </c>
      <c r="F44" s="91">
        <v>30</v>
      </c>
      <c r="G44" s="108">
        <v>42</v>
      </c>
      <c r="H44" s="109">
        <f>'Purchased Power Model'!H44</f>
        <v>33415</v>
      </c>
      <c r="I44" s="91">
        <v>336</v>
      </c>
      <c r="J44" s="118">
        <f t="shared" si="14"/>
        <v>1.0408170385773401</v>
      </c>
      <c r="K44" s="129" t="e">
        <f>#REF!</f>
        <v>#REF!</v>
      </c>
      <c r="L44" s="93" t="e">
        <f t="shared" si="9"/>
        <v>#REF!</v>
      </c>
      <c r="M44" s="93" t="e">
        <f t="shared" si="10"/>
        <v>#REF!</v>
      </c>
      <c r="N44" s="110">
        <v>148.10347200130616</v>
      </c>
      <c r="O44" s="91">
        <v>204.6</v>
      </c>
      <c r="P44" s="91">
        <v>15.4</v>
      </c>
      <c r="Q44" s="108">
        <f t="shared" si="11"/>
        <v>49363352.989577003</v>
      </c>
      <c r="R44" s="36">
        <f t="shared" si="12"/>
        <v>1838997.8595770001</v>
      </c>
      <c r="S44" s="58">
        <f t="shared" si="13"/>
        <v>3.8695903490884462E-2</v>
      </c>
      <c r="T44" s="13">
        <f t="shared" si="5"/>
        <v>3.8695903490884462E-2</v>
      </c>
      <c r="U44" s="113"/>
      <c r="V44" s="13"/>
      <c r="W44"/>
      <c r="X44"/>
    </row>
    <row r="45" spans="1:24" x14ac:dyDescent="0.2">
      <c r="A45" s="90">
        <v>41851</v>
      </c>
      <c r="B45" s="109">
        <f>'Purchased Power Model'!B45</f>
        <v>48026904.079999998</v>
      </c>
      <c r="C45" s="105">
        <f>'Purchased Power Model'!$C$191</f>
        <v>34.833684210526314</v>
      </c>
      <c r="D45" s="105">
        <f>'Purchased Power Model'!$D$191</f>
        <v>34.756973684210607</v>
      </c>
      <c r="E45" s="91">
        <v>0</v>
      </c>
      <c r="F45" s="91">
        <v>31</v>
      </c>
      <c r="G45" s="108">
        <v>43</v>
      </c>
      <c r="H45" s="109">
        <f>'Purchased Power Model'!H45</f>
        <v>33400</v>
      </c>
      <c r="I45" s="91">
        <v>352</v>
      </c>
      <c r="J45" s="118">
        <f t="shared" si="14"/>
        <v>1.0408170385773401</v>
      </c>
      <c r="K45" s="129" t="e">
        <f>#REF!</f>
        <v>#REF!</v>
      </c>
      <c r="L45" s="93" t="e">
        <f t="shared" si="9"/>
        <v>#REF!</v>
      </c>
      <c r="M45" s="93" t="e">
        <f t="shared" si="10"/>
        <v>#REF!</v>
      </c>
      <c r="N45" s="110">
        <v>148.33595153602209</v>
      </c>
      <c r="O45" s="91">
        <v>209.4</v>
      </c>
      <c r="P45" s="91">
        <v>16.600000000000001</v>
      </c>
      <c r="Q45" s="108">
        <f t="shared" si="11"/>
        <v>51506033.776112318</v>
      </c>
      <c r="R45" s="36">
        <f t="shared" si="12"/>
        <v>3479129.6961123198</v>
      </c>
      <c r="S45" s="58">
        <f t="shared" si="13"/>
        <v>7.2441265219115911E-2</v>
      </c>
      <c r="T45" s="13">
        <f t="shared" si="5"/>
        <v>7.2441265219115911E-2</v>
      </c>
      <c r="U45" s="113"/>
      <c r="V45" s="13"/>
      <c r="W45"/>
      <c r="X45"/>
    </row>
    <row r="46" spans="1:24" x14ac:dyDescent="0.2">
      <c r="A46" s="90">
        <v>41882</v>
      </c>
      <c r="B46" s="109">
        <f>'Purchased Power Model'!B46</f>
        <v>48878136.899999999</v>
      </c>
      <c r="C46" s="105">
        <f>'Purchased Power Model'!$C$192</f>
        <v>36.201578947368432</v>
      </c>
      <c r="D46" s="105">
        <f>'Purchased Power Model'!$D$192</f>
        <v>34.614736842105259</v>
      </c>
      <c r="E46" s="91">
        <v>0</v>
      </c>
      <c r="F46" s="91">
        <v>31</v>
      </c>
      <c r="G46" s="108">
        <v>44</v>
      </c>
      <c r="H46" s="109">
        <f>'Purchased Power Model'!H46</f>
        <v>33400</v>
      </c>
      <c r="I46" s="91">
        <v>320</v>
      </c>
      <c r="J46" s="118">
        <f t="shared" si="14"/>
        <v>1.0408170385773401</v>
      </c>
      <c r="K46" s="129" t="e">
        <f>#REF!</f>
        <v>#REF!</v>
      </c>
      <c r="L46" s="93" t="e">
        <f t="shared" si="9"/>
        <v>#REF!</v>
      </c>
      <c r="M46" s="93" t="e">
        <f t="shared" si="10"/>
        <v>#REF!</v>
      </c>
      <c r="N46" s="110">
        <v>148.56879599624133</v>
      </c>
      <c r="O46" s="111" t="s">
        <v>215</v>
      </c>
      <c r="P46" s="91">
        <v>17.5</v>
      </c>
      <c r="Q46" s="108">
        <f t="shared" si="11"/>
        <v>51470595.55585061</v>
      </c>
      <c r="R46" s="36">
        <f t="shared" si="12"/>
        <v>2592458.6558506116</v>
      </c>
      <c r="S46" s="58">
        <f t="shared" si="13"/>
        <v>5.3039228175872061E-2</v>
      </c>
      <c r="T46" s="13">
        <f t="shared" si="5"/>
        <v>5.3039228175872061E-2</v>
      </c>
      <c r="U46" s="113"/>
      <c r="V46" s="13"/>
      <c r="W46"/>
      <c r="X46"/>
    </row>
    <row r="47" spans="1:24" x14ac:dyDescent="0.2">
      <c r="A47" s="90">
        <v>41912</v>
      </c>
      <c r="B47" s="109">
        <f>'Purchased Power Model'!B47</f>
        <v>47959876.32</v>
      </c>
      <c r="C47" s="105">
        <f>'Purchased Power Model'!$C$193</f>
        <v>139.78578947368442</v>
      </c>
      <c r="D47" s="105">
        <f>'Purchased Power Model'!$D$193</f>
        <v>7.7718421052632038</v>
      </c>
      <c r="E47" s="91">
        <v>1</v>
      </c>
      <c r="F47" s="91">
        <v>30</v>
      </c>
      <c r="G47" s="108">
        <v>45</v>
      </c>
      <c r="H47" s="109">
        <f>'Purchased Power Model'!H47</f>
        <v>33400</v>
      </c>
      <c r="I47" s="91">
        <v>336</v>
      </c>
      <c r="J47" s="118">
        <f t="shared" si="14"/>
        <v>1.0408170385773401</v>
      </c>
      <c r="K47" s="129" t="e">
        <f>#REF!</f>
        <v>#REF!</v>
      </c>
      <c r="L47" s="93" t="e">
        <f t="shared" si="9"/>
        <v>#REF!</v>
      </c>
      <c r="M47" s="93" t="e">
        <f t="shared" si="10"/>
        <v>#REF!</v>
      </c>
      <c r="N47" s="110">
        <v>148.80200595479118</v>
      </c>
      <c r="O47" s="91"/>
      <c r="P47" s="91">
        <v>0</v>
      </c>
      <c r="Q47" s="108">
        <f t="shared" si="11"/>
        <v>47202993.08366324</v>
      </c>
      <c r="R47" s="36">
        <f t="shared" si="12"/>
        <v>-756883.23633676022</v>
      </c>
      <c r="S47" s="58">
        <f t="shared" si="13"/>
        <v>-1.5781592748209994E-2</v>
      </c>
      <c r="T47" s="13">
        <f t="shared" si="5"/>
        <v>1.5781592748209994E-2</v>
      </c>
      <c r="U47" s="113"/>
      <c r="V47" s="13"/>
      <c r="W47"/>
      <c r="X47"/>
    </row>
    <row r="48" spans="1:24" x14ac:dyDescent="0.2">
      <c r="A48" s="90">
        <v>41943</v>
      </c>
      <c r="B48" s="109">
        <f>'Purchased Power Model'!B48</f>
        <v>54613898.210000001</v>
      </c>
      <c r="C48" s="105">
        <f>'Purchased Power Model'!$C$194</f>
        <v>314.25855263157882</v>
      </c>
      <c r="D48" s="105">
        <f>'Purchased Power Model'!$D$194</f>
        <v>0.33421052631578618</v>
      </c>
      <c r="E48" s="91">
        <v>1</v>
      </c>
      <c r="F48" s="91">
        <v>31</v>
      </c>
      <c r="G48" s="108">
        <v>46</v>
      </c>
      <c r="H48" s="109">
        <f>'Purchased Power Model'!H48</f>
        <v>33513</v>
      </c>
      <c r="I48" s="91">
        <v>352</v>
      </c>
      <c r="J48" s="118">
        <f t="shared" si="14"/>
        <v>1.0408170385773401</v>
      </c>
      <c r="K48" s="129" t="e">
        <f>#REF!</f>
        <v>#REF!</v>
      </c>
      <c r="L48" s="93" t="e">
        <f t="shared" si="9"/>
        <v>#REF!</v>
      </c>
      <c r="M48" s="93" t="e">
        <f t="shared" si="10"/>
        <v>#REF!</v>
      </c>
      <c r="N48" s="110">
        <v>149.0355819853981</v>
      </c>
      <c r="O48" s="91"/>
      <c r="P48" s="91">
        <v>0</v>
      </c>
      <c r="Q48" s="108">
        <f t="shared" si="11"/>
        <v>54056158.865357541</v>
      </c>
      <c r="R48" s="36">
        <f t="shared" si="12"/>
        <v>-557739.34464246035</v>
      </c>
      <c r="S48" s="58">
        <f t="shared" si="13"/>
        <v>-1.0212406785134709E-2</v>
      </c>
      <c r="T48" s="13">
        <f t="shared" si="5"/>
        <v>1.0212406785134709E-2</v>
      </c>
      <c r="U48" s="113"/>
      <c r="V48" s="13"/>
      <c r="W48"/>
      <c r="X48"/>
    </row>
    <row r="49" spans="1:24" x14ac:dyDescent="0.2">
      <c r="A49" s="90">
        <v>41973</v>
      </c>
      <c r="B49" s="109">
        <f>'Purchased Power Model'!B49</f>
        <v>64852403.060000002</v>
      </c>
      <c r="C49" s="105">
        <f>'Purchased Power Model'!$C$195</f>
        <v>512.63131578947377</v>
      </c>
      <c r="D49" s="105">
        <f>'Purchased Power Model'!$D$195</f>
        <v>0</v>
      </c>
      <c r="E49" s="91">
        <v>1</v>
      </c>
      <c r="F49" s="91">
        <v>30</v>
      </c>
      <c r="G49" s="108">
        <v>47</v>
      </c>
      <c r="H49" s="109">
        <f>'Purchased Power Model'!H49</f>
        <v>33513</v>
      </c>
      <c r="I49" s="91">
        <v>304</v>
      </c>
      <c r="J49" s="118">
        <f t="shared" si="14"/>
        <v>1.0408170385773401</v>
      </c>
      <c r="K49" s="129" t="e">
        <f>#REF!</f>
        <v>#REF!</v>
      </c>
      <c r="L49" s="93" t="e">
        <f t="shared" si="9"/>
        <v>#REF!</v>
      </c>
      <c r="M49" s="93" t="e">
        <f t="shared" si="10"/>
        <v>#REF!</v>
      </c>
      <c r="N49" s="110">
        <v>149.26952466268912</v>
      </c>
      <c r="O49" s="91"/>
      <c r="P49" s="91">
        <v>0</v>
      </c>
      <c r="Q49" s="108">
        <f t="shared" si="11"/>
        <v>59196587.867720179</v>
      </c>
      <c r="R49" s="36">
        <f t="shared" si="12"/>
        <v>-5655815.1922798231</v>
      </c>
      <c r="S49" s="58">
        <f t="shared" si="13"/>
        <v>-8.7210572398484426E-2</v>
      </c>
      <c r="T49" s="13">
        <f t="shared" si="5"/>
        <v>8.7210572398484426E-2</v>
      </c>
      <c r="U49" s="113"/>
      <c r="V49" s="13"/>
      <c r="W49"/>
      <c r="X49"/>
    </row>
    <row r="50" spans="1:24" x14ac:dyDescent="0.2">
      <c r="A50" s="90">
        <v>42004</v>
      </c>
      <c r="B50" s="109">
        <f>'Purchased Power Model'!B50</f>
        <v>71265383.040000007</v>
      </c>
      <c r="C50" s="105">
        <f>'Purchased Power Model'!$C$196</f>
        <v>676.62442105263199</v>
      </c>
      <c r="D50" s="105">
        <f>'Purchased Power Model'!$D$196</f>
        <v>0</v>
      </c>
      <c r="E50" s="91">
        <v>0</v>
      </c>
      <c r="F50" s="91">
        <v>31</v>
      </c>
      <c r="G50" s="108">
        <v>48</v>
      </c>
      <c r="H50" s="109">
        <f>'Purchased Power Model'!H50</f>
        <v>33513</v>
      </c>
      <c r="I50" s="91">
        <v>336</v>
      </c>
      <c r="J50" s="118">
        <f t="shared" si="14"/>
        <v>1.0408170385773401</v>
      </c>
      <c r="K50" s="129" t="e">
        <f>#REF!</f>
        <v>#REF!</v>
      </c>
      <c r="L50" s="93" t="e">
        <f t="shared" si="9"/>
        <v>#REF!</v>
      </c>
      <c r="M50" s="93" t="e">
        <f t="shared" si="10"/>
        <v>#REF!</v>
      </c>
      <c r="N50" s="110">
        <v>149.5038345621933</v>
      </c>
      <c r="O50" s="91"/>
      <c r="P50" s="91">
        <v>0</v>
      </c>
      <c r="Q50" s="108">
        <f t="shared" si="11"/>
        <v>69422369.9715693</v>
      </c>
      <c r="R50" s="36">
        <f t="shared" si="12"/>
        <v>-1843013.0684307069</v>
      </c>
      <c r="S50" s="58">
        <f t="shared" si="13"/>
        <v>-2.5861266575895003E-2</v>
      </c>
      <c r="T50" s="13">
        <f t="shared" si="5"/>
        <v>2.5861266575895003E-2</v>
      </c>
      <c r="U50" s="113"/>
      <c r="V50" s="13"/>
      <c r="W50"/>
      <c r="X50"/>
    </row>
    <row r="51" spans="1:24" x14ac:dyDescent="0.2">
      <c r="A51" s="90">
        <v>42035</v>
      </c>
      <c r="B51" s="109">
        <f>'Purchased Power Model'!B51</f>
        <v>79807046.409999996</v>
      </c>
      <c r="C51" s="105">
        <f>'Purchased Power Model'!$C$185</f>
        <v>815.92000000000007</v>
      </c>
      <c r="D51" s="105">
        <f>'Purchased Power Model'!$D$185</f>
        <v>0</v>
      </c>
      <c r="E51" s="91">
        <v>0</v>
      </c>
      <c r="F51" s="91">
        <v>31</v>
      </c>
      <c r="G51" s="108">
        <v>49</v>
      </c>
      <c r="H51" s="109">
        <f>'Purchased Power Model'!H51</f>
        <v>33539</v>
      </c>
      <c r="I51" s="91">
        <v>336</v>
      </c>
      <c r="J51" s="118">
        <f>'Rate Class Energy Model'!F10</f>
        <v>1.0435171705156632</v>
      </c>
      <c r="K51" s="129" t="e">
        <f>#REF!</f>
        <v>#REF!</v>
      </c>
      <c r="L51" s="93" t="e">
        <f t="shared" si="9"/>
        <v>#REF!</v>
      </c>
      <c r="M51" s="93" t="e">
        <f t="shared" si="10"/>
        <v>#REF!</v>
      </c>
      <c r="N51" s="110">
        <v>149.79960271328571</v>
      </c>
      <c r="O51" s="91"/>
      <c r="P51" s="112">
        <v>0</v>
      </c>
      <c r="Q51" s="108">
        <f t="shared" si="11"/>
        <v>74244326.179170057</v>
      </c>
      <c r="R51" s="36">
        <f t="shared" si="12"/>
        <v>-5562720.2308299392</v>
      </c>
      <c r="S51" s="58">
        <f t="shared" si="13"/>
        <v>-6.9702118811064265E-2</v>
      </c>
      <c r="T51" s="13">
        <f t="shared" si="5"/>
        <v>6.9702118811064265E-2</v>
      </c>
      <c r="U51" s="113"/>
      <c r="V51" s="13"/>
      <c r="W51"/>
      <c r="X51"/>
    </row>
    <row r="52" spans="1:24" x14ac:dyDescent="0.2">
      <c r="A52" s="90">
        <v>42063</v>
      </c>
      <c r="B52" s="109">
        <f>'Purchased Power Model'!B52</f>
        <v>75728989.640000001</v>
      </c>
      <c r="C52" s="105">
        <f>'Purchased Power Model'!$C$186</f>
        <v>792.03236842105298</v>
      </c>
      <c r="D52" s="105">
        <f>'Purchased Power Model'!$D$186</f>
        <v>0</v>
      </c>
      <c r="E52" s="91">
        <v>0</v>
      </c>
      <c r="F52" s="91">
        <v>28</v>
      </c>
      <c r="G52" s="108">
        <v>50</v>
      </c>
      <c r="H52" s="109">
        <f>'Purchased Power Model'!H52</f>
        <v>33539</v>
      </c>
      <c r="I52" s="91">
        <v>304</v>
      </c>
      <c r="J52" s="118">
        <f>J51</f>
        <v>1.0435171705156632</v>
      </c>
      <c r="K52" s="129" t="e">
        <f>#REF!</f>
        <v>#REF!</v>
      </c>
      <c r="L52" s="93" t="e">
        <f t="shared" si="9"/>
        <v>#REF!</v>
      </c>
      <c r="M52" s="93" t="e">
        <f t="shared" si="10"/>
        <v>#REF!</v>
      </c>
      <c r="N52" s="110">
        <v>150.09595599183959</v>
      </c>
      <c r="O52" s="91"/>
      <c r="P52" s="112"/>
      <c r="Q52" s="108">
        <f t="shared" si="11"/>
        <v>68194820.493463859</v>
      </c>
      <c r="R52" s="36">
        <f t="shared" si="12"/>
        <v>-7534169.1465361416</v>
      </c>
      <c r="S52" s="58">
        <f t="shared" si="13"/>
        <v>-9.9488573429436039E-2</v>
      </c>
      <c r="T52" s="13">
        <f t="shared" si="5"/>
        <v>9.9488573429436039E-2</v>
      </c>
      <c r="U52" s="113"/>
      <c r="V52" s="13"/>
      <c r="W52"/>
      <c r="X52"/>
    </row>
    <row r="53" spans="1:24" x14ac:dyDescent="0.2">
      <c r="A53" s="90">
        <v>42094</v>
      </c>
      <c r="B53" s="109">
        <f>'Purchased Power Model'!B53</f>
        <v>70753090.569999993</v>
      </c>
      <c r="C53" s="105">
        <f>'Purchased Power Model'!$C$187</f>
        <v>680.40842105263187</v>
      </c>
      <c r="D53" s="105">
        <f>'Purchased Power Model'!$D$187</f>
        <v>0</v>
      </c>
      <c r="E53" s="91">
        <v>1</v>
      </c>
      <c r="F53" s="91">
        <v>31</v>
      </c>
      <c r="G53" s="108">
        <v>51</v>
      </c>
      <c r="H53" s="109">
        <f>'Purchased Power Model'!H53</f>
        <v>33539</v>
      </c>
      <c r="I53" s="91">
        <v>352</v>
      </c>
      <c r="J53" s="118">
        <f t="shared" ref="J53:J62" si="15">J52</f>
        <v>1.0435171705156632</v>
      </c>
      <c r="K53" s="129" t="e">
        <f>#REF!</f>
        <v>#REF!</v>
      </c>
      <c r="L53" s="93" t="e">
        <f t="shared" si="9"/>
        <v>#REF!</v>
      </c>
      <c r="M53" s="93" t="e">
        <f t="shared" si="10"/>
        <v>#REF!</v>
      </c>
      <c r="N53" s="110">
        <v>150.39289555543107</v>
      </c>
      <c r="O53" s="91"/>
      <c r="P53" s="112"/>
      <c r="Q53" s="108">
        <f t="shared" si="11"/>
        <v>66535375.300040238</v>
      </c>
      <c r="R53" s="36">
        <f t="shared" si="12"/>
        <v>-4217715.2699597552</v>
      </c>
      <c r="S53" s="58">
        <f t="shared" si="13"/>
        <v>-5.9611746087429689E-2</v>
      </c>
      <c r="T53" s="13">
        <f t="shared" si="5"/>
        <v>5.9611746087429689E-2</v>
      </c>
      <c r="U53" s="113"/>
      <c r="V53" s="13"/>
      <c r="W53"/>
      <c r="X53"/>
    </row>
    <row r="54" spans="1:24" x14ac:dyDescent="0.2">
      <c r="A54" s="90">
        <v>42124</v>
      </c>
      <c r="B54" s="109">
        <f>'Purchased Power Model'!B54</f>
        <v>57109491.909999996</v>
      </c>
      <c r="C54" s="105">
        <f>'Purchased Power Model'!$C$188</f>
        <v>477.98717105263131</v>
      </c>
      <c r="D54" s="105">
        <f>'Purchased Power Model'!$D$188</f>
        <v>-0.22473684210527267</v>
      </c>
      <c r="E54" s="91">
        <v>1</v>
      </c>
      <c r="F54" s="91">
        <v>30</v>
      </c>
      <c r="G54" s="108">
        <v>52</v>
      </c>
      <c r="H54" s="109">
        <f>'Purchased Power Model'!H54</f>
        <v>33261</v>
      </c>
      <c r="I54" s="91">
        <v>336</v>
      </c>
      <c r="J54" s="118">
        <f t="shared" si="15"/>
        <v>1.0435171705156632</v>
      </c>
      <c r="K54" s="129" t="e">
        <f>#REF!</f>
        <v>#REF!</v>
      </c>
      <c r="L54" s="93" t="e">
        <f t="shared" si="9"/>
        <v>#REF!</v>
      </c>
      <c r="M54" s="93" t="e">
        <f t="shared" si="10"/>
        <v>#REF!</v>
      </c>
      <c r="N54" s="110">
        <v>150.69042256392635</v>
      </c>
      <c r="O54" s="91"/>
      <c r="P54" s="112"/>
      <c r="Q54" s="108">
        <f t="shared" si="11"/>
        <v>57634057.208034508</v>
      </c>
      <c r="R54" s="36">
        <f t="shared" si="12"/>
        <v>524565.29803451151</v>
      </c>
      <c r="S54" s="58">
        <f t="shared" si="13"/>
        <v>9.185255909143519E-3</v>
      </c>
      <c r="T54" s="13">
        <f t="shared" si="5"/>
        <v>9.185255909143519E-3</v>
      </c>
      <c r="U54" s="113"/>
      <c r="V54" s="13"/>
      <c r="W54"/>
      <c r="X54"/>
    </row>
    <row r="55" spans="1:24" x14ac:dyDescent="0.2">
      <c r="A55" s="90">
        <v>42155</v>
      </c>
      <c r="B55" s="109">
        <f>'Purchased Power Model'!B55</f>
        <v>49113111.240000002</v>
      </c>
      <c r="C55" s="105">
        <f>'Purchased Power Model'!$C$189</f>
        <v>268.88736842105254</v>
      </c>
      <c r="D55" s="105">
        <f>'Purchased Power Model'!$D$189</f>
        <v>6.1286842105262735</v>
      </c>
      <c r="E55" s="91">
        <v>1</v>
      </c>
      <c r="F55" s="91">
        <v>31</v>
      </c>
      <c r="G55" s="108">
        <v>53</v>
      </c>
      <c r="H55" s="109">
        <f>'Purchased Power Model'!H55</f>
        <v>33261</v>
      </c>
      <c r="I55" s="91">
        <v>320</v>
      </c>
      <c r="J55" s="118">
        <f t="shared" si="15"/>
        <v>1.0435171705156632</v>
      </c>
      <c r="K55" s="129" t="e">
        <f>#REF!</f>
        <v>#REF!</v>
      </c>
      <c r="L55" s="93" t="e">
        <f t="shared" si="9"/>
        <v>#REF!</v>
      </c>
      <c r="M55" s="93" t="e">
        <f t="shared" si="10"/>
        <v>#REF!</v>
      </c>
      <c r="N55" s="110">
        <v>150.9885381794862</v>
      </c>
      <c r="O55" s="91"/>
      <c r="P55" s="112"/>
      <c r="Q55" s="108">
        <f t="shared" si="11"/>
        <v>52725518.998376213</v>
      </c>
      <c r="R55" s="36">
        <f t="shared" si="12"/>
        <v>3612407.7583762109</v>
      </c>
      <c r="S55" s="58">
        <f t="shared" si="13"/>
        <v>7.3552818527898467E-2</v>
      </c>
      <c r="T55" s="13">
        <f t="shared" si="5"/>
        <v>7.3552818527898467E-2</v>
      </c>
      <c r="U55" s="113"/>
      <c r="V55" s="13"/>
      <c r="W55"/>
      <c r="X55"/>
    </row>
    <row r="56" spans="1:24" x14ac:dyDescent="0.2">
      <c r="A56" s="90">
        <v>42185</v>
      </c>
      <c r="B56" s="109">
        <f>'Purchased Power Model'!B56</f>
        <v>46018521.689999998</v>
      </c>
      <c r="C56" s="105">
        <f>'Purchased Power Model'!$C$190</f>
        <v>108.18519736842109</v>
      </c>
      <c r="D56" s="105">
        <f>'Purchased Power Model'!$D$190</f>
        <v>9.8162499999998545</v>
      </c>
      <c r="E56" s="91">
        <v>0</v>
      </c>
      <c r="F56" s="91">
        <v>30</v>
      </c>
      <c r="G56" s="108">
        <v>54</v>
      </c>
      <c r="H56" s="109">
        <f>'Purchased Power Model'!H56</f>
        <v>33261</v>
      </c>
      <c r="I56" s="91">
        <v>352</v>
      </c>
      <c r="J56" s="118">
        <f t="shared" si="15"/>
        <v>1.0435171705156632</v>
      </c>
      <c r="K56" s="129" t="e">
        <f>#REF!</f>
        <v>#REF!</v>
      </c>
      <c r="L56" s="93" t="e">
        <f t="shared" si="9"/>
        <v>#REF!</v>
      </c>
      <c r="M56" s="93" t="e">
        <f t="shared" si="10"/>
        <v>#REF!</v>
      </c>
      <c r="N56" s="110">
        <v>151.28724356657051</v>
      </c>
      <c r="O56" s="91"/>
      <c r="P56" s="112"/>
      <c r="Q56" s="108">
        <f t="shared" si="11"/>
        <v>48578511.107910126</v>
      </c>
      <c r="R56" s="36">
        <f t="shared" si="12"/>
        <v>2559989.4179101288</v>
      </c>
      <c r="S56" s="58">
        <f t="shared" si="13"/>
        <v>5.5629544885324386E-2</v>
      </c>
      <c r="T56" s="13">
        <f t="shared" si="5"/>
        <v>5.5629544885324386E-2</v>
      </c>
      <c r="U56" s="113"/>
      <c r="V56" s="13"/>
      <c r="W56"/>
      <c r="X56"/>
    </row>
    <row r="57" spans="1:24" x14ac:dyDescent="0.2">
      <c r="A57" s="90">
        <v>42216</v>
      </c>
      <c r="B57" s="109">
        <f>'Purchased Power Model'!B57</f>
        <v>50056825.770000003</v>
      </c>
      <c r="C57" s="105">
        <f>'Purchased Power Model'!$C$191</f>
        <v>34.833684210526314</v>
      </c>
      <c r="D57" s="105">
        <f>'Purchased Power Model'!$D$191</f>
        <v>34.756973684210607</v>
      </c>
      <c r="E57" s="91">
        <v>0</v>
      </c>
      <c r="F57" s="91">
        <v>31</v>
      </c>
      <c r="G57" s="108">
        <v>55</v>
      </c>
      <c r="H57" s="109">
        <f>'Purchased Power Model'!H57</f>
        <v>33371</v>
      </c>
      <c r="I57" s="91">
        <v>352</v>
      </c>
      <c r="J57" s="118">
        <f t="shared" si="15"/>
        <v>1.0435171705156632</v>
      </c>
      <c r="K57" s="129" t="e">
        <f>#REF!</f>
        <v>#REF!</v>
      </c>
      <c r="L57" s="93" t="e">
        <f t="shared" si="9"/>
        <v>#REF!</v>
      </c>
      <c r="M57" s="93" t="e">
        <f t="shared" si="10"/>
        <v>#REF!</v>
      </c>
      <c r="N57" s="110">
        <v>151.58653989194292</v>
      </c>
      <c r="O57" s="91"/>
      <c r="P57" s="112"/>
      <c r="Q57" s="108">
        <f t="shared" si="11"/>
        <v>50715817.758097507</v>
      </c>
      <c r="R57" s="36">
        <f t="shared" si="12"/>
        <v>658991.98809750378</v>
      </c>
      <c r="S57" s="58">
        <f t="shared" si="13"/>
        <v>1.3164877675732489E-2</v>
      </c>
      <c r="T57" s="13">
        <f t="shared" si="5"/>
        <v>1.3164877675732489E-2</v>
      </c>
      <c r="U57" s="113"/>
      <c r="V57" s="13"/>
      <c r="W57"/>
      <c r="X57"/>
    </row>
    <row r="58" spans="1:24" x14ac:dyDescent="0.2">
      <c r="A58" s="90">
        <v>42247</v>
      </c>
      <c r="B58" s="109">
        <f>'Purchased Power Model'!B58</f>
        <v>49818189.549999997</v>
      </c>
      <c r="C58" s="105">
        <f>'Purchased Power Model'!$C$192</f>
        <v>36.201578947368432</v>
      </c>
      <c r="D58" s="105">
        <f>'Purchased Power Model'!$D$192</f>
        <v>34.614736842105259</v>
      </c>
      <c r="E58" s="91">
        <v>0</v>
      </c>
      <c r="F58" s="91">
        <v>31</v>
      </c>
      <c r="G58" s="108">
        <v>56</v>
      </c>
      <c r="H58" s="109">
        <f>'Purchased Power Model'!H58</f>
        <v>33371</v>
      </c>
      <c r="I58" s="91">
        <v>320</v>
      </c>
      <c r="J58" s="118">
        <f t="shared" si="15"/>
        <v>1.0435171705156632</v>
      </c>
      <c r="K58" s="129" t="e">
        <f>#REF!</f>
        <v>#REF!</v>
      </c>
      <c r="L58" s="93" t="e">
        <f t="shared" si="9"/>
        <v>#REF!</v>
      </c>
      <c r="M58" s="93" t="e">
        <f t="shared" si="10"/>
        <v>#REF!</v>
      </c>
      <c r="N58" s="110">
        <v>151.88642832467528</v>
      </c>
      <c r="O58" s="91"/>
      <c r="P58" s="112"/>
      <c r="Q58" s="108">
        <f t="shared" si="11"/>
        <v>50680379.537835807</v>
      </c>
      <c r="R58" s="36">
        <f t="shared" si="12"/>
        <v>862189.98783580959</v>
      </c>
      <c r="S58" s="58">
        <f t="shared" si="13"/>
        <v>1.7306730646453404E-2</v>
      </c>
      <c r="T58" s="13">
        <f t="shared" si="5"/>
        <v>1.7306730646453404E-2</v>
      </c>
      <c r="U58" s="113"/>
      <c r="V58" s="13"/>
      <c r="W58"/>
      <c r="X58"/>
    </row>
    <row r="59" spans="1:24" x14ac:dyDescent="0.2">
      <c r="A59" s="90">
        <v>42277</v>
      </c>
      <c r="B59" s="109">
        <f>'Purchased Power Model'!B59</f>
        <v>48683583.240000002</v>
      </c>
      <c r="C59" s="105">
        <f>'Purchased Power Model'!$C$193</f>
        <v>139.78578947368442</v>
      </c>
      <c r="D59" s="105">
        <f>'Purchased Power Model'!$D$193</f>
        <v>7.7718421052632038</v>
      </c>
      <c r="E59" s="91">
        <v>1</v>
      </c>
      <c r="F59" s="91">
        <v>30</v>
      </c>
      <c r="G59" s="108">
        <v>57</v>
      </c>
      <c r="H59" s="109">
        <f>'Purchased Power Model'!H59</f>
        <v>33371</v>
      </c>
      <c r="I59" s="91">
        <v>336</v>
      </c>
      <c r="J59" s="118">
        <f t="shared" si="15"/>
        <v>1.0435171705156632</v>
      </c>
      <c r="K59" s="129" t="e">
        <f>#REF!</f>
        <v>#REF!</v>
      </c>
      <c r="L59" s="93" t="e">
        <f t="shared" si="9"/>
        <v>#REF!</v>
      </c>
      <c r="M59" s="93" t="e">
        <f t="shared" si="10"/>
        <v>#REF!</v>
      </c>
      <c r="N59" s="110">
        <v>152.18691003615226</v>
      </c>
      <c r="O59" s="91"/>
      <c r="P59" s="112"/>
      <c r="Q59" s="108">
        <f t="shared" si="11"/>
        <v>46412777.065648429</v>
      </c>
      <c r="R59" s="36">
        <f t="shared" si="12"/>
        <v>-2270806.174351573</v>
      </c>
      <c r="S59" s="58">
        <f t="shared" si="13"/>
        <v>-4.6644187285002581E-2</v>
      </c>
      <c r="T59" s="13">
        <f t="shared" si="5"/>
        <v>4.6644187285002581E-2</v>
      </c>
      <c r="U59" s="113"/>
      <c r="V59" s="13"/>
      <c r="W59"/>
      <c r="X59"/>
    </row>
    <row r="60" spans="1:24" x14ac:dyDescent="0.2">
      <c r="A60" s="90">
        <v>42308</v>
      </c>
      <c r="B60" s="109">
        <f>'Purchased Power Model'!B60</f>
        <v>52100032.990000002</v>
      </c>
      <c r="C60" s="105">
        <f>'Purchased Power Model'!$C$194</f>
        <v>314.25855263157882</v>
      </c>
      <c r="D60" s="105">
        <f>'Purchased Power Model'!$D$194</f>
        <v>0.33421052631578618</v>
      </c>
      <c r="E60" s="91">
        <v>1</v>
      </c>
      <c r="F60" s="91">
        <v>31</v>
      </c>
      <c r="G60" s="108">
        <v>58</v>
      </c>
      <c r="H60" s="109">
        <f>'Purchased Power Model'!H60</f>
        <v>33411</v>
      </c>
      <c r="I60" s="91">
        <v>336</v>
      </c>
      <c r="J60" s="118">
        <f t="shared" si="15"/>
        <v>1.0435171705156632</v>
      </c>
      <c r="K60" s="129" t="e">
        <f>#REF!</f>
        <v>#REF!</v>
      </c>
      <c r="L60" s="93" t="e">
        <f t="shared" si="9"/>
        <v>#REF!</v>
      </c>
      <c r="M60" s="93" t="e">
        <f t="shared" si="10"/>
        <v>#REF!</v>
      </c>
      <c r="N60" s="110">
        <v>152.48798620007588</v>
      </c>
      <c r="O60" s="91"/>
      <c r="P60" s="112"/>
      <c r="Q60" s="108">
        <f t="shared" si="11"/>
        <v>53269081.342969924</v>
      </c>
      <c r="R60" s="36">
        <f t="shared" si="12"/>
        <v>1169048.3529699221</v>
      </c>
      <c r="S60" s="58">
        <f t="shared" si="13"/>
        <v>2.2438533833448963E-2</v>
      </c>
      <c r="T60" s="13">
        <f t="shared" si="5"/>
        <v>2.2438533833448963E-2</v>
      </c>
      <c r="U60" s="113"/>
      <c r="V60" s="13"/>
      <c r="W60"/>
      <c r="X60"/>
    </row>
    <row r="61" spans="1:24" x14ac:dyDescent="0.2">
      <c r="A61" s="90">
        <v>42338</v>
      </c>
      <c r="B61" s="109">
        <f>'Purchased Power Model'!B61</f>
        <v>55680534.289999999</v>
      </c>
      <c r="C61" s="105">
        <f>'Purchased Power Model'!$C$195</f>
        <v>512.63131578947377</v>
      </c>
      <c r="D61" s="105">
        <f>'Purchased Power Model'!$D$195</f>
        <v>0</v>
      </c>
      <c r="E61" s="91">
        <v>1</v>
      </c>
      <c r="F61" s="91">
        <v>30</v>
      </c>
      <c r="G61" s="108">
        <v>59</v>
      </c>
      <c r="H61" s="109">
        <f>'Purchased Power Model'!H61</f>
        <v>33411</v>
      </c>
      <c r="I61" s="91">
        <v>320</v>
      </c>
      <c r="J61" s="118">
        <f t="shared" si="15"/>
        <v>1.0435171705156632</v>
      </c>
      <c r="K61" s="129" t="e">
        <f>#REF!</f>
        <v>#REF!</v>
      </c>
      <c r="L61" s="93" t="e">
        <f t="shared" si="9"/>
        <v>#REF!</v>
      </c>
      <c r="M61" s="93" t="e">
        <f t="shared" si="10"/>
        <v>#REF!</v>
      </c>
      <c r="N61" s="110">
        <v>152.78965799247018</v>
      </c>
      <c r="O61" s="91"/>
      <c r="P61" s="112"/>
      <c r="Q61" s="108">
        <f t="shared" si="11"/>
        <v>58409510.345332563</v>
      </c>
      <c r="R61" s="36">
        <f t="shared" si="12"/>
        <v>2728976.0553325638</v>
      </c>
      <c r="S61" s="58">
        <f t="shared" si="13"/>
        <v>4.9011312303852604E-2</v>
      </c>
      <c r="T61" s="13">
        <f t="shared" si="5"/>
        <v>4.9011312303852604E-2</v>
      </c>
      <c r="U61" s="113"/>
      <c r="V61" s="13"/>
      <c r="W61"/>
      <c r="X61"/>
    </row>
    <row r="62" spans="1:24" x14ac:dyDescent="0.2">
      <c r="A62" s="90">
        <v>42369</v>
      </c>
      <c r="B62" s="109">
        <f>'Purchased Power Model'!B62</f>
        <v>63647959.810000002</v>
      </c>
      <c r="C62" s="105">
        <f>'Purchased Power Model'!$C$196</f>
        <v>676.62442105263199</v>
      </c>
      <c r="D62" s="105">
        <f>'Purchased Power Model'!$D$196</f>
        <v>0</v>
      </c>
      <c r="E62" s="91">
        <v>0</v>
      </c>
      <c r="F62" s="91">
        <v>31</v>
      </c>
      <c r="G62" s="108">
        <v>60</v>
      </c>
      <c r="H62" s="109">
        <f>'Purchased Power Model'!H62</f>
        <v>33411</v>
      </c>
      <c r="I62" s="91">
        <v>352</v>
      </c>
      <c r="J62" s="118">
        <f t="shared" si="15"/>
        <v>1.0435171705156632</v>
      </c>
      <c r="K62" s="129" t="e">
        <f>#REF!</f>
        <v>#REF!</v>
      </c>
      <c r="L62" s="93" t="e">
        <f t="shared" si="9"/>
        <v>#REF!</v>
      </c>
      <c r="M62" s="93" t="e">
        <f t="shared" si="10"/>
        <v>#REF!</v>
      </c>
      <c r="N62" s="110">
        <v>153.09192659168593</v>
      </c>
      <c r="O62" s="91"/>
      <c r="P62" s="112"/>
      <c r="Q62" s="108">
        <f t="shared" si="11"/>
        <v>68635292.449181706</v>
      </c>
      <c r="R62" s="36">
        <f t="shared" si="12"/>
        <v>4987332.6391817033</v>
      </c>
      <c r="S62" s="58">
        <f t="shared" si="13"/>
        <v>7.83580911952204E-2</v>
      </c>
      <c r="T62" s="13">
        <f t="shared" si="5"/>
        <v>7.83580911952204E-2</v>
      </c>
      <c r="U62" s="113"/>
      <c r="V62" s="13"/>
      <c r="W62"/>
      <c r="X62"/>
    </row>
    <row r="63" spans="1:24" x14ac:dyDescent="0.2">
      <c r="A63" s="90">
        <v>42400</v>
      </c>
      <c r="B63" s="109">
        <f>'Purchased Power Model'!B63</f>
        <v>71224982.780000001</v>
      </c>
      <c r="C63" s="105">
        <f>'Purchased Power Model'!$C$185</f>
        <v>815.92000000000007</v>
      </c>
      <c r="D63" s="105">
        <f>'Purchased Power Model'!$D$185</f>
        <v>0</v>
      </c>
      <c r="E63" s="91">
        <v>0</v>
      </c>
      <c r="F63" s="91">
        <v>31</v>
      </c>
      <c r="G63" s="108">
        <v>61</v>
      </c>
      <c r="H63" s="109">
        <f>'Purchased Power Model'!H63</f>
        <v>33412</v>
      </c>
      <c r="I63" s="91">
        <v>320</v>
      </c>
      <c r="J63" s="118">
        <f>'Rate Class Energy Model'!F11</f>
        <v>1.0519444996030285</v>
      </c>
      <c r="K63" s="129" t="e">
        <f>#REF!</f>
        <v>#REF!</v>
      </c>
      <c r="L63" s="93" t="e">
        <f t="shared" si="9"/>
        <v>#REF!</v>
      </c>
      <c r="M63" s="93" t="e">
        <f t="shared" si="10"/>
        <v>#REF!</v>
      </c>
      <c r="N63" s="110">
        <v>153.40727089469959</v>
      </c>
      <c r="O63" s="91"/>
      <c r="P63" s="112"/>
      <c r="Q63" s="108">
        <f t="shared" si="11"/>
        <v>73458323.484052017</v>
      </c>
      <c r="R63" s="36">
        <f t="shared" si="12"/>
        <v>2233340.7040520161</v>
      </c>
      <c r="S63" s="58">
        <f t="shared" si="13"/>
        <v>3.1356142421969657E-2</v>
      </c>
      <c r="T63" s="13">
        <f t="shared" si="5"/>
        <v>3.1356142421969657E-2</v>
      </c>
      <c r="U63" s="113"/>
      <c r="W63"/>
      <c r="X63"/>
    </row>
    <row r="64" spans="1:24" x14ac:dyDescent="0.2">
      <c r="A64" s="90">
        <v>42429</v>
      </c>
      <c r="B64" s="109">
        <f>'Purchased Power Model'!B64</f>
        <v>65961523.409999996</v>
      </c>
      <c r="C64" s="105">
        <f>'Purchased Power Model'!$C$186</f>
        <v>792.03236842105298</v>
      </c>
      <c r="D64" s="105">
        <f>'Purchased Power Model'!$D$186</f>
        <v>0</v>
      </c>
      <c r="E64" s="91">
        <v>0</v>
      </c>
      <c r="F64" s="91">
        <v>29</v>
      </c>
      <c r="G64" s="108">
        <v>62</v>
      </c>
      <c r="H64" s="109">
        <f>'Purchased Power Model'!H64</f>
        <v>33412</v>
      </c>
      <c r="I64" s="91">
        <v>320</v>
      </c>
      <c r="J64" s="118">
        <f>J63</f>
        <v>1.0519444996030285</v>
      </c>
      <c r="K64" s="129" t="e">
        <f>#REF!</f>
        <v>#REF!</v>
      </c>
      <c r="L64" s="93" t="e">
        <f t="shared" si="9"/>
        <v>#REF!</v>
      </c>
      <c r="M64" s="93" t="e">
        <f t="shared" si="10"/>
        <v>#REF!</v>
      </c>
      <c r="N64" s="110">
        <v>153.72326475534609</v>
      </c>
      <c r="O64" s="91"/>
      <c r="P64" s="112"/>
      <c r="Q64" s="108">
        <f t="shared" si="11"/>
        <v>69123863.362671509</v>
      </c>
      <c r="R64" s="36">
        <f t="shared" si="12"/>
        <v>3162339.952671513</v>
      </c>
      <c r="S64" s="58">
        <f t="shared" si="13"/>
        <v>4.79421909802661E-2</v>
      </c>
      <c r="T64" s="13">
        <f t="shared" si="5"/>
        <v>4.79421909802661E-2</v>
      </c>
      <c r="U64" s="113"/>
      <c r="W64"/>
      <c r="X64"/>
    </row>
    <row r="65" spans="1:24" x14ac:dyDescent="0.2">
      <c r="A65" s="90">
        <v>42460</v>
      </c>
      <c r="B65" s="109">
        <f>'Purchased Power Model'!B65</f>
        <v>61438716.170000002</v>
      </c>
      <c r="C65" s="105">
        <f>'Purchased Power Model'!$C$187</f>
        <v>680.40842105263187</v>
      </c>
      <c r="D65" s="105">
        <f>'Purchased Power Model'!$D$187</f>
        <v>0</v>
      </c>
      <c r="E65" s="91">
        <v>1</v>
      </c>
      <c r="F65" s="91">
        <v>31</v>
      </c>
      <c r="G65" s="108">
        <v>63</v>
      </c>
      <c r="H65" s="109">
        <f>'Purchased Power Model'!H65</f>
        <v>33412</v>
      </c>
      <c r="I65" s="91">
        <v>352</v>
      </c>
      <c r="J65" s="118">
        <f t="shared" ref="J65:J74" si="16">J64</f>
        <v>1.0519444996030285</v>
      </c>
      <c r="K65" s="129" t="e">
        <f>#REF!</f>
        <v>#REF!</v>
      </c>
      <c r="L65" s="93" t="e">
        <f t="shared" si="9"/>
        <v>#REF!</v>
      </c>
      <c r="M65" s="93" t="e">
        <f t="shared" si="10"/>
        <v>#REF!</v>
      </c>
      <c r="N65" s="110">
        <v>154.03990951160779</v>
      </c>
      <c r="O65" s="91"/>
      <c r="P65" s="112"/>
      <c r="Q65" s="108">
        <f t="shared" si="11"/>
        <v>65749372.604922205</v>
      </c>
      <c r="R65" s="36">
        <f t="shared" si="12"/>
        <v>4310656.4349222034</v>
      </c>
      <c r="S65" s="58">
        <f t="shared" si="13"/>
        <v>7.0161889825215124E-2</v>
      </c>
      <c r="T65" s="13">
        <f t="shared" si="5"/>
        <v>7.0161889825215124E-2</v>
      </c>
      <c r="U65" s="113"/>
      <c r="W65"/>
      <c r="X65"/>
    </row>
    <row r="66" spans="1:24" x14ac:dyDescent="0.2">
      <c r="A66" s="90">
        <v>42490</v>
      </c>
      <c r="B66" s="109">
        <f>'Purchased Power Model'!B66</f>
        <v>55510527.649999999</v>
      </c>
      <c r="C66" s="105">
        <f>'Purchased Power Model'!$C$188</f>
        <v>477.98717105263131</v>
      </c>
      <c r="D66" s="105">
        <f>'Purchased Power Model'!$D$188</f>
        <v>-0.22473684210527267</v>
      </c>
      <c r="E66" s="91">
        <v>1</v>
      </c>
      <c r="F66" s="91">
        <v>30</v>
      </c>
      <c r="G66" s="108">
        <v>64</v>
      </c>
      <c r="H66" s="109">
        <f>'Purchased Power Model'!H66</f>
        <v>33360</v>
      </c>
      <c r="I66" s="91">
        <v>336</v>
      </c>
      <c r="J66" s="118">
        <f t="shared" si="16"/>
        <v>1.0519444996030285</v>
      </c>
      <c r="K66" s="129" t="e">
        <f>#REF!</f>
        <v>#REF!</v>
      </c>
      <c r="L66" s="93" t="e">
        <f t="shared" si="9"/>
        <v>#REF!</v>
      </c>
      <c r="M66" s="93" t="e">
        <f t="shared" si="10"/>
        <v>#REF!</v>
      </c>
      <c r="N66" s="110">
        <v>154.35720650422309</v>
      </c>
      <c r="O66" s="91"/>
      <c r="P66" s="112"/>
      <c r="Q66" s="108">
        <f t="shared" si="11"/>
        <v>56838338.074399412</v>
      </c>
      <c r="R66" s="36">
        <f t="shared" si="12"/>
        <v>1327810.4243994132</v>
      </c>
      <c r="S66" s="58">
        <f t="shared" si="13"/>
        <v>2.3919974833808182E-2</v>
      </c>
      <c r="T66" s="13">
        <f t="shared" si="5"/>
        <v>2.3919974833808182E-2</v>
      </c>
      <c r="U66" s="113"/>
      <c r="W66"/>
      <c r="X66"/>
    </row>
    <row r="67" spans="1:24" x14ac:dyDescent="0.2">
      <c r="A67" s="90">
        <v>42521</v>
      </c>
      <c r="B67" s="109">
        <f>'Purchased Power Model'!B67</f>
        <v>47972677.969999999</v>
      </c>
      <c r="C67" s="105">
        <f>'Purchased Power Model'!$C$189</f>
        <v>268.88736842105254</v>
      </c>
      <c r="D67" s="105">
        <f>'Purchased Power Model'!$D$189</f>
        <v>6.1286842105262735</v>
      </c>
      <c r="E67" s="91">
        <v>1</v>
      </c>
      <c r="F67" s="91">
        <v>31</v>
      </c>
      <c r="G67" s="108">
        <v>65</v>
      </c>
      <c r="H67" s="109">
        <f>'Purchased Power Model'!H67</f>
        <v>33360</v>
      </c>
      <c r="I67" s="91">
        <v>336</v>
      </c>
      <c r="J67" s="118">
        <f t="shared" si="16"/>
        <v>1.0519444996030285</v>
      </c>
      <c r="K67" s="129" t="e">
        <f>#REF!</f>
        <v>#REF!</v>
      </c>
      <c r="L67" s="93" t="e">
        <f t="shared" ref="L67:L97" si="17">K67*J67</f>
        <v>#REF!</v>
      </c>
      <c r="M67" s="93" t="e">
        <f t="shared" ref="M67:M86" si="18">B67+L67</f>
        <v>#REF!</v>
      </c>
      <c r="N67" s="110">
        <v>154.6751570766921</v>
      </c>
      <c r="O67" s="91"/>
      <c r="P67" s="112"/>
      <c r="Q67" s="108">
        <f t="shared" ref="Q67:Q98" si="19">$X$18+C67*$X$19+D67*$X$20+E67*$X$21+F67*$X$22+G67*$X$23+ H67*$X$24</f>
        <v>51929799.864741117</v>
      </c>
      <c r="R67" s="36">
        <f t="shared" ref="R67:R86" si="20">Q67-B67</f>
        <v>3957121.894741118</v>
      </c>
      <c r="S67" s="58">
        <f t="shared" ref="S67:S86" si="21">R67/B67</f>
        <v>8.2486991808456631E-2</v>
      </c>
      <c r="T67" s="13">
        <f t="shared" ref="T67:T130" si="22">ABS(S67)</f>
        <v>8.2486991808456631E-2</v>
      </c>
      <c r="U67" s="113"/>
      <c r="W67"/>
      <c r="X67"/>
    </row>
    <row r="68" spans="1:24" x14ac:dyDescent="0.2">
      <c r="A68" s="90">
        <v>42551</v>
      </c>
      <c r="B68" s="109">
        <f>'Purchased Power Model'!B68</f>
        <v>46020697.049999997</v>
      </c>
      <c r="C68" s="105">
        <f>'Purchased Power Model'!$C$190</f>
        <v>108.18519736842109</v>
      </c>
      <c r="D68" s="105">
        <f>'Purchased Power Model'!$D$190</f>
        <v>9.8162499999998545</v>
      </c>
      <c r="E68" s="91">
        <v>0</v>
      </c>
      <c r="F68" s="91">
        <v>30</v>
      </c>
      <c r="G68" s="108">
        <v>66</v>
      </c>
      <c r="H68" s="109">
        <f>'Purchased Power Model'!H68</f>
        <v>33360</v>
      </c>
      <c r="I68" s="91">
        <v>352</v>
      </c>
      <c r="J68" s="118">
        <f t="shared" si="16"/>
        <v>1.0519444996030285</v>
      </c>
      <c r="K68" s="129" t="e">
        <f>#REF!</f>
        <v>#REF!</v>
      </c>
      <c r="L68" s="93" t="e">
        <f t="shared" si="17"/>
        <v>#REF!</v>
      </c>
      <c r="M68" s="93" t="e">
        <f t="shared" si="18"/>
        <v>#REF!</v>
      </c>
      <c r="N68" s="110">
        <v>154.99376257528229</v>
      </c>
      <c r="O68" s="91"/>
      <c r="P68" s="112"/>
      <c r="Q68" s="108">
        <f t="shared" si="19"/>
        <v>47782791.97427503</v>
      </c>
      <c r="R68" s="36">
        <f t="shared" si="20"/>
        <v>1762094.9242750332</v>
      </c>
      <c r="S68" s="58">
        <f t="shared" si="21"/>
        <v>3.8289183720111281E-2</v>
      </c>
      <c r="T68" s="13">
        <f t="shared" si="22"/>
        <v>3.8289183720111281E-2</v>
      </c>
      <c r="U68" s="113"/>
      <c r="W68"/>
      <c r="X68"/>
    </row>
    <row r="69" spans="1:24" x14ac:dyDescent="0.2">
      <c r="A69" s="90">
        <v>42582</v>
      </c>
      <c r="B69" s="109">
        <f>'Purchased Power Model'!B69</f>
        <v>50843952.109999999</v>
      </c>
      <c r="C69" s="105">
        <f>'Purchased Power Model'!$C$191</f>
        <v>34.833684210526314</v>
      </c>
      <c r="D69" s="105">
        <f>'Purchased Power Model'!$D$191</f>
        <v>34.756973684210607</v>
      </c>
      <c r="E69" s="91">
        <v>0</v>
      </c>
      <c r="F69" s="91">
        <v>31</v>
      </c>
      <c r="G69" s="108">
        <v>67</v>
      </c>
      <c r="H69" s="109">
        <f>'Purchased Power Model'!H69</f>
        <v>33412</v>
      </c>
      <c r="I69" s="91">
        <v>320</v>
      </c>
      <c r="J69" s="118">
        <f t="shared" si="16"/>
        <v>1.0519444996030285</v>
      </c>
      <c r="K69" s="129" t="e">
        <f>#REF!</f>
        <v>#REF!</v>
      </c>
      <c r="L69" s="93" t="e">
        <f t="shared" si="17"/>
        <v>#REF!</v>
      </c>
      <c r="M69" s="93" t="e">
        <f t="shared" si="18"/>
        <v>#REF!</v>
      </c>
      <c r="N69" s="110">
        <v>155.31302434903424</v>
      </c>
      <c r="O69" s="91"/>
      <c r="P69" s="112"/>
      <c r="Q69" s="108">
        <f t="shared" si="19"/>
        <v>49922592.223727852</v>
      </c>
      <c r="R69" s="36">
        <f t="shared" si="20"/>
        <v>-921359.8862721473</v>
      </c>
      <c r="S69" s="58">
        <f t="shared" si="21"/>
        <v>-1.8121327080924027E-2</v>
      </c>
      <c r="T69" s="13">
        <f t="shared" si="22"/>
        <v>1.8121327080924027E-2</v>
      </c>
      <c r="U69" s="113"/>
      <c r="W69"/>
      <c r="X69"/>
    </row>
    <row r="70" spans="1:24" x14ac:dyDescent="0.2">
      <c r="A70" s="90">
        <v>42613</v>
      </c>
      <c r="B70" s="109">
        <f>'Purchased Power Model'!B70</f>
        <v>52655659.520000003</v>
      </c>
      <c r="C70" s="105">
        <f>'Purchased Power Model'!$C$192</f>
        <v>36.201578947368432</v>
      </c>
      <c r="D70" s="105">
        <f>'Purchased Power Model'!$D$192</f>
        <v>34.614736842105259</v>
      </c>
      <c r="E70" s="91">
        <v>0</v>
      </c>
      <c r="F70" s="91">
        <v>31</v>
      </c>
      <c r="G70" s="108">
        <v>68</v>
      </c>
      <c r="H70" s="109">
        <f>'Purchased Power Model'!H70</f>
        <v>33412</v>
      </c>
      <c r="I70" s="91">
        <v>352</v>
      </c>
      <c r="J70" s="118">
        <f t="shared" si="16"/>
        <v>1.0519444996030285</v>
      </c>
      <c r="K70" s="129" t="e">
        <f>#REF!</f>
        <v>#REF!</v>
      </c>
      <c r="L70" s="93" t="e">
        <f t="shared" si="17"/>
        <v>#REF!</v>
      </c>
      <c r="M70" s="93" t="e">
        <f t="shared" si="18"/>
        <v>#REF!</v>
      </c>
      <c r="N70" s="110">
        <v>155.63294374976735</v>
      </c>
      <c r="O70" s="91"/>
      <c r="P70" s="112"/>
      <c r="Q70" s="108">
        <f t="shared" si="19"/>
        <v>49887154.003466152</v>
      </c>
      <c r="R70" s="36">
        <f t="shared" si="20"/>
        <v>-2768505.5165338516</v>
      </c>
      <c r="S70" s="58">
        <f t="shared" si="21"/>
        <v>-5.2577548961898396E-2</v>
      </c>
      <c r="T70" s="13">
        <f t="shared" si="22"/>
        <v>5.2577548961898396E-2</v>
      </c>
      <c r="U70" s="113"/>
      <c r="W70"/>
      <c r="X70"/>
    </row>
    <row r="71" spans="1:24" x14ac:dyDescent="0.2">
      <c r="A71" s="90">
        <v>42643</v>
      </c>
      <c r="B71" s="109">
        <f>'Purchased Power Model'!B71</f>
        <v>47273739.93</v>
      </c>
      <c r="C71" s="105">
        <f>'Purchased Power Model'!$C$193</f>
        <v>139.78578947368442</v>
      </c>
      <c r="D71" s="105">
        <f>'Purchased Power Model'!$D$193</f>
        <v>7.7718421052632038</v>
      </c>
      <c r="E71" s="91">
        <v>1</v>
      </c>
      <c r="F71" s="91">
        <v>30</v>
      </c>
      <c r="G71" s="108">
        <v>69</v>
      </c>
      <c r="H71" s="109">
        <f>'Purchased Power Model'!H71</f>
        <v>33412</v>
      </c>
      <c r="I71" s="91">
        <v>336</v>
      </c>
      <c r="J71" s="118">
        <f t="shared" si="16"/>
        <v>1.0519444996030285</v>
      </c>
      <c r="K71" s="129" t="e">
        <f>#REF!</f>
        <v>#REF!</v>
      </c>
      <c r="L71" s="93" t="e">
        <f t="shared" si="17"/>
        <v>#REF!</v>
      </c>
      <c r="M71" s="93" t="e">
        <f t="shared" si="18"/>
        <v>#REF!</v>
      </c>
      <c r="N71" s="110">
        <v>155.95352213208551</v>
      </c>
      <c r="O71" s="91"/>
      <c r="P71" s="112"/>
      <c r="Q71" s="108">
        <f t="shared" si="19"/>
        <v>45619551.531278782</v>
      </c>
      <c r="R71" s="36">
        <f t="shared" si="20"/>
        <v>-1654188.3987212181</v>
      </c>
      <c r="S71" s="58">
        <f t="shared" si="21"/>
        <v>-3.4991697318017087E-2</v>
      </c>
      <c r="T71" s="13">
        <f t="shared" si="22"/>
        <v>3.4991697318017087E-2</v>
      </c>
      <c r="U71" s="113"/>
      <c r="W71"/>
      <c r="X71"/>
    </row>
    <row r="72" spans="1:24" x14ac:dyDescent="0.2">
      <c r="A72" s="90">
        <v>42674</v>
      </c>
      <c r="B72" s="109">
        <f>'Purchased Power Model'!B72</f>
        <v>50073797.57</v>
      </c>
      <c r="C72" s="105">
        <f>'Purchased Power Model'!$C$194</f>
        <v>314.25855263157882</v>
      </c>
      <c r="D72" s="105">
        <f>'Purchased Power Model'!$D$194</f>
        <v>0.33421052631578618</v>
      </c>
      <c r="E72" s="91">
        <v>1</v>
      </c>
      <c r="F72" s="91">
        <v>31</v>
      </c>
      <c r="G72" s="108">
        <v>70</v>
      </c>
      <c r="H72" s="109">
        <f>'Purchased Power Model'!H72</f>
        <v>33513</v>
      </c>
      <c r="I72" s="91">
        <v>320</v>
      </c>
      <c r="J72" s="118">
        <f t="shared" si="16"/>
        <v>1.0519444996030285</v>
      </c>
      <c r="K72" s="129" t="e">
        <f>#REF!</f>
        <v>#REF!</v>
      </c>
      <c r="L72" s="93" t="e">
        <f t="shared" si="17"/>
        <v>#REF!</v>
      </c>
      <c r="M72" s="93" t="e">
        <f t="shared" si="18"/>
        <v>#REF!</v>
      </c>
      <c r="N72" s="110">
        <v>156.2747608533829</v>
      </c>
      <c r="O72" s="91"/>
      <c r="P72" s="112"/>
      <c r="Q72" s="108">
        <f t="shared" si="19"/>
        <v>52473233.230062485</v>
      </c>
      <c r="R72" s="36">
        <f t="shared" si="20"/>
        <v>2399435.6600624844</v>
      </c>
      <c r="S72" s="58">
        <f t="shared" si="21"/>
        <v>4.7917988578921447E-2</v>
      </c>
      <c r="T72" s="13">
        <f t="shared" si="22"/>
        <v>4.7917988578921447E-2</v>
      </c>
      <c r="U72" s="113"/>
      <c r="W72"/>
      <c r="X72"/>
    </row>
    <row r="73" spans="1:24" x14ac:dyDescent="0.2">
      <c r="A73" s="90">
        <v>42704</v>
      </c>
      <c r="B73" s="109">
        <f>'Purchased Power Model'!B73</f>
        <v>53720227.840000004</v>
      </c>
      <c r="C73" s="105">
        <f>'Purchased Power Model'!$C$195</f>
        <v>512.63131578947377</v>
      </c>
      <c r="D73" s="105">
        <f>'Purchased Power Model'!$D$195</f>
        <v>0</v>
      </c>
      <c r="E73" s="91">
        <v>1</v>
      </c>
      <c r="F73" s="91">
        <v>30</v>
      </c>
      <c r="G73" s="108">
        <v>71</v>
      </c>
      <c r="H73" s="109">
        <f>'Purchased Power Model'!H73</f>
        <v>33513</v>
      </c>
      <c r="I73" s="91">
        <v>336</v>
      </c>
      <c r="J73" s="118">
        <f t="shared" si="16"/>
        <v>1.0519444996030285</v>
      </c>
      <c r="K73" s="129" t="e">
        <f>#REF!</f>
        <v>#REF!</v>
      </c>
      <c r="L73" s="93" t="e">
        <f t="shared" si="17"/>
        <v>#REF!</v>
      </c>
      <c r="M73" s="93" t="e">
        <f t="shared" si="18"/>
        <v>#REF!</v>
      </c>
      <c r="N73" s="110">
        <v>156.59666127384969</v>
      </c>
      <c r="O73" s="91"/>
      <c r="P73" s="112"/>
      <c r="Q73" s="108">
        <f t="shared" si="19"/>
        <v>57613662.232425116</v>
      </c>
      <c r="R73" s="36">
        <f t="shared" si="20"/>
        <v>3893434.3924251124</v>
      </c>
      <c r="S73" s="58">
        <f t="shared" si="21"/>
        <v>7.2476133273695217E-2</v>
      </c>
      <c r="T73" s="13">
        <f t="shared" si="22"/>
        <v>7.2476133273695217E-2</v>
      </c>
      <c r="U73" s="113"/>
      <c r="W73"/>
      <c r="X73"/>
    </row>
    <row r="74" spans="1:24" x14ac:dyDescent="0.2">
      <c r="A74" s="90">
        <v>42735</v>
      </c>
      <c r="B74" s="109">
        <f>'Purchased Power Model'!B74</f>
        <v>67261959.730000004</v>
      </c>
      <c r="C74" s="105">
        <f>'Purchased Power Model'!$C$196</f>
        <v>676.62442105263199</v>
      </c>
      <c r="D74" s="105">
        <f>'Purchased Power Model'!$D$196</f>
        <v>0</v>
      </c>
      <c r="E74" s="91">
        <v>0</v>
      </c>
      <c r="F74" s="91">
        <v>31</v>
      </c>
      <c r="G74" s="108">
        <v>72</v>
      </c>
      <c r="H74" s="109">
        <f>'Purchased Power Model'!H74</f>
        <v>33513</v>
      </c>
      <c r="I74" s="91">
        <v>336</v>
      </c>
      <c r="J74" s="118">
        <f t="shared" si="16"/>
        <v>1.0519444996030285</v>
      </c>
      <c r="K74" s="129" t="e">
        <f>#REF!</f>
        <v>#REF!</v>
      </c>
      <c r="L74" s="93" t="e">
        <f t="shared" si="17"/>
        <v>#REF!</v>
      </c>
      <c r="M74" s="93" t="e">
        <f t="shared" si="18"/>
        <v>#REF!</v>
      </c>
      <c r="N74" s="110">
        <v>156.91922475647806</v>
      </c>
      <c r="O74" s="91"/>
      <c r="P74" s="112"/>
      <c r="Q74" s="108">
        <f t="shared" si="19"/>
        <v>67839444.336274251</v>
      </c>
      <c r="R74" s="36">
        <f t="shared" si="20"/>
        <v>577484.60627424717</v>
      </c>
      <c r="S74" s="58">
        <f t="shared" si="21"/>
        <v>8.5856048291242243E-3</v>
      </c>
      <c r="T74" s="13">
        <f t="shared" si="22"/>
        <v>8.5856048291242243E-3</v>
      </c>
      <c r="W74"/>
      <c r="X74"/>
    </row>
    <row r="75" spans="1:24" x14ac:dyDescent="0.2">
      <c r="A75" s="90">
        <v>42766</v>
      </c>
      <c r="B75" s="109">
        <f>'Purchased Power Model'!B75</f>
        <v>66674271</v>
      </c>
      <c r="C75" s="105">
        <f>'Purchased Power Model'!$C$185</f>
        <v>815.92000000000007</v>
      </c>
      <c r="D75" s="105">
        <f>'Purchased Power Model'!$D$185</f>
        <v>0</v>
      </c>
      <c r="E75" s="91">
        <v>0</v>
      </c>
      <c r="F75" s="91">
        <v>31</v>
      </c>
      <c r="G75" s="108">
        <v>73</v>
      </c>
      <c r="H75" s="109">
        <f>'Purchased Power Model'!H75</f>
        <v>33528</v>
      </c>
      <c r="I75" s="91">
        <v>320</v>
      </c>
      <c r="J75" s="118">
        <f>'Rate Class Energy Model'!F12</f>
        <v>1.0488769185235338</v>
      </c>
      <c r="K75" s="129" t="e">
        <f>#REF!</f>
        <v>#REF!</v>
      </c>
      <c r="L75" s="93" t="e">
        <f t="shared" si="17"/>
        <v>#REF!</v>
      </c>
      <c r="M75" s="93" t="e">
        <f t="shared" si="18"/>
        <v>#REF!</v>
      </c>
      <c r="N75" s="110">
        <v>157.24245266706706</v>
      </c>
      <c r="O75" s="91"/>
      <c r="P75" s="112"/>
      <c r="Q75" s="108">
        <f t="shared" si="19"/>
        <v>72661873.467873618</v>
      </c>
      <c r="R75" s="36">
        <f t="shared" si="20"/>
        <v>5987602.467873618</v>
      </c>
      <c r="S75" s="58">
        <f t="shared" si="21"/>
        <v>8.9803793548393171E-2</v>
      </c>
      <c r="T75" s="13">
        <f t="shared" si="22"/>
        <v>8.9803793548393171E-2</v>
      </c>
      <c r="U75" s="114"/>
      <c r="W75"/>
      <c r="X75"/>
    </row>
    <row r="76" spans="1:24" x14ac:dyDescent="0.2">
      <c r="A76" s="90">
        <v>42794</v>
      </c>
      <c r="B76" s="109">
        <f>'Purchased Power Model'!B76</f>
        <v>59162719</v>
      </c>
      <c r="C76" s="105">
        <f>'Purchased Power Model'!$C$186</f>
        <v>792.03236842105298</v>
      </c>
      <c r="D76" s="105">
        <f>'Purchased Power Model'!$D$186</f>
        <v>0</v>
      </c>
      <c r="E76" s="91">
        <v>0</v>
      </c>
      <c r="F76" s="91">
        <v>28</v>
      </c>
      <c r="G76" s="108">
        <v>74</v>
      </c>
      <c r="H76" s="109">
        <f>'Purchased Power Model'!H76</f>
        <v>33528</v>
      </c>
      <c r="I76" s="91">
        <v>320</v>
      </c>
      <c r="J76" s="118">
        <f>J75</f>
        <v>1.0488769185235338</v>
      </c>
      <c r="K76" s="129" t="e">
        <f>#REF!</f>
        <v>#REF!</v>
      </c>
      <c r="L76" s="93" t="e">
        <f t="shared" si="17"/>
        <v>#REF!</v>
      </c>
      <c r="M76" s="93" t="e">
        <f t="shared" si="18"/>
        <v>#REF!</v>
      </c>
      <c r="N76" s="110">
        <v>157.56634637422971</v>
      </c>
      <c r="O76" s="91"/>
      <c r="P76" s="112"/>
      <c r="Q76" s="108">
        <f t="shared" si="19"/>
        <v>66612367.782167405</v>
      </c>
      <c r="R76" s="36">
        <f t="shared" si="20"/>
        <v>7449648.7821674049</v>
      </c>
      <c r="S76" s="58">
        <f t="shared" si="21"/>
        <v>0.12591795826975777</v>
      </c>
      <c r="T76" s="13">
        <f t="shared" si="22"/>
        <v>0.12591795826975777</v>
      </c>
      <c r="U76" s="114"/>
      <c r="W76"/>
      <c r="X76"/>
    </row>
    <row r="77" spans="1:24" x14ac:dyDescent="0.2">
      <c r="A77" s="90">
        <v>42825</v>
      </c>
      <c r="B77" s="109">
        <f>'Purchased Power Model'!B77</f>
        <v>63923197</v>
      </c>
      <c r="C77" s="105">
        <f>'Purchased Power Model'!$C$187</f>
        <v>680.40842105263187</v>
      </c>
      <c r="D77" s="105">
        <f>'Purchased Power Model'!$D$187</f>
        <v>0</v>
      </c>
      <c r="E77" s="91">
        <v>1</v>
      </c>
      <c r="F77" s="91">
        <v>31</v>
      </c>
      <c r="G77" s="108">
        <v>75</v>
      </c>
      <c r="H77" s="109">
        <f>'Purchased Power Model'!H77</f>
        <v>33528</v>
      </c>
      <c r="I77" s="91">
        <v>352</v>
      </c>
      <c r="J77" s="118">
        <f t="shared" ref="J77:J86" si="23">J76</f>
        <v>1.0488769185235338</v>
      </c>
      <c r="K77" s="129" t="e">
        <f>#REF!</f>
        <v>#REF!</v>
      </c>
      <c r="L77" s="93" t="e">
        <f t="shared" si="17"/>
        <v>#REF!</v>
      </c>
      <c r="M77" s="93" t="e">
        <f t="shared" si="18"/>
        <v>#REF!</v>
      </c>
      <c r="N77" s="110">
        <v>157.89090724939794</v>
      </c>
      <c r="O77" s="91"/>
      <c r="P77" s="112"/>
      <c r="Q77" s="108">
        <f t="shared" si="19"/>
        <v>64952922.588743798</v>
      </c>
      <c r="R77" s="36">
        <f t="shared" si="20"/>
        <v>1029725.5887437984</v>
      </c>
      <c r="S77" s="58">
        <f t="shared" si="21"/>
        <v>1.6108793631579448E-2</v>
      </c>
      <c r="T77" s="13">
        <f t="shared" si="22"/>
        <v>1.6108793631579448E-2</v>
      </c>
      <c r="U77" s="114"/>
      <c r="W77"/>
      <c r="X77"/>
    </row>
    <row r="78" spans="1:24" x14ac:dyDescent="0.2">
      <c r="A78" s="90">
        <v>42855</v>
      </c>
      <c r="B78" s="109">
        <f>'Purchased Power Model'!B78</f>
        <v>51461055</v>
      </c>
      <c r="C78" s="105">
        <f>'Purchased Power Model'!$C$188</f>
        <v>477.98717105263131</v>
      </c>
      <c r="D78" s="105">
        <f>'Purchased Power Model'!$D$188</f>
        <v>-0.22473684210527267</v>
      </c>
      <c r="E78" s="91">
        <v>1</v>
      </c>
      <c r="F78" s="91">
        <v>30</v>
      </c>
      <c r="G78" s="108">
        <v>76</v>
      </c>
      <c r="H78" s="109">
        <f>'Purchased Power Model'!H78</f>
        <v>33482</v>
      </c>
      <c r="I78" s="91">
        <v>336</v>
      </c>
      <c r="J78" s="118">
        <f t="shared" si="23"/>
        <v>1.0488769185235338</v>
      </c>
      <c r="K78" s="129" t="e">
        <f>#REF!</f>
        <v>#REF!</v>
      </c>
      <c r="L78" s="93" t="e">
        <f t="shared" si="17"/>
        <v>#REF!</v>
      </c>
      <c r="M78" s="93" t="e">
        <f t="shared" si="18"/>
        <v>#REF!</v>
      </c>
      <c r="N78" s="110">
        <v>158.21613666682862</v>
      </c>
      <c r="O78" s="91"/>
      <c r="P78" s="112"/>
      <c r="Q78" s="108">
        <f t="shared" si="19"/>
        <v>56041630.099676311</v>
      </c>
      <c r="R78" s="36">
        <f t="shared" si="20"/>
        <v>4580575.099676311</v>
      </c>
      <c r="S78" s="58">
        <f t="shared" si="21"/>
        <v>8.9010516781599422E-2</v>
      </c>
      <c r="T78" s="13">
        <f t="shared" si="22"/>
        <v>8.9010516781599422E-2</v>
      </c>
      <c r="U78" s="114"/>
      <c r="W78"/>
      <c r="X78"/>
    </row>
    <row r="79" spans="1:24" x14ac:dyDescent="0.2">
      <c r="A79" s="90">
        <v>42886</v>
      </c>
      <c r="B79" s="109">
        <f>'Purchased Power Model'!B79</f>
        <v>48082511</v>
      </c>
      <c r="C79" s="105">
        <f>'Purchased Power Model'!$C$189</f>
        <v>268.88736842105254</v>
      </c>
      <c r="D79" s="105">
        <f>'Purchased Power Model'!$D$189</f>
        <v>6.1286842105262735</v>
      </c>
      <c r="E79" s="91">
        <v>1</v>
      </c>
      <c r="F79" s="91">
        <v>31</v>
      </c>
      <c r="G79" s="108">
        <v>77</v>
      </c>
      <c r="H79" s="109">
        <f>'Purchased Power Model'!H79</f>
        <v>33482</v>
      </c>
      <c r="I79" s="91">
        <v>336</v>
      </c>
      <c r="J79" s="118">
        <f t="shared" si="23"/>
        <v>1.0488769185235338</v>
      </c>
      <c r="K79" s="129" t="e">
        <f>#REF!</f>
        <v>#REF!</v>
      </c>
      <c r="L79" s="93" t="e">
        <f t="shared" si="17"/>
        <v>#REF!</v>
      </c>
      <c r="M79" s="93" t="e">
        <f t="shared" si="18"/>
        <v>#REF!</v>
      </c>
      <c r="N79" s="110">
        <v>158.54203600360935</v>
      </c>
      <c r="O79" s="91"/>
      <c r="P79" s="112"/>
      <c r="Q79" s="108">
        <f t="shared" si="19"/>
        <v>51133091.890018009</v>
      </c>
      <c r="R79" s="36">
        <f t="shared" si="20"/>
        <v>3050580.8900180086</v>
      </c>
      <c r="S79" s="58">
        <f t="shared" si="21"/>
        <v>6.3444708410049733E-2</v>
      </c>
      <c r="T79" s="13">
        <f t="shared" si="22"/>
        <v>6.3444708410049733E-2</v>
      </c>
      <c r="U79" s="114"/>
      <c r="W79"/>
      <c r="X79"/>
    </row>
    <row r="80" spans="1:24" x14ac:dyDescent="0.2">
      <c r="A80" s="90">
        <v>42916</v>
      </c>
      <c r="B80" s="109">
        <f>'Purchased Power Model'!B80</f>
        <v>44830072</v>
      </c>
      <c r="C80" s="105">
        <f>'Purchased Power Model'!$C$190</f>
        <v>108.18519736842109</v>
      </c>
      <c r="D80" s="105">
        <f>'Purchased Power Model'!$D$190</f>
        <v>9.8162499999998545</v>
      </c>
      <c r="E80" s="91">
        <v>0</v>
      </c>
      <c r="F80" s="91">
        <v>30</v>
      </c>
      <c r="G80" s="108">
        <v>78</v>
      </c>
      <c r="H80" s="109">
        <f>'Purchased Power Model'!H80</f>
        <v>33482</v>
      </c>
      <c r="I80" s="91">
        <v>352</v>
      </c>
      <c r="J80" s="118">
        <f t="shared" si="23"/>
        <v>1.0488769185235338</v>
      </c>
      <c r="K80" s="129" t="e">
        <f>#REF!</f>
        <v>#REF!</v>
      </c>
      <c r="L80" s="93" t="e">
        <f t="shared" si="17"/>
        <v>#REF!</v>
      </c>
      <c r="M80" s="93" t="e">
        <f t="shared" si="18"/>
        <v>#REF!</v>
      </c>
      <c r="N80" s="110">
        <v>158.86860663966431</v>
      </c>
      <c r="O80" s="91"/>
      <c r="P80" s="112"/>
      <c r="Q80" s="108">
        <f t="shared" si="19"/>
        <v>46986083.999551922</v>
      </c>
      <c r="R80" s="36">
        <f t="shared" si="20"/>
        <v>2156011.9995519221</v>
      </c>
      <c r="S80" s="58">
        <f t="shared" si="21"/>
        <v>4.8092985430670782E-2</v>
      </c>
      <c r="T80" s="13">
        <f t="shared" si="22"/>
        <v>4.8092985430670782E-2</v>
      </c>
      <c r="U80" s="114"/>
      <c r="W80"/>
      <c r="X80"/>
    </row>
    <row r="81" spans="1:24" x14ac:dyDescent="0.2">
      <c r="A81" s="90">
        <v>42947</v>
      </c>
      <c r="B81" s="109">
        <f>'Purchased Power Model'!B81</f>
        <v>48264067</v>
      </c>
      <c r="C81" s="105">
        <f>'Purchased Power Model'!$C$191</f>
        <v>34.833684210526314</v>
      </c>
      <c r="D81" s="105">
        <f>'Purchased Power Model'!$D$191</f>
        <v>34.756973684210607</v>
      </c>
      <c r="E81" s="91">
        <v>0</v>
      </c>
      <c r="F81" s="91">
        <v>31</v>
      </c>
      <c r="G81" s="108">
        <v>79</v>
      </c>
      <c r="H81" s="109">
        <f>'Purchased Power Model'!H81</f>
        <v>33516</v>
      </c>
      <c r="I81" s="91">
        <v>320</v>
      </c>
      <c r="J81" s="118">
        <f t="shared" si="23"/>
        <v>1.0488769185235338</v>
      </c>
      <c r="K81" s="129" t="e">
        <f>#REF!</f>
        <v>#REF!</v>
      </c>
      <c r="L81" s="93" t="e">
        <f t="shared" si="17"/>
        <v>#REF!</v>
      </c>
      <c r="M81" s="93" t="e">
        <f t="shared" si="18"/>
        <v>#REF!</v>
      </c>
      <c r="N81" s="110">
        <v>159.19584995776006</v>
      </c>
      <c r="O81" s="91"/>
      <c r="P81" s="112"/>
      <c r="Q81" s="108">
        <f t="shared" si="19"/>
        <v>49126658.124638841</v>
      </c>
      <c r="R81" s="36">
        <f t="shared" si="20"/>
        <v>862591.12463884056</v>
      </c>
      <c r="S81" s="58">
        <f t="shared" si="21"/>
        <v>1.7872325691882546E-2</v>
      </c>
      <c r="T81" s="13">
        <f t="shared" si="22"/>
        <v>1.7872325691882546E-2</v>
      </c>
      <c r="U81" s="114"/>
      <c r="W81"/>
      <c r="X81"/>
    </row>
    <row r="82" spans="1:24" x14ac:dyDescent="0.2">
      <c r="A82" s="90">
        <v>42978</v>
      </c>
      <c r="B82" s="109">
        <f>'Purchased Power Model'!B82</f>
        <v>47137204</v>
      </c>
      <c r="C82" s="105">
        <f>'Purchased Power Model'!$C$192</f>
        <v>36.201578947368432</v>
      </c>
      <c r="D82" s="105">
        <f>'Purchased Power Model'!$D$192</f>
        <v>34.614736842105259</v>
      </c>
      <c r="E82" s="91">
        <v>0</v>
      </c>
      <c r="F82" s="91">
        <v>31</v>
      </c>
      <c r="G82" s="108">
        <v>80</v>
      </c>
      <c r="H82" s="109">
        <f>'Purchased Power Model'!H82</f>
        <v>33516</v>
      </c>
      <c r="I82" s="91">
        <v>352</v>
      </c>
      <c r="J82" s="118">
        <f t="shared" si="23"/>
        <v>1.0488769185235338</v>
      </c>
      <c r="K82" s="129" t="e">
        <f>#REF!</f>
        <v>#REF!</v>
      </c>
      <c r="L82" s="93" t="e">
        <f t="shared" si="17"/>
        <v>#REF!</v>
      </c>
      <c r="M82" s="93" t="e">
        <f t="shared" si="18"/>
        <v>#REF!</v>
      </c>
      <c r="N82" s="110">
        <v>159.52376734351151</v>
      </c>
      <c r="O82" s="91"/>
      <c r="P82" s="112"/>
      <c r="Q82" s="108">
        <f t="shared" si="19"/>
        <v>49091219.90437714</v>
      </c>
      <c r="R82" s="36">
        <f t="shared" si="20"/>
        <v>1954015.9043771401</v>
      </c>
      <c r="S82" s="58">
        <f t="shared" si="21"/>
        <v>4.1453793151947242E-2</v>
      </c>
      <c r="T82" s="13">
        <f t="shared" si="22"/>
        <v>4.1453793151947242E-2</v>
      </c>
      <c r="U82" s="114"/>
      <c r="W82"/>
      <c r="X82"/>
    </row>
    <row r="83" spans="1:24" x14ac:dyDescent="0.2">
      <c r="A83" s="90">
        <v>43008</v>
      </c>
      <c r="B83" s="109">
        <f>'Purchased Power Model'!B83</f>
        <v>46024413</v>
      </c>
      <c r="C83" s="105">
        <f>'Purchased Power Model'!$C$193</f>
        <v>139.78578947368442</v>
      </c>
      <c r="D83" s="105">
        <f>'Purchased Power Model'!$D$193</f>
        <v>7.7718421052632038</v>
      </c>
      <c r="E83" s="91">
        <v>1</v>
      </c>
      <c r="F83" s="91">
        <v>30</v>
      </c>
      <c r="G83" s="108">
        <v>81</v>
      </c>
      <c r="H83" s="109">
        <f>'Purchased Power Model'!H83</f>
        <v>33516</v>
      </c>
      <c r="I83" s="91">
        <v>336</v>
      </c>
      <c r="J83" s="118">
        <f t="shared" si="23"/>
        <v>1.0488769185235338</v>
      </c>
      <c r="K83" s="129" t="e">
        <f>#REF!</f>
        <v>#REF!</v>
      </c>
      <c r="L83" s="93" t="e">
        <f t="shared" si="17"/>
        <v>#REF!</v>
      </c>
      <c r="M83" s="93" t="e">
        <f t="shared" si="18"/>
        <v>#REF!</v>
      </c>
      <c r="N83" s="110">
        <v>159.85236018538762</v>
      </c>
      <c r="O83" s="91"/>
      <c r="P83" s="112"/>
      <c r="Q83" s="108">
        <f t="shared" si="19"/>
        <v>44823617.43218977</v>
      </c>
      <c r="R83" s="36">
        <f t="shared" si="20"/>
        <v>-1200795.56781023</v>
      </c>
      <c r="S83" s="58">
        <f t="shared" si="21"/>
        <v>-2.6090404842539328E-2</v>
      </c>
      <c r="T83" s="13">
        <f t="shared" si="22"/>
        <v>2.6090404842539328E-2</v>
      </c>
      <c r="U83" s="114"/>
      <c r="W83"/>
      <c r="X83"/>
    </row>
    <row r="84" spans="1:24" x14ac:dyDescent="0.2">
      <c r="A84" s="90">
        <v>43039</v>
      </c>
      <c r="B84" s="109">
        <f>'Purchased Power Model'!B84</f>
        <v>48274780</v>
      </c>
      <c r="C84" s="105">
        <f>'Purchased Power Model'!$C$194</f>
        <v>314.25855263157882</v>
      </c>
      <c r="D84" s="105">
        <f>'Purchased Power Model'!$D$194</f>
        <v>0.33421052631578618</v>
      </c>
      <c r="E84" s="91">
        <v>1</v>
      </c>
      <c r="F84" s="91">
        <v>31</v>
      </c>
      <c r="G84" s="108">
        <v>82</v>
      </c>
      <c r="H84" s="109">
        <f>'Purchased Power Model'!H84</f>
        <v>33605</v>
      </c>
      <c r="I84" s="91">
        <v>320</v>
      </c>
      <c r="J84" s="118">
        <f t="shared" si="23"/>
        <v>1.0488769185235338</v>
      </c>
      <c r="K84" s="129" t="e">
        <f>#REF!</f>
        <v>#REF!</v>
      </c>
      <c r="L84" s="93" t="e">
        <f t="shared" si="17"/>
        <v>#REF!</v>
      </c>
      <c r="M84" s="93" t="e">
        <f t="shared" si="18"/>
        <v>#REF!</v>
      </c>
      <c r="N84" s="110">
        <v>160.18162987471746</v>
      </c>
      <c r="O84" s="91"/>
      <c r="P84" s="112"/>
      <c r="Q84" s="108">
        <f t="shared" si="19"/>
        <v>51677815.048062876</v>
      </c>
      <c r="R84" s="36">
        <f t="shared" si="20"/>
        <v>3403035.0480628759</v>
      </c>
      <c r="S84" s="58">
        <f t="shared" si="21"/>
        <v>7.0493020332001013E-2</v>
      </c>
      <c r="T84" s="13">
        <f t="shared" si="22"/>
        <v>7.0493020332001013E-2</v>
      </c>
      <c r="U84" s="114"/>
      <c r="W84"/>
      <c r="X84"/>
    </row>
    <row r="85" spans="1:24" x14ac:dyDescent="0.2">
      <c r="A85" s="90">
        <v>43069</v>
      </c>
      <c r="B85" s="109">
        <f>'Purchased Power Model'!B85</f>
        <v>58218614</v>
      </c>
      <c r="C85" s="105">
        <f>'Purchased Power Model'!$C$195</f>
        <v>512.63131578947377</v>
      </c>
      <c r="D85" s="105">
        <f>'Purchased Power Model'!$D$195</f>
        <v>0</v>
      </c>
      <c r="E85" s="91">
        <v>1</v>
      </c>
      <c r="F85" s="91">
        <v>30</v>
      </c>
      <c r="G85" s="108">
        <v>83</v>
      </c>
      <c r="H85" s="109">
        <f>'Purchased Power Model'!H85</f>
        <v>33605</v>
      </c>
      <c r="I85" s="91">
        <v>336</v>
      </c>
      <c r="J85" s="118">
        <f t="shared" si="23"/>
        <v>1.0488769185235338</v>
      </c>
      <c r="K85" s="129" t="e">
        <f>#REF!</f>
        <v>#REF!</v>
      </c>
      <c r="L85" s="93" t="e">
        <f t="shared" si="17"/>
        <v>#REF!</v>
      </c>
      <c r="M85" s="93" t="e">
        <f t="shared" si="18"/>
        <v>#REF!</v>
      </c>
      <c r="N85" s="110">
        <v>160.51157780569594</v>
      </c>
      <c r="O85" s="91"/>
      <c r="P85" s="112"/>
      <c r="Q85" s="108">
        <f t="shared" si="19"/>
        <v>56818244.050425515</v>
      </c>
      <c r="R85" s="36">
        <f t="shared" si="20"/>
        <v>-1400369.9495744854</v>
      </c>
      <c r="S85" s="58">
        <f t="shared" si="21"/>
        <v>-2.4053646305878827E-2</v>
      </c>
      <c r="T85" s="13">
        <f t="shared" si="22"/>
        <v>2.4053646305878827E-2</v>
      </c>
      <c r="U85" s="114"/>
      <c r="W85"/>
      <c r="X85"/>
    </row>
    <row r="86" spans="1:24" x14ac:dyDescent="0.2">
      <c r="A86" s="90">
        <v>43100</v>
      </c>
      <c r="B86" s="109">
        <f>'Purchased Power Model'!B86</f>
        <v>70917570</v>
      </c>
      <c r="C86" s="105">
        <f>'Purchased Power Model'!$C$196</f>
        <v>676.62442105263199</v>
      </c>
      <c r="D86" s="105">
        <f>'Purchased Power Model'!$D$196</f>
        <v>0</v>
      </c>
      <c r="E86" s="91">
        <v>0</v>
      </c>
      <c r="F86" s="91">
        <v>31</v>
      </c>
      <c r="G86" s="108">
        <v>84</v>
      </c>
      <c r="H86" s="109">
        <f>'Purchased Power Model'!H86</f>
        <v>33605</v>
      </c>
      <c r="I86" s="91">
        <v>336</v>
      </c>
      <c r="J86" s="118">
        <f t="shared" si="23"/>
        <v>1.0488769185235338</v>
      </c>
      <c r="K86" s="129" t="e">
        <f>#REF!</f>
        <v>#REF!</v>
      </c>
      <c r="L86" s="93" t="e">
        <f t="shared" si="17"/>
        <v>#REF!</v>
      </c>
      <c r="M86" s="93" t="e">
        <f t="shared" si="18"/>
        <v>#REF!</v>
      </c>
      <c r="N86" s="110">
        <v>160.37144770112059</v>
      </c>
      <c r="O86" s="91"/>
      <c r="P86" s="112"/>
      <c r="Q86" s="108">
        <f t="shared" si="19"/>
        <v>67044026.154274642</v>
      </c>
      <c r="R86" s="36">
        <f t="shared" si="20"/>
        <v>-3873543.8457253575</v>
      </c>
      <c r="S86" s="58">
        <f t="shared" si="21"/>
        <v>-5.4620369052765877E-2</v>
      </c>
      <c r="T86" s="13">
        <f t="shared" si="22"/>
        <v>5.4620369052765877E-2</v>
      </c>
      <c r="U86" s="114"/>
      <c r="W86"/>
      <c r="X86"/>
    </row>
    <row r="87" spans="1:24" x14ac:dyDescent="0.2">
      <c r="A87" s="90">
        <v>43131</v>
      </c>
      <c r="B87" s="109">
        <f>'Purchased Power Model'!B87</f>
        <v>71561357.200000003</v>
      </c>
      <c r="C87" s="105">
        <f>'Purchased Power Model'!$C$185</f>
        <v>815.92000000000007</v>
      </c>
      <c r="D87" s="105">
        <f>'Purchased Power Model'!$D$185</f>
        <v>0</v>
      </c>
      <c r="E87" s="91">
        <v>0</v>
      </c>
      <c r="F87" s="91">
        <v>31</v>
      </c>
      <c r="G87" s="108">
        <v>85</v>
      </c>
      <c r="H87" s="109">
        <f>'Purchased Power Model'!H87</f>
        <v>33637</v>
      </c>
      <c r="I87" s="91">
        <v>320</v>
      </c>
      <c r="J87" s="118">
        <v>1.0521</v>
      </c>
      <c r="K87" s="129" t="e">
        <f>#REF!</f>
        <v>#REF!</v>
      </c>
      <c r="L87" s="92" t="e">
        <f t="shared" si="17"/>
        <v>#REF!</v>
      </c>
      <c r="M87" s="93"/>
      <c r="N87" s="110">
        <v>160.70178662574256</v>
      </c>
      <c r="O87" s="91"/>
      <c r="P87" s="112"/>
      <c r="Q87" s="108">
        <f t="shared" si="19"/>
        <v>71865724.403330699</v>
      </c>
      <c r="R87" s="36">
        <f t="shared" ref="R87:R134" si="24">Q87-B87</f>
        <v>304367.20333069563</v>
      </c>
      <c r="S87" s="58">
        <f t="shared" ref="S87:S134" si="25">R87/B87</f>
        <v>4.253234081070441E-3</v>
      </c>
      <c r="T87" s="13">
        <f t="shared" si="22"/>
        <v>4.253234081070441E-3</v>
      </c>
      <c r="U87" s="114"/>
      <c r="W87"/>
      <c r="X87"/>
    </row>
    <row r="88" spans="1:24" x14ac:dyDescent="0.2">
      <c r="A88" s="90">
        <v>43159</v>
      </c>
      <c r="B88" s="109">
        <f>'Purchased Power Model'!B88</f>
        <v>62600140.789999999</v>
      </c>
      <c r="C88" s="105">
        <f>'Purchased Power Model'!$C$186</f>
        <v>792.03236842105298</v>
      </c>
      <c r="D88" s="105">
        <f>'Purchased Power Model'!$D$186</f>
        <v>0</v>
      </c>
      <c r="E88" s="91">
        <v>0</v>
      </c>
      <c r="F88" s="91">
        <v>28</v>
      </c>
      <c r="G88" s="108">
        <v>86</v>
      </c>
      <c r="H88" s="109">
        <f>'Purchased Power Model'!H88</f>
        <v>33637</v>
      </c>
      <c r="I88" s="91">
        <v>320</v>
      </c>
      <c r="J88" s="118">
        <f>J87</f>
        <v>1.0521</v>
      </c>
      <c r="K88" s="129" t="e">
        <f>#REF!</f>
        <v>#REF!</v>
      </c>
      <c r="L88" s="92" t="e">
        <f t="shared" si="17"/>
        <v>#REF!</v>
      </c>
      <c r="M88" s="93"/>
      <c r="N88" s="110">
        <v>161.03280599446279</v>
      </c>
      <c r="O88" s="91"/>
      <c r="P88" s="112"/>
      <c r="Q88" s="108">
        <f t="shared" si="19"/>
        <v>65816218.717624493</v>
      </c>
      <c r="R88" s="36">
        <f t="shared" si="24"/>
        <v>3216077.9276244938</v>
      </c>
      <c r="S88" s="58">
        <f t="shared" si="25"/>
        <v>5.1374931222810338E-2</v>
      </c>
      <c r="T88" s="13">
        <f t="shared" si="22"/>
        <v>5.1374931222810338E-2</v>
      </c>
      <c r="U88" s="114"/>
      <c r="W88"/>
      <c r="X88"/>
    </row>
    <row r="89" spans="1:24" x14ac:dyDescent="0.2">
      <c r="A89" s="90">
        <v>43190</v>
      </c>
      <c r="B89" s="109">
        <f>'Purchased Power Model'!B89</f>
        <v>61919235.039999999</v>
      </c>
      <c r="C89" s="105">
        <f>'Purchased Power Model'!$C$187</f>
        <v>680.40842105263187</v>
      </c>
      <c r="D89" s="105">
        <f>'Purchased Power Model'!$D$187</f>
        <v>0</v>
      </c>
      <c r="E89" s="91">
        <v>1</v>
      </c>
      <c r="F89" s="91">
        <v>31</v>
      </c>
      <c r="G89" s="108">
        <v>87</v>
      </c>
      <c r="H89" s="109">
        <f>'Purchased Power Model'!H89</f>
        <v>33637</v>
      </c>
      <c r="I89" s="91">
        <v>352</v>
      </c>
      <c r="J89" s="118">
        <f t="shared" ref="J89:J98" si="26">J88</f>
        <v>1.0521</v>
      </c>
      <c r="K89" s="129" t="e">
        <f>#REF!</f>
        <v>#REF!</v>
      </c>
      <c r="L89" s="92" t="e">
        <f t="shared" si="17"/>
        <v>#REF!</v>
      </c>
      <c r="M89" s="93"/>
      <c r="N89" s="110">
        <v>161.36450720888473</v>
      </c>
      <c r="O89" s="91"/>
      <c r="P89" s="112"/>
      <c r="Q89" s="108">
        <f t="shared" si="19"/>
        <v>64156773.524200872</v>
      </c>
      <c r="R89" s="36">
        <f t="shared" si="24"/>
        <v>2237538.4842008725</v>
      </c>
      <c r="S89" s="58">
        <f t="shared" si="25"/>
        <v>3.6136403861504691E-2</v>
      </c>
      <c r="T89" s="13">
        <f t="shared" si="22"/>
        <v>3.6136403861504691E-2</v>
      </c>
      <c r="U89" s="114"/>
      <c r="W89"/>
      <c r="X89"/>
    </row>
    <row r="90" spans="1:24" x14ac:dyDescent="0.2">
      <c r="A90" s="90">
        <v>43220</v>
      </c>
      <c r="B90" s="109">
        <f>'Purchased Power Model'!B90</f>
        <v>55872650.990000002</v>
      </c>
      <c r="C90" s="105">
        <f>'Purchased Power Model'!$C$188</f>
        <v>477.98717105263131</v>
      </c>
      <c r="D90" s="105">
        <f>'Purchased Power Model'!$D$188</f>
        <v>-0.22473684210527267</v>
      </c>
      <c r="E90" s="91">
        <v>1</v>
      </c>
      <c r="F90" s="91">
        <v>30</v>
      </c>
      <c r="G90" s="108">
        <v>88</v>
      </c>
      <c r="H90" s="109">
        <f>'Purchased Power Model'!H90</f>
        <v>33637</v>
      </c>
      <c r="I90" s="91">
        <v>336</v>
      </c>
      <c r="J90" s="118">
        <f t="shared" si="26"/>
        <v>1.0521</v>
      </c>
      <c r="K90" s="129" t="e">
        <f>#REF!</f>
        <v>#REF!</v>
      </c>
      <c r="L90" s="92" t="e">
        <f t="shared" si="17"/>
        <v>#REF!</v>
      </c>
      <c r="M90" s="93"/>
      <c r="N90" s="110">
        <v>161.6968916734989</v>
      </c>
      <c r="O90" s="91"/>
      <c r="P90" s="112"/>
      <c r="Q90" s="108">
        <f t="shared" si="19"/>
        <v>55243503.352957338</v>
      </c>
      <c r="R90" s="36">
        <f t="shared" si="24"/>
        <v>-629147.63704266399</v>
      </c>
      <c r="S90" s="58">
        <f t="shared" si="25"/>
        <v>-1.1260386358887245E-2</v>
      </c>
      <c r="T90" s="13">
        <f t="shared" si="22"/>
        <v>1.1260386358887245E-2</v>
      </c>
      <c r="U90" s="114"/>
      <c r="W90"/>
      <c r="X90"/>
    </row>
    <row r="91" spans="1:24" x14ac:dyDescent="0.2">
      <c r="A91" s="90">
        <v>43251</v>
      </c>
      <c r="B91" s="109">
        <f>'Purchased Power Model'!B91</f>
        <v>47195638.479999997</v>
      </c>
      <c r="C91" s="105">
        <f>'Purchased Power Model'!$C$189</f>
        <v>268.88736842105254</v>
      </c>
      <c r="D91" s="105">
        <f>'Purchased Power Model'!$D$189</f>
        <v>6.1286842105262735</v>
      </c>
      <c r="E91" s="91">
        <v>1</v>
      </c>
      <c r="F91" s="91">
        <v>31</v>
      </c>
      <c r="G91" s="108">
        <v>89</v>
      </c>
      <c r="H91" s="109">
        <f>'Purchased Power Model'!H91</f>
        <v>33637</v>
      </c>
      <c r="I91" s="91">
        <v>336</v>
      </c>
      <c r="J91" s="118">
        <f t="shared" si="26"/>
        <v>1.0521</v>
      </c>
      <c r="K91" s="129" t="e">
        <f>#REF!</f>
        <v>#REF!</v>
      </c>
      <c r="L91" s="92" t="e">
        <f t="shared" si="17"/>
        <v>#REF!</v>
      </c>
      <c r="M91" s="93"/>
      <c r="N91" s="110">
        <v>162.02996079568879</v>
      </c>
      <c r="O91" s="91"/>
      <c r="P91" s="112"/>
      <c r="Q91" s="108">
        <f t="shared" si="19"/>
        <v>50334965.143299043</v>
      </c>
      <c r="R91" s="36">
        <f t="shared" si="24"/>
        <v>3139326.6632990465</v>
      </c>
      <c r="S91" s="58">
        <f t="shared" si="25"/>
        <v>6.6517304657916485E-2</v>
      </c>
      <c r="T91" s="13">
        <f t="shared" si="22"/>
        <v>6.6517304657916485E-2</v>
      </c>
      <c r="U91" s="114"/>
      <c r="W91"/>
      <c r="X91"/>
    </row>
    <row r="92" spans="1:24" x14ac:dyDescent="0.2">
      <c r="A92" s="90">
        <v>43281</v>
      </c>
      <c r="B92" s="109">
        <f>'Purchased Power Model'!B92</f>
        <v>45395013.43</v>
      </c>
      <c r="C92" s="105">
        <f>'Purchased Power Model'!$C$190</f>
        <v>108.18519736842109</v>
      </c>
      <c r="D92" s="105">
        <f>'Purchased Power Model'!$D$190</f>
        <v>9.8162499999998545</v>
      </c>
      <c r="E92" s="91">
        <v>0</v>
      </c>
      <c r="F92" s="91">
        <v>30</v>
      </c>
      <c r="G92" s="108">
        <v>90</v>
      </c>
      <c r="H92" s="109">
        <f>'Purchased Power Model'!H92</f>
        <v>33637</v>
      </c>
      <c r="I92" s="91">
        <v>352</v>
      </c>
      <c r="J92" s="118">
        <f t="shared" si="26"/>
        <v>1.0521</v>
      </c>
      <c r="K92" s="129" t="e">
        <f>#REF!</f>
        <v>#REF!</v>
      </c>
      <c r="L92" s="92" t="e">
        <f t="shared" si="17"/>
        <v>#REF!</v>
      </c>
      <c r="M92" s="93"/>
      <c r="N92" s="110">
        <v>162.36371598573695</v>
      </c>
      <c r="O92" s="91"/>
      <c r="P92" s="112"/>
      <c r="Q92" s="108">
        <f t="shared" si="19"/>
        <v>46187957.252832957</v>
      </c>
      <c r="R92" s="36">
        <f t="shared" si="24"/>
        <v>792943.82283295691</v>
      </c>
      <c r="S92" s="58">
        <f t="shared" si="25"/>
        <v>1.7467641551768495E-2</v>
      </c>
      <c r="T92" s="13">
        <f t="shared" si="22"/>
        <v>1.7467641551768495E-2</v>
      </c>
      <c r="U92" s="114"/>
      <c r="W92"/>
      <c r="X92"/>
    </row>
    <row r="93" spans="1:24" x14ac:dyDescent="0.2">
      <c r="A93" s="90">
        <v>43312</v>
      </c>
      <c r="B93" s="109">
        <f>'Purchased Power Model'!B93</f>
        <v>50885921.600000001</v>
      </c>
      <c r="C93" s="105">
        <f>'Purchased Power Model'!$C$191</f>
        <v>34.833684210526314</v>
      </c>
      <c r="D93" s="105">
        <f>'Purchased Power Model'!$D$191</f>
        <v>34.756973684210607</v>
      </c>
      <c r="E93" s="91">
        <v>0</v>
      </c>
      <c r="F93" s="91">
        <v>31</v>
      </c>
      <c r="G93" s="108">
        <v>91</v>
      </c>
      <c r="H93" s="109">
        <f>'Purchased Power Model'!H93</f>
        <v>33637</v>
      </c>
      <c r="I93" s="91">
        <v>320</v>
      </c>
      <c r="J93" s="118">
        <f t="shared" si="26"/>
        <v>1.0521</v>
      </c>
      <c r="K93" s="129" t="e">
        <f>#REF!</f>
        <v>#REF!</v>
      </c>
      <c r="L93" s="92" t="e">
        <f t="shared" si="17"/>
        <v>#REF!</v>
      </c>
      <c r="M93" s="93"/>
      <c r="N93" s="110">
        <v>162.6981586568308</v>
      </c>
      <c r="O93" s="91"/>
      <c r="P93" s="112"/>
      <c r="Q93" s="108">
        <f t="shared" si="19"/>
        <v>48329993.143006511</v>
      </c>
      <c r="R93" s="36">
        <f t="shared" si="24"/>
        <v>-2555928.4569934905</v>
      </c>
      <c r="S93" s="58">
        <f t="shared" si="25"/>
        <v>-5.022859715669354E-2</v>
      </c>
      <c r="T93" s="13">
        <f t="shared" si="22"/>
        <v>5.022859715669354E-2</v>
      </c>
      <c r="U93" s="114"/>
      <c r="W93"/>
      <c r="X93"/>
    </row>
    <row r="94" spans="1:24" x14ac:dyDescent="0.2">
      <c r="A94" s="90">
        <v>43343</v>
      </c>
      <c r="B94" s="109">
        <f>'Purchased Power Model'!B94</f>
        <v>49660000.009999998</v>
      </c>
      <c r="C94" s="105">
        <f>'Purchased Power Model'!$C$192</f>
        <v>36.201578947368432</v>
      </c>
      <c r="D94" s="105">
        <f>'Purchased Power Model'!$D$192</f>
        <v>34.614736842105259</v>
      </c>
      <c r="E94" s="91">
        <v>0</v>
      </c>
      <c r="F94" s="91">
        <v>31</v>
      </c>
      <c r="G94" s="108">
        <v>92</v>
      </c>
      <c r="H94" s="109">
        <f>'Purchased Power Model'!H94</f>
        <v>33637</v>
      </c>
      <c r="I94" s="91">
        <v>352</v>
      </c>
      <c r="J94" s="118">
        <f t="shared" si="26"/>
        <v>1.0521</v>
      </c>
      <c r="K94" s="129" t="e">
        <f>#REF!</f>
        <v>#REF!</v>
      </c>
      <c r="L94" s="92" t="e">
        <f t="shared" si="17"/>
        <v>#REF!</v>
      </c>
      <c r="M94" s="93"/>
      <c r="N94" s="110">
        <v>163.03329022506875</v>
      </c>
      <c r="O94" s="91"/>
      <c r="P94" s="112"/>
      <c r="Q94" s="108">
        <f t="shared" si="19"/>
        <v>48294554.922744811</v>
      </c>
      <c r="R94" s="36">
        <f t="shared" si="24"/>
        <v>-1365445.0872551873</v>
      </c>
      <c r="S94" s="58">
        <f t="shared" si="25"/>
        <v>-2.7495873680632877E-2</v>
      </c>
      <c r="T94" s="13">
        <f t="shared" si="22"/>
        <v>2.7495873680632877E-2</v>
      </c>
      <c r="U94" s="114"/>
      <c r="W94"/>
      <c r="X94"/>
    </row>
    <row r="95" spans="1:24" x14ac:dyDescent="0.2">
      <c r="A95" s="90">
        <v>43373</v>
      </c>
      <c r="B95" s="109">
        <f>'Purchased Power Model'!B95</f>
        <v>45784880.5</v>
      </c>
      <c r="C95" s="105">
        <f>'Purchased Power Model'!$C$193</f>
        <v>139.78578947368442</v>
      </c>
      <c r="D95" s="105">
        <f>'Purchased Power Model'!$D$193</f>
        <v>7.7718421052632038</v>
      </c>
      <c r="E95" s="91">
        <v>1</v>
      </c>
      <c r="F95" s="91">
        <v>30</v>
      </c>
      <c r="G95" s="108">
        <v>93</v>
      </c>
      <c r="H95" s="109">
        <f>'Purchased Power Model'!H95</f>
        <v>33637</v>
      </c>
      <c r="I95" s="91">
        <v>336</v>
      </c>
      <c r="J95" s="118">
        <f t="shared" si="26"/>
        <v>1.0521</v>
      </c>
      <c r="K95" s="129" t="e">
        <f>#REF!</f>
        <v>#REF!</v>
      </c>
      <c r="L95" s="92" t="e">
        <f t="shared" si="17"/>
        <v>#REF!</v>
      </c>
      <c r="M95" s="93"/>
      <c r="N95" s="110">
        <v>163.36911210946616</v>
      </c>
      <c r="O95" s="91"/>
      <c r="P95" s="112"/>
      <c r="Q95" s="108">
        <f t="shared" si="19"/>
        <v>44026952.450557441</v>
      </c>
      <c r="R95" s="36">
        <f t="shared" si="24"/>
        <v>-1757928.0494425595</v>
      </c>
      <c r="S95" s="58">
        <f t="shared" si="25"/>
        <v>-3.8395383590496858E-2</v>
      </c>
      <c r="T95" s="13">
        <f t="shared" si="22"/>
        <v>3.8395383590496858E-2</v>
      </c>
      <c r="U95" s="114"/>
      <c r="W95"/>
      <c r="X95"/>
    </row>
    <row r="96" spans="1:24" x14ac:dyDescent="0.2">
      <c r="A96" s="90">
        <v>43404</v>
      </c>
      <c r="B96" s="109">
        <f>'Purchased Power Model'!B96</f>
        <v>51981747.979999997</v>
      </c>
      <c r="C96" s="105">
        <f>'Purchased Power Model'!$C$194</f>
        <v>314.25855263157882</v>
      </c>
      <c r="D96" s="105">
        <f>'Purchased Power Model'!$D$194</f>
        <v>0.33421052631578618</v>
      </c>
      <c r="E96" s="91">
        <v>1</v>
      </c>
      <c r="F96" s="91">
        <v>31</v>
      </c>
      <c r="G96" s="108">
        <v>94</v>
      </c>
      <c r="H96" s="109">
        <f>'Purchased Power Model'!H96</f>
        <v>33637</v>
      </c>
      <c r="I96" s="91">
        <v>320</v>
      </c>
      <c r="J96" s="118">
        <f t="shared" si="26"/>
        <v>1.0521</v>
      </c>
      <c r="K96" s="129" t="e">
        <f>#REF!</f>
        <v>#REF!</v>
      </c>
      <c r="L96" s="92" t="e">
        <f t="shared" si="17"/>
        <v>#REF!</v>
      </c>
      <c r="M96" s="93"/>
      <c r="N96" s="110">
        <v>163.70562573196125</v>
      </c>
      <c r="O96" s="91"/>
      <c r="P96" s="112"/>
      <c r="Q96" s="108">
        <f t="shared" si="19"/>
        <v>50884976.451510273</v>
      </c>
      <c r="R96" s="36">
        <f t="shared" si="24"/>
        <v>-1096771.5284897238</v>
      </c>
      <c r="S96" s="58">
        <f t="shared" si="25"/>
        <v>-2.1099165978637487E-2</v>
      </c>
      <c r="T96" s="13">
        <f t="shared" si="22"/>
        <v>2.1099165978637487E-2</v>
      </c>
      <c r="U96" s="114"/>
      <c r="W96"/>
      <c r="X96"/>
    </row>
    <row r="97" spans="1:24" x14ac:dyDescent="0.2">
      <c r="A97" s="90">
        <v>43434</v>
      </c>
      <c r="B97" s="109">
        <f>'Purchased Power Model'!B97</f>
        <v>59277770.899999999</v>
      </c>
      <c r="C97" s="105">
        <f>'Purchased Power Model'!$C$195</f>
        <v>512.63131578947377</v>
      </c>
      <c r="D97" s="105">
        <f>'Purchased Power Model'!$D$195</f>
        <v>0</v>
      </c>
      <c r="E97" s="91">
        <v>1</v>
      </c>
      <c r="F97" s="91">
        <v>30</v>
      </c>
      <c r="G97" s="108">
        <v>95</v>
      </c>
      <c r="H97" s="109">
        <f>'Purchased Power Model'!H97</f>
        <v>33637</v>
      </c>
      <c r="I97" s="91">
        <v>336</v>
      </c>
      <c r="J97" s="118">
        <f t="shared" si="26"/>
        <v>1.0521</v>
      </c>
      <c r="K97" s="129" t="e">
        <f>#REF!</f>
        <v>#REF!</v>
      </c>
      <c r="L97" s="92" t="e">
        <f t="shared" si="17"/>
        <v>#REF!</v>
      </c>
      <c r="M97" s="93"/>
      <c r="N97" s="110">
        <v>164.04283251742123</v>
      </c>
      <c r="O97" s="91"/>
      <c r="P97" s="112"/>
      <c r="Q97" s="108">
        <f t="shared" si="19"/>
        <v>56025405.453872912</v>
      </c>
      <c r="R97" s="36">
        <f t="shared" si="24"/>
        <v>-3252365.4461270869</v>
      </c>
      <c r="S97" s="58">
        <f t="shared" si="25"/>
        <v>-5.4866527481502968E-2</v>
      </c>
      <c r="T97" s="13">
        <f t="shared" si="22"/>
        <v>5.4866527481502968E-2</v>
      </c>
      <c r="U97" s="114"/>
      <c r="W97"/>
      <c r="X97"/>
    </row>
    <row r="98" spans="1:24" x14ac:dyDescent="0.2">
      <c r="A98" s="90">
        <v>43465</v>
      </c>
      <c r="B98" s="109">
        <f>'Purchased Power Model'!B98</f>
        <v>64601941.469999999</v>
      </c>
      <c r="C98" s="105">
        <f>'Purchased Power Model'!$C$196</f>
        <v>676.62442105263199</v>
      </c>
      <c r="D98" s="105">
        <f>'Purchased Power Model'!$D$196</f>
        <v>0</v>
      </c>
      <c r="E98" s="91">
        <v>0</v>
      </c>
      <c r="F98" s="91">
        <v>31</v>
      </c>
      <c r="G98" s="108">
        <v>96</v>
      </c>
      <c r="H98" s="109">
        <f>'Purchased Power Model'!H98</f>
        <v>33637</v>
      </c>
      <c r="I98" s="91">
        <v>336</v>
      </c>
      <c r="J98" s="118">
        <f t="shared" si="26"/>
        <v>1.0521</v>
      </c>
      <c r="K98" s="127"/>
      <c r="L98" s="90"/>
      <c r="M98" s="90"/>
      <c r="N98" s="110">
        <v>163.7392481028441</v>
      </c>
      <c r="O98" s="91"/>
      <c r="P98" s="112"/>
      <c r="Q98" s="108">
        <f t="shared" si="19"/>
        <v>66251187.55772204</v>
      </c>
      <c r="R98" s="36">
        <f t="shared" si="24"/>
        <v>1649246.0877220407</v>
      </c>
      <c r="S98" s="58">
        <f t="shared" si="25"/>
        <v>2.5529357944883459E-2</v>
      </c>
      <c r="T98" s="13">
        <f t="shared" si="22"/>
        <v>2.5529357944883459E-2</v>
      </c>
      <c r="U98" s="114"/>
      <c r="W98"/>
      <c r="X98"/>
    </row>
    <row r="99" spans="1:24" x14ac:dyDescent="0.2">
      <c r="A99" s="90">
        <v>43496</v>
      </c>
      <c r="B99" s="109">
        <f>'Purchased Power Model'!B99</f>
        <v>72715952.279999986</v>
      </c>
      <c r="C99" s="105">
        <f>'Purchased Power Model'!$C$185</f>
        <v>815.92000000000007</v>
      </c>
      <c r="D99" s="105">
        <f>'Purchased Power Model'!$D$185</f>
        <v>0</v>
      </c>
      <c r="E99" s="91">
        <v>0</v>
      </c>
      <c r="F99" s="91">
        <v>31</v>
      </c>
      <c r="G99" s="108">
        <v>97</v>
      </c>
      <c r="H99" s="109">
        <f>'Purchased Power Model'!H99</f>
        <v>33670</v>
      </c>
      <c r="I99" s="91">
        <f>16*22</f>
        <v>352</v>
      </c>
      <c r="J99" s="118">
        <v>1.0450999999999999</v>
      </c>
      <c r="K99" s="127"/>
      <c r="L99" s="90"/>
      <c r="M99" s="90"/>
      <c r="N99" s="125"/>
      <c r="O99" s="124"/>
      <c r="P99" s="126"/>
      <c r="Q99" s="108">
        <f t="shared" ref="Q99:Q158" si="27">$X$18+C99*$X$19+D99*$X$20+E99*$X$21+F99*$X$22+G99*$X$23+ H99*$X$24</f>
        <v>71072842.81368731</v>
      </c>
      <c r="R99" s="36">
        <f t="shared" si="24"/>
        <v>-1643109.4663126767</v>
      </c>
      <c r="S99" s="58">
        <f t="shared" si="25"/>
        <v>-2.2596272410567088E-2</v>
      </c>
      <c r="T99" s="13">
        <f t="shared" si="22"/>
        <v>2.2596272410567088E-2</v>
      </c>
      <c r="U99" s="114"/>
      <c r="W99"/>
      <c r="X99"/>
    </row>
    <row r="100" spans="1:24" x14ac:dyDescent="0.2">
      <c r="A100" s="90">
        <v>43524</v>
      </c>
      <c r="B100" s="109">
        <f>'Purchased Power Model'!B100</f>
        <v>62812602.070000038</v>
      </c>
      <c r="C100" s="105">
        <f>'Purchased Power Model'!$C$186</f>
        <v>792.03236842105298</v>
      </c>
      <c r="D100" s="105">
        <f>'Purchased Power Model'!$D$186</f>
        <v>0</v>
      </c>
      <c r="E100" s="91">
        <v>0</v>
      </c>
      <c r="F100" s="91">
        <v>28</v>
      </c>
      <c r="G100" s="108">
        <v>98</v>
      </c>
      <c r="H100" s="109">
        <f>'Purchased Power Model'!H100</f>
        <v>33670</v>
      </c>
      <c r="I100" s="91">
        <f>16*20</f>
        <v>320</v>
      </c>
      <c r="J100" s="118">
        <v>1.0450999999999999</v>
      </c>
      <c r="K100" s="127"/>
      <c r="L100" s="90"/>
      <c r="M100" s="90"/>
      <c r="N100" s="125"/>
      <c r="O100" s="124"/>
      <c r="P100" s="126"/>
      <c r="Q100" s="108">
        <f t="shared" si="27"/>
        <v>65023337.127981097</v>
      </c>
      <c r="R100" s="36">
        <f t="shared" si="24"/>
        <v>2210735.057981059</v>
      </c>
      <c r="S100" s="58">
        <f t="shared" si="25"/>
        <v>3.5195724824731142E-2</v>
      </c>
      <c r="T100" s="13">
        <f t="shared" si="22"/>
        <v>3.5195724824731142E-2</v>
      </c>
      <c r="U100" s="114"/>
      <c r="W100"/>
      <c r="X100"/>
    </row>
    <row r="101" spans="1:24" x14ac:dyDescent="0.2">
      <c r="A101" s="90">
        <v>43555</v>
      </c>
      <c r="B101" s="109">
        <f>'Purchased Power Model'!B101</f>
        <v>63697945.309999958</v>
      </c>
      <c r="C101" s="105">
        <f>'Purchased Power Model'!$C$187</f>
        <v>680.40842105263187</v>
      </c>
      <c r="D101" s="105">
        <f>'Purchased Power Model'!$D$187</f>
        <v>0</v>
      </c>
      <c r="E101" s="91">
        <v>1</v>
      </c>
      <c r="F101" s="91">
        <v>31</v>
      </c>
      <c r="G101" s="108">
        <v>99</v>
      </c>
      <c r="H101" s="109">
        <f>'Purchased Power Model'!H101</f>
        <v>33670</v>
      </c>
      <c r="I101" s="91">
        <f>16*21</f>
        <v>336</v>
      </c>
      <c r="J101" s="118">
        <v>1.0450999999999999</v>
      </c>
      <c r="K101" s="127"/>
      <c r="L101" s="90"/>
      <c r="M101" s="90"/>
      <c r="N101" s="125"/>
      <c r="O101" s="124"/>
      <c r="P101" s="126"/>
      <c r="Q101" s="108">
        <f t="shared" si="27"/>
        <v>63363891.934557483</v>
      </c>
      <c r="R101" s="36">
        <f t="shared" si="24"/>
        <v>-334053.37544247508</v>
      </c>
      <c r="S101" s="58">
        <f t="shared" si="25"/>
        <v>-5.2443351793645997E-3</v>
      </c>
      <c r="T101" s="13">
        <f t="shared" si="22"/>
        <v>5.2443351793645997E-3</v>
      </c>
      <c r="U101" s="114"/>
      <c r="W101"/>
      <c r="X101"/>
    </row>
    <row r="102" spans="1:24" x14ac:dyDescent="0.2">
      <c r="A102" s="90">
        <v>43585</v>
      </c>
      <c r="B102" s="109">
        <f>'Purchased Power Model'!B102</f>
        <v>54097054.609999992</v>
      </c>
      <c r="C102" s="105">
        <f>'Purchased Power Model'!$C$188</f>
        <v>477.98717105263131</v>
      </c>
      <c r="D102" s="105">
        <f>'Purchased Power Model'!$D$188</f>
        <v>-0.22473684210527267</v>
      </c>
      <c r="E102" s="91">
        <v>1</v>
      </c>
      <c r="F102" s="91">
        <v>30</v>
      </c>
      <c r="G102" s="108">
        <v>100</v>
      </c>
      <c r="H102" s="109">
        <f>'Purchased Power Model'!H102</f>
        <v>33670</v>
      </c>
      <c r="I102" s="91">
        <f>16*20</f>
        <v>320</v>
      </c>
      <c r="J102" s="118">
        <v>1.0450999999999999</v>
      </c>
      <c r="K102" s="127"/>
      <c r="L102" s="90"/>
      <c r="M102" s="90"/>
      <c r="N102" s="125"/>
      <c r="O102" s="124"/>
      <c r="P102" s="126"/>
      <c r="Q102" s="108">
        <f t="shared" si="27"/>
        <v>54450621.763313949</v>
      </c>
      <c r="R102" s="36">
        <f t="shared" si="24"/>
        <v>353567.15331395715</v>
      </c>
      <c r="S102" s="58">
        <f t="shared" si="25"/>
        <v>6.5357930457197065E-3</v>
      </c>
      <c r="T102" s="13">
        <f t="shared" si="22"/>
        <v>6.5357930457197065E-3</v>
      </c>
      <c r="U102" s="114"/>
      <c r="W102"/>
      <c r="X102"/>
    </row>
    <row r="103" spans="1:24" x14ac:dyDescent="0.2">
      <c r="A103" s="90">
        <v>43616</v>
      </c>
      <c r="B103" s="109">
        <f>'Purchased Power Model'!B103</f>
        <v>48408148.54999999</v>
      </c>
      <c r="C103" s="105">
        <f>'Purchased Power Model'!$C$189</f>
        <v>268.88736842105254</v>
      </c>
      <c r="D103" s="105">
        <f>'Purchased Power Model'!$D$189</f>
        <v>6.1286842105262735</v>
      </c>
      <c r="E103" s="91">
        <v>1</v>
      </c>
      <c r="F103" s="91">
        <v>31</v>
      </c>
      <c r="G103" s="108">
        <v>101</v>
      </c>
      <c r="H103" s="109">
        <f>'Purchased Power Model'!H103</f>
        <v>33670</v>
      </c>
      <c r="I103" s="91">
        <f>16*22</f>
        <v>352</v>
      </c>
      <c r="J103" s="118">
        <v>1.0450999999999999</v>
      </c>
      <c r="K103" s="127"/>
      <c r="L103" s="90"/>
      <c r="M103" s="90"/>
      <c r="N103" s="125"/>
      <c r="O103" s="124"/>
      <c r="P103" s="126"/>
      <c r="Q103" s="108">
        <f t="shared" si="27"/>
        <v>49542083.553655654</v>
      </c>
      <c r="R103" s="36">
        <f t="shared" si="24"/>
        <v>1133935.0036556646</v>
      </c>
      <c r="S103" s="58">
        <f t="shared" si="25"/>
        <v>2.3424465459248901E-2</v>
      </c>
      <c r="T103" s="13">
        <f t="shared" si="22"/>
        <v>2.3424465459248901E-2</v>
      </c>
      <c r="U103" s="114"/>
      <c r="W103"/>
      <c r="X103"/>
    </row>
    <row r="104" spans="1:24" x14ac:dyDescent="0.2">
      <c r="A104" s="90">
        <v>43646</v>
      </c>
      <c r="B104" s="109">
        <f>'Purchased Power Model'!B104</f>
        <v>44308321.229999952</v>
      </c>
      <c r="C104" s="105">
        <f>'Purchased Power Model'!$C$190</f>
        <v>108.18519736842109</v>
      </c>
      <c r="D104" s="105">
        <f>'Purchased Power Model'!$D$190</f>
        <v>9.8162499999998545</v>
      </c>
      <c r="E104" s="91">
        <v>0</v>
      </c>
      <c r="F104" s="91">
        <v>30</v>
      </c>
      <c r="G104" s="108">
        <v>102</v>
      </c>
      <c r="H104" s="109">
        <f>'Purchased Power Model'!H104</f>
        <v>33670</v>
      </c>
      <c r="I104" s="91">
        <f>16*20</f>
        <v>320</v>
      </c>
      <c r="J104" s="118">
        <v>1.0450999999999999</v>
      </c>
      <c r="K104" s="127"/>
      <c r="L104" s="90"/>
      <c r="M104" s="90"/>
      <c r="N104" s="125"/>
      <c r="O104" s="124"/>
      <c r="P104" s="126"/>
      <c r="Q104" s="108">
        <f t="shared" si="27"/>
        <v>45395075.663189568</v>
      </c>
      <c r="R104" s="36">
        <f t="shared" si="24"/>
        <v>1086754.4331896156</v>
      </c>
      <c r="S104" s="58">
        <f t="shared" si="25"/>
        <v>2.4527095656555906E-2</v>
      </c>
      <c r="T104" s="13">
        <f t="shared" si="22"/>
        <v>2.4527095656555906E-2</v>
      </c>
      <c r="U104" s="114"/>
      <c r="W104"/>
      <c r="X104"/>
    </row>
    <row r="105" spans="1:24" x14ac:dyDescent="0.2">
      <c r="A105" s="90">
        <v>43677</v>
      </c>
      <c r="B105" s="109">
        <f>'Purchased Power Model'!B105</f>
        <v>49411219.699999943</v>
      </c>
      <c r="C105" s="105">
        <f>'Purchased Power Model'!$C$191</f>
        <v>34.833684210526314</v>
      </c>
      <c r="D105" s="105">
        <f>'Purchased Power Model'!$D$191</f>
        <v>34.756973684210607</v>
      </c>
      <c r="E105" s="91">
        <v>0</v>
      </c>
      <c r="F105" s="91">
        <v>31</v>
      </c>
      <c r="G105" s="108">
        <v>103</v>
      </c>
      <c r="H105" s="109">
        <f>'Purchased Power Model'!H105</f>
        <v>33670</v>
      </c>
      <c r="I105" s="91">
        <f>16*22</f>
        <v>352</v>
      </c>
      <c r="J105" s="118">
        <v>1.0450999999999999</v>
      </c>
      <c r="K105" s="127"/>
      <c r="L105" s="90"/>
      <c r="M105" s="90"/>
      <c r="N105" s="125"/>
      <c r="O105" s="124"/>
      <c r="P105" s="126"/>
      <c r="Q105" s="108">
        <f t="shared" si="27"/>
        <v>47537111.553363122</v>
      </c>
      <c r="R105" s="36">
        <f t="shared" si="24"/>
        <v>-1874108.1466368213</v>
      </c>
      <c r="S105" s="58">
        <f t="shared" si="25"/>
        <v>-3.7928797508247375E-2</v>
      </c>
      <c r="T105" s="13">
        <f t="shared" si="22"/>
        <v>3.7928797508247375E-2</v>
      </c>
      <c r="U105" s="114"/>
      <c r="W105"/>
      <c r="X105"/>
    </row>
    <row r="106" spans="1:24" x14ac:dyDescent="0.2">
      <c r="A106" s="90">
        <v>43708</v>
      </c>
      <c r="B106" s="109">
        <f>'Purchased Power Model'!B106</f>
        <v>46460128.810000002</v>
      </c>
      <c r="C106" s="105">
        <f>'Purchased Power Model'!$C$192</f>
        <v>36.201578947368432</v>
      </c>
      <c r="D106" s="105">
        <f>'Purchased Power Model'!$D$192</f>
        <v>34.614736842105259</v>
      </c>
      <c r="E106" s="91">
        <v>0</v>
      </c>
      <c r="F106" s="91">
        <v>31</v>
      </c>
      <c r="G106" s="108">
        <v>104</v>
      </c>
      <c r="H106" s="109">
        <f>'Purchased Power Model'!H106</f>
        <v>33670</v>
      </c>
      <c r="I106" s="91">
        <f>16*22</f>
        <v>352</v>
      </c>
      <c r="J106" s="118">
        <v>1.0450999999999999</v>
      </c>
      <c r="K106" s="127"/>
      <c r="L106" s="90"/>
      <c r="M106" s="90"/>
      <c r="N106" s="125"/>
      <c r="O106" s="124"/>
      <c r="P106" s="126"/>
      <c r="Q106" s="108">
        <f t="shared" si="27"/>
        <v>47501673.333101422</v>
      </c>
      <c r="R106" s="36">
        <f t="shared" si="24"/>
        <v>1041544.5231014192</v>
      </c>
      <c r="S106" s="58">
        <f t="shared" si="25"/>
        <v>2.2418029174237651E-2</v>
      </c>
      <c r="T106" s="13">
        <f t="shared" si="22"/>
        <v>2.2418029174237651E-2</v>
      </c>
      <c r="U106" s="114"/>
      <c r="W106"/>
      <c r="X106"/>
    </row>
    <row r="107" spans="1:24" x14ac:dyDescent="0.2">
      <c r="A107" s="90">
        <v>43738</v>
      </c>
      <c r="B107" s="109">
        <f>'Purchased Power Model'!B107</f>
        <v>43739956.110000007</v>
      </c>
      <c r="C107" s="105">
        <f>'Purchased Power Model'!$C$193</f>
        <v>139.78578947368442</v>
      </c>
      <c r="D107" s="105">
        <f>'Purchased Power Model'!$D$193</f>
        <v>7.7718421052632038</v>
      </c>
      <c r="E107" s="91">
        <v>1</v>
      </c>
      <c r="F107" s="91">
        <v>30</v>
      </c>
      <c r="G107" s="108">
        <v>105</v>
      </c>
      <c r="H107" s="109">
        <f>'Purchased Power Model'!H107</f>
        <v>33670</v>
      </c>
      <c r="I107" s="91">
        <f>16*20</f>
        <v>320</v>
      </c>
      <c r="J107" s="118">
        <v>1.0450999999999999</v>
      </c>
      <c r="K107" s="127"/>
      <c r="L107" s="90"/>
      <c r="M107" s="90"/>
      <c r="N107" s="125"/>
      <c r="O107" s="124"/>
      <c r="P107" s="126"/>
      <c r="Q107" s="108">
        <f t="shared" si="27"/>
        <v>43234070.860914052</v>
      </c>
      <c r="R107" s="36">
        <f t="shared" si="24"/>
        <v>-505885.24908595532</v>
      </c>
      <c r="S107" s="58">
        <f t="shared" si="25"/>
        <v>-1.156574660966104E-2</v>
      </c>
      <c r="T107" s="13">
        <f t="shared" si="22"/>
        <v>1.156574660966104E-2</v>
      </c>
      <c r="U107" s="114"/>
      <c r="W107"/>
      <c r="X107"/>
    </row>
    <row r="108" spans="1:24" x14ac:dyDescent="0.2">
      <c r="A108" s="90">
        <v>43769</v>
      </c>
      <c r="B108" s="109">
        <f>'Purchased Power Model'!B108</f>
        <v>50062806.730000079</v>
      </c>
      <c r="C108" s="105">
        <f>'Purchased Power Model'!$C$194</f>
        <v>314.25855263157882</v>
      </c>
      <c r="D108" s="105">
        <f>'Purchased Power Model'!$D$194</f>
        <v>0.33421052631578618</v>
      </c>
      <c r="E108" s="91">
        <v>1</v>
      </c>
      <c r="F108" s="91">
        <v>31</v>
      </c>
      <c r="G108" s="108">
        <v>106</v>
      </c>
      <c r="H108" s="109">
        <f>'Purchased Power Model'!H108</f>
        <v>33670</v>
      </c>
      <c r="I108" s="91">
        <f>16*22</f>
        <v>352</v>
      </c>
      <c r="J108" s="118">
        <v>1.0450999999999999</v>
      </c>
      <c r="K108" s="127"/>
      <c r="L108" s="90"/>
      <c r="M108" s="90"/>
      <c r="N108" s="125"/>
      <c r="O108" s="124"/>
      <c r="P108" s="126"/>
      <c r="Q108" s="108">
        <f t="shared" si="27"/>
        <v>50092094.861866884</v>
      </c>
      <c r="R108" s="36">
        <f t="shared" si="24"/>
        <v>29288.131866805255</v>
      </c>
      <c r="S108" s="58">
        <f t="shared" si="25"/>
        <v>5.8502776372013467E-4</v>
      </c>
      <c r="T108" s="13">
        <f t="shared" si="22"/>
        <v>5.8502776372013467E-4</v>
      </c>
      <c r="U108" s="114"/>
      <c r="W108"/>
      <c r="X108"/>
    </row>
    <row r="109" spans="1:24" x14ac:dyDescent="0.2">
      <c r="A109" s="90">
        <v>43799</v>
      </c>
      <c r="B109" s="109">
        <f>'Purchased Power Model'!B109</f>
        <v>59303580.430000082</v>
      </c>
      <c r="C109" s="105">
        <f>'Purchased Power Model'!$C$195</f>
        <v>512.63131578947377</v>
      </c>
      <c r="D109" s="105">
        <f>'Purchased Power Model'!$D$195</f>
        <v>0</v>
      </c>
      <c r="E109" s="91">
        <v>1</v>
      </c>
      <c r="F109" s="91">
        <v>30</v>
      </c>
      <c r="G109" s="108">
        <v>107</v>
      </c>
      <c r="H109" s="109">
        <f>'Purchased Power Model'!H109</f>
        <v>33670</v>
      </c>
      <c r="I109" s="91">
        <f>16*20</f>
        <v>320</v>
      </c>
      <c r="J109" s="118">
        <v>1.0450999999999999</v>
      </c>
      <c r="K109" s="127"/>
      <c r="L109" s="90"/>
      <c r="M109" s="90"/>
      <c r="N109" s="125"/>
      <c r="O109" s="124"/>
      <c r="P109" s="126"/>
      <c r="Q109" s="108">
        <f t="shared" si="27"/>
        <v>55232523.864229523</v>
      </c>
      <c r="R109" s="36">
        <f t="shared" si="24"/>
        <v>-4071056.565770559</v>
      </c>
      <c r="S109" s="58">
        <f t="shared" si="25"/>
        <v>-6.8647736548991256E-2</v>
      </c>
      <c r="T109" s="13">
        <f t="shared" si="22"/>
        <v>6.8647736548991256E-2</v>
      </c>
      <c r="U109" s="114"/>
      <c r="W109"/>
      <c r="X109"/>
    </row>
    <row r="110" spans="1:24" x14ac:dyDescent="0.2">
      <c r="A110" s="90">
        <v>43830</v>
      </c>
      <c r="B110" s="109">
        <f>'Purchased Power Model'!B110</f>
        <v>65621798.10999997</v>
      </c>
      <c r="C110" s="105">
        <f>'Purchased Power Model'!$C$196</f>
        <v>676.62442105263199</v>
      </c>
      <c r="D110" s="105">
        <f>'Purchased Power Model'!$D$196</f>
        <v>0</v>
      </c>
      <c r="E110" s="91">
        <v>0</v>
      </c>
      <c r="F110" s="91">
        <v>31</v>
      </c>
      <c r="G110" s="108">
        <v>108</v>
      </c>
      <c r="H110" s="109">
        <f>'Purchased Power Model'!H110</f>
        <v>33670</v>
      </c>
      <c r="I110" s="91">
        <f>16*20</f>
        <v>320</v>
      </c>
      <c r="J110" s="118">
        <v>1.0450999999999999</v>
      </c>
      <c r="K110" s="127"/>
      <c r="L110" s="90"/>
      <c r="M110" s="90"/>
      <c r="N110" s="125"/>
      <c r="O110" s="124"/>
      <c r="P110" s="126"/>
      <c r="Q110" s="108">
        <f t="shared" si="27"/>
        <v>65458305.968078651</v>
      </c>
      <c r="R110" s="36">
        <f t="shared" si="24"/>
        <v>-163492.14192131907</v>
      </c>
      <c r="S110" s="58">
        <f t="shared" si="25"/>
        <v>-2.4914303879217362E-3</v>
      </c>
      <c r="T110" s="13">
        <f t="shared" si="22"/>
        <v>2.4914303879217362E-3</v>
      </c>
      <c r="U110" s="114"/>
      <c r="W110"/>
      <c r="X110"/>
    </row>
    <row r="111" spans="1:24" x14ac:dyDescent="0.2">
      <c r="A111" s="90">
        <v>43861</v>
      </c>
      <c r="B111" s="109">
        <f>'Purchased Power Model'!B111</f>
        <v>66610655.697510459</v>
      </c>
      <c r="C111" s="105">
        <f>'Purchased Power Model'!$C$185</f>
        <v>815.92000000000007</v>
      </c>
      <c r="D111" s="105">
        <f>'Purchased Power Model'!$D$185</f>
        <v>0</v>
      </c>
      <c r="E111" s="91">
        <v>0</v>
      </c>
      <c r="F111" s="91">
        <v>31</v>
      </c>
      <c r="G111" s="108">
        <v>109</v>
      </c>
      <c r="H111" s="109">
        <f>'Purchased Power Model'!H111</f>
        <v>33775</v>
      </c>
      <c r="I111" s="91">
        <f>16*22</f>
        <v>352</v>
      </c>
      <c r="J111" s="118">
        <v>1.0442</v>
      </c>
      <c r="K111" s="127"/>
      <c r="L111" s="90"/>
      <c r="M111" s="90"/>
      <c r="N111" s="125"/>
      <c r="O111" s="124"/>
      <c r="P111" s="126"/>
      <c r="Q111" s="108">
        <f t="shared" si="27"/>
        <v>70276865.721507505</v>
      </c>
      <c r="R111" s="36">
        <f t="shared" si="24"/>
        <v>3666210.0239970461</v>
      </c>
      <c r="S111" s="58">
        <f t="shared" si="25"/>
        <v>5.5039392505695887E-2</v>
      </c>
      <c r="T111" s="13">
        <f t="shared" si="22"/>
        <v>5.5039392505695887E-2</v>
      </c>
      <c r="U111" s="114"/>
      <c r="W111"/>
      <c r="X111"/>
    </row>
    <row r="112" spans="1:24" x14ac:dyDescent="0.2">
      <c r="A112" s="90">
        <v>43890</v>
      </c>
      <c r="B112" s="109">
        <f>'Purchased Power Model'!B112</f>
        <v>63240829.937510461</v>
      </c>
      <c r="C112" s="105">
        <f>'Purchased Power Model'!$C$186</f>
        <v>792.03236842105298</v>
      </c>
      <c r="D112" s="105">
        <f>'Purchased Power Model'!$D$186</f>
        <v>0</v>
      </c>
      <c r="E112" s="91">
        <v>0</v>
      </c>
      <c r="F112" s="91">
        <v>28</v>
      </c>
      <c r="G112" s="108">
        <v>110</v>
      </c>
      <c r="H112" s="109">
        <f>'Purchased Power Model'!H112</f>
        <v>33798</v>
      </c>
      <c r="I112" s="91">
        <f>16*20</f>
        <v>320</v>
      </c>
      <c r="J112" s="118">
        <v>1.0442</v>
      </c>
      <c r="K112" s="127"/>
      <c r="L112" s="90"/>
      <c r="M112" s="90"/>
      <c r="N112" s="125"/>
      <c r="O112" s="124"/>
      <c r="P112" s="126"/>
      <c r="Q112" s="108">
        <f t="shared" si="27"/>
        <v>64226371.194713295</v>
      </c>
      <c r="R112" s="36">
        <f t="shared" si="24"/>
        <v>985541.25720283389</v>
      </c>
      <c r="S112" s="58">
        <f t="shared" si="25"/>
        <v>1.5583939334393098E-2</v>
      </c>
      <c r="T112" s="13">
        <f t="shared" si="22"/>
        <v>1.5583939334393098E-2</v>
      </c>
      <c r="U112" s="114"/>
      <c r="W112"/>
      <c r="X112"/>
    </row>
    <row r="113" spans="1:24" x14ac:dyDescent="0.2">
      <c r="A113" s="90">
        <v>43921</v>
      </c>
      <c r="B113" s="109">
        <f>'Purchased Power Model'!B113</f>
        <v>61247214.337510459</v>
      </c>
      <c r="C113" s="105">
        <f>'Purchased Power Model'!$C$187</f>
        <v>680.40842105263187</v>
      </c>
      <c r="D113" s="105">
        <f>'Purchased Power Model'!$D$187</f>
        <v>0</v>
      </c>
      <c r="E113" s="91">
        <v>1</v>
      </c>
      <c r="F113" s="91">
        <v>31</v>
      </c>
      <c r="G113" s="108">
        <v>111</v>
      </c>
      <c r="H113" s="109">
        <f>'Purchased Power Model'!H113</f>
        <v>33798</v>
      </c>
      <c r="I113" s="91">
        <f>16*22</f>
        <v>352</v>
      </c>
      <c r="J113" s="118">
        <v>1.0442</v>
      </c>
      <c r="K113" s="127"/>
      <c r="L113" s="90"/>
      <c r="M113" s="90"/>
      <c r="N113" s="125"/>
      <c r="O113" s="124"/>
      <c r="P113" s="126"/>
      <c r="Q113" s="108">
        <f t="shared" si="27"/>
        <v>62566926.001289673</v>
      </c>
      <c r="R113" s="36">
        <f t="shared" si="24"/>
        <v>1319711.663779214</v>
      </c>
      <c r="S113" s="58">
        <f t="shared" si="25"/>
        <v>2.1547292853300679E-2</v>
      </c>
      <c r="T113" s="13">
        <f t="shared" si="22"/>
        <v>2.1547292853300679E-2</v>
      </c>
      <c r="U113" s="114"/>
      <c r="W113"/>
      <c r="X113"/>
    </row>
    <row r="114" spans="1:24" x14ac:dyDescent="0.2">
      <c r="A114" s="90">
        <v>43951</v>
      </c>
      <c r="B114" s="109">
        <f>'Purchased Power Model'!B114</f>
        <v>53304894.037510455</v>
      </c>
      <c r="C114" s="105">
        <f>'Purchased Power Model'!$C$188</f>
        <v>477.98717105263131</v>
      </c>
      <c r="D114" s="105">
        <f>'Purchased Power Model'!$D$188</f>
        <v>-0.22473684210527267</v>
      </c>
      <c r="E114" s="91">
        <v>1</v>
      </c>
      <c r="F114" s="91">
        <v>30</v>
      </c>
      <c r="G114" s="108">
        <v>112</v>
      </c>
      <c r="H114" s="109">
        <f>'Purchased Power Model'!H114</f>
        <v>33798</v>
      </c>
      <c r="I114" s="91">
        <f>16*20</f>
        <v>320</v>
      </c>
      <c r="J114" s="118">
        <v>1.0442</v>
      </c>
      <c r="K114" s="127"/>
      <c r="L114" s="90"/>
      <c r="M114" s="90"/>
      <c r="N114" s="125"/>
      <c r="O114" s="124"/>
      <c r="P114" s="126"/>
      <c r="Q114" s="108">
        <f t="shared" si="27"/>
        <v>53653655.83004614</v>
      </c>
      <c r="R114" s="36">
        <f t="shared" si="24"/>
        <v>348761.792535685</v>
      </c>
      <c r="S114" s="58">
        <f t="shared" si="25"/>
        <v>6.5427724570705018E-3</v>
      </c>
      <c r="T114" s="13">
        <f t="shared" si="22"/>
        <v>6.5427724570705018E-3</v>
      </c>
      <c r="U114" s="114"/>
      <c r="W114"/>
      <c r="X114"/>
    </row>
    <row r="115" spans="1:24" x14ac:dyDescent="0.2">
      <c r="A115" s="90">
        <v>43982</v>
      </c>
      <c r="B115" s="109">
        <f>'Purchased Power Model'!B115</f>
        <v>49102693.677510455</v>
      </c>
      <c r="C115" s="105">
        <f>'Purchased Power Model'!$C$189</f>
        <v>268.88736842105254</v>
      </c>
      <c r="D115" s="105">
        <f>'Purchased Power Model'!$D$189</f>
        <v>6.1286842105262735</v>
      </c>
      <c r="E115" s="91">
        <v>1</v>
      </c>
      <c r="F115" s="91">
        <v>31</v>
      </c>
      <c r="G115" s="108">
        <v>113</v>
      </c>
      <c r="H115" s="109">
        <f>'Purchased Power Model'!H115</f>
        <v>33798</v>
      </c>
      <c r="I115" s="91">
        <f>16*20</f>
        <v>320</v>
      </c>
      <c r="J115" s="118">
        <v>1.0442</v>
      </c>
      <c r="K115" s="127"/>
      <c r="L115" s="90"/>
      <c r="M115" s="90"/>
      <c r="N115" s="125"/>
      <c r="O115" s="124"/>
      <c r="P115" s="126"/>
      <c r="Q115" s="108">
        <f t="shared" si="27"/>
        <v>48745117.620387845</v>
      </c>
      <c r="R115" s="36">
        <f t="shared" si="24"/>
        <v>-357576.05712261051</v>
      </c>
      <c r="S115" s="58">
        <f t="shared" si="25"/>
        <v>-7.2822085784345486E-3</v>
      </c>
      <c r="T115" s="13">
        <f t="shared" si="22"/>
        <v>7.2822085784345486E-3</v>
      </c>
      <c r="U115" s="114"/>
      <c r="W115"/>
      <c r="X115"/>
    </row>
    <row r="116" spans="1:24" x14ac:dyDescent="0.2">
      <c r="A116" s="90">
        <v>44012</v>
      </c>
      <c r="B116" s="109">
        <f>'Purchased Power Model'!B116</f>
        <v>46184026.79751046</v>
      </c>
      <c r="C116" s="105">
        <f>'Purchased Power Model'!$C$190</f>
        <v>108.18519736842109</v>
      </c>
      <c r="D116" s="105">
        <f>'Purchased Power Model'!$D$190</f>
        <v>9.8162499999998545</v>
      </c>
      <c r="E116" s="91">
        <v>0</v>
      </c>
      <c r="F116" s="91">
        <v>30</v>
      </c>
      <c r="G116" s="108">
        <v>114</v>
      </c>
      <c r="H116" s="109">
        <f>'Purchased Power Model'!H116</f>
        <v>33798</v>
      </c>
      <c r="I116" s="91">
        <f>16*22</f>
        <v>352</v>
      </c>
      <c r="J116" s="118">
        <v>1.0442</v>
      </c>
      <c r="K116" s="127"/>
      <c r="L116" s="90"/>
      <c r="M116" s="90"/>
      <c r="N116" s="125"/>
      <c r="O116" s="124"/>
      <c r="P116" s="126"/>
      <c r="Q116" s="108">
        <f t="shared" si="27"/>
        <v>44598109.729921758</v>
      </c>
      <c r="R116" s="36">
        <f t="shared" si="24"/>
        <v>-1585917.0675887018</v>
      </c>
      <c r="S116" s="58">
        <f t="shared" si="25"/>
        <v>-3.433908166002949E-2</v>
      </c>
      <c r="T116" s="13">
        <f t="shared" si="22"/>
        <v>3.433908166002949E-2</v>
      </c>
      <c r="U116" s="114"/>
      <c r="W116"/>
      <c r="X116"/>
    </row>
    <row r="117" spans="1:24" x14ac:dyDescent="0.2">
      <c r="A117" s="90">
        <v>44043</v>
      </c>
      <c r="B117" s="109">
        <f>'Purchased Power Model'!B117</f>
        <v>52834439.457510456</v>
      </c>
      <c r="C117" s="105">
        <f>'Purchased Power Model'!$C$191</f>
        <v>34.833684210526314</v>
      </c>
      <c r="D117" s="105">
        <f>'Purchased Power Model'!$D$191</f>
        <v>34.756973684210607</v>
      </c>
      <c r="E117" s="91">
        <v>0</v>
      </c>
      <c r="F117" s="91">
        <v>31</v>
      </c>
      <c r="G117" s="108">
        <v>115</v>
      </c>
      <c r="H117" s="109">
        <f>'Purchased Power Model'!H117</f>
        <v>33798</v>
      </c>
      <c r="I117" s="91">
        <f>16*22</f>
        <v>352</v>
      </c>
      <c r="J117" s="118">
        <v>1.0442</v>
      </c>
      <c r="K117" s="127"/>
      <c r="L117" s="90"/>
      <c r="M117" s="90"/>
      <c r="N117" s="125"/>
      <c r="O117" s="124"/>
      <c r="P117" s="126"/>
      <c r="Q117" s="108">
        <f t="shared" si="27"/>
        <v>46740145.62009532</v>
      </c>
      <c r="R117" s="36">
        <f t="shared" si="24"/>
        <v>-6094293.8374151364</v>
      </c>
      <c r="S117" s="58">
        <f t="shared" si="25"/>
        <v>-0.1153469952551721</v>
      </c>
      <c r="T117" s="13">
        <f t="shared" si="22"/>
        <v>0.1153469952551721</v>
      </c>
      <c r="U117" s="114"/>
      <c r="W117"/>
      <c r="X117"/>
    </row>
    <row r="118" spans="1:24" x14ac:dyDescent="0.2">
      <c r="A118" s="90">
        <v>44074</v>
      </c>
      <c r="B118" s="109">
        <f>'Purchased Power Model'!B118</f>
        <v>49467685.607510455</v>
      </c>
      <c r="C118" s="105">
        <f>'Purchased Power Model'!$C$192</f>
        <v>36.201578947368432</v>
      </c>
      <c r="D118" s="105">
        <f>'Purchased Power Model'!$D$192</f>
        <v>34.614736842105259</v>
      </c>
      <c r="E118" s="91">
        <v>0</v>
      </c>
      <c r="F118" s="91">
        <v>31</v>
      </c>
      <c r="G118" s="108">
        <v>116</v>
      </c>
      <c r="H118" s="109">
        <f>'Purchased Power Model'!H118</f>
        <v>33798</v>
      </c>
      <c r="I118" s="91">
        <f>16*21</f>
        <v>336</v>
      </c>
      <c r="J118" s="118">
        <v>1.0442</v>
      </c>
      <c r="K118" s="127"/>
      <c r="L118" s="90"/>
      <c r="M118" s="90"/>
      <c r="N118" s="125"/>
      <c r="O118" s="124"/>
      <c r="P118" s="126"/>
      <c r="Q118" s="108">
        <f t="shared" si="27"/>
        <v>46704707.39983362</v>
      </c>
      <c r="R118" s="36">
        <f t="shared" si="24"/>
        <v>-2762978.2076768354</v>
      </c>
      <c r="S118" s="58">
        <f t="shared" si="25"/>
        <v>-5.5854204087877217E-2</v>
      </c>
      <c r="T118" s="13">
        <f t="shared" si="22"/>
        <v>5.5854204087877217E-2</v>
      </c>
      <c r="U118" s="114"/>
      <c r="W118"/>
      <c r="X118"/>
    </row>
    <row r="119" spans="1:24" x14ac:dyDescent="0.2">
      <c r="A119" s="90">
        <v>44104</v>
      </c>
      <c r="B119" s="109">
        <f>'Purchased Power Model'!B119</f>
        <v>44701633.877510458</v>
      </c>
      <c r="C119" s="105">
        <f>'Purchased Power Model'!$C$193</f>
        <v>139.78578947368442</v>
      </c>
      <c r="D119" s="105">
        <f>'Purchased Power Model'!$D$193</f>
        <v>7.7718421052632038</v>
      </c>
      <c r="E119" s="91">
        <v>1</v>
      </c>
      <c r="F119" s="91">
        <v>30</v>
      </c>
      <c r="G119" s="108">
        <v>117</v>
      </c>
      <c r="H119" s="109">
        <f>'Purchased Power Model'!H119</f>
        <v>33798</v>
      </c>
      <c r="I119" s="91">
        <f>16*21</f>
        <v>336</v>
      </c>
      <c r="J119" s="118">
        <v>1.0442</v>
      </c>
      <c r="K119" s="127"/>
      <c r="L119" s="90"/>
      <c r="M119" s="90"/>
      <c r="N119" s="125"/>
      <c r="O119" s="124"/>
      <c r="P119" s="126"/>
      <c r="Q119" s="108">
        <f t="shared" si="27"/>
        <v>42437104.927646242</v>
      </c>
      <c r="R119" s="36">
        <f t="shared" si="24"/>
        <v>-2264528.9498642161</v>
      </c>
      <c r="S119" s="58">
        <f t="shared" si="25"/>
        <v>-5.0658751223039929E-2</v>
      </c>
      <c r="T119" s="13">
        <f t="shared" si="22"/>
        <v>5.0658751223039929E-2</v>
      </c>
      <c r="U119" s="114"/>
      <c r="W119"/>
      <c r="X119"/>
    </row>
    <row r="120" spans="1:24" x14ac:dyDescent="0.2">
      <c r="A120" s="90">
        <v>44135</v>
      </c>
      <c r="B120" s="109">
        <f>'Purchased Power Model'!B120</f>
        <v>52557234.957510456</v>
      </c>
      <c r="C120" s="105">
        <f>'Purchased Power Model'!$C$194</f>
        <v>314.25855263157882</v>
      </c>
      <c r="D120" s="105">
        <f>'Purchased Power Model'!$D$194</f>
        <v>0.33421052631578618</v>
      </c>
      <c r="E120" s="91">
        <v>1</v>
      </c>
      <c r="F120" s="91">
        <v>31</v>
      </c>
      <c r="G120" s="108">
        <v>118</v>
      </c>
      <c r="H120" s="109">
        <f>'Purchased Power Model'!H120</f>
        <v>33798</v>
      </c>
      <c r="I120" s="91">
        <f>16*21</f>
        <v>336</v>
      </c>
      <c r="J120" s="118">
        <v>1.0442</v>
      </c>
      <c r="K120" s="127"/>
      <c r="L120" s="90"/>
      <c r="M120" s="90"/>
      <c r="N120" s="125"/>
      <c r="O120" s="124"/>
      <c r="P120" s="126"/>
      <c r="Q120" s="108">
        <f t="shared" si="27"/>
        <v>49295128.928599074</v>
      </c>
      <c r="R120" s="36">
        <f t="shared" si="24"/>
        <v>-3262106.028911382</v>
      </c>
      <c r="S120" s="58">
        <f t="shared" si="25"/>
        <v>-6.2067687380217201E-2</v>
      </c>
      <c r="T120" s="13">
        <f t="shared" si="22"/>
        <v>6.2067687380217201E-2</v>
      </c>
      <c r="U120" s="114"/>
      <c r="W120"/>
      <c r="X120"/>
    </row>
    <row r="121" spans="1:24" x14ac:dyDescent="0.2">
      <c r="A121" s="90">
        <v>44165</v>
      </c>
      <c r="B121" s="109">
        <f>'Purchased Power Model'!B121</f>
        <v>55175518.36751046</v>
      </c>
      <c r="C121" s="105">
        <f>'Purchased Power Model'!$C$195</f>
        <v>512.63131578947377</v>
      </c>
      <c r="D121" s="105">
        <f>'Purchased Power Model'!$D$195</f>
        <v>0</v>
      </c>
      <c r="E121" s="91">
        <v>1</v>
      </c>
      <c r="F121" s="91">
        <v>30</v>
      </c>
      <c r="G121" s="108">
        <v>119</v>
      </c>
      <c r="H121" s="109">
        <f>'Purchased Power Model'!H121</f>
        <v>33798</v>
      </c>
      <c r="I121" s="91">
        <f>16*20</f>
        <v>320</v>
      </c>
      <c r="J121" s="118">
        <v>1.0442</v>
      </c>
      <c r="K121" s="127"/>
      <c r="L121" s="90"/>
      <c r="M121" s="90"/>
      <c r="N121" s="125"/>
      <c r="O121" s="124"/>
      <c r="P121" s="126"/>
      <c r="Q121" s="108">
        <f t="shared" si="27"/>
        <v>54435557.930961713</v>
      </c>
      <c r="R121" s="36">
        <f t="shared" si="24"/>
        <v>-739960.43654874712</v>
      </c>
      <c r="S121" s="58">
        <f t="shared" si="25"/>
        <v>-1.3411028268371743E-2</v>
      </c>
      <c r="T121" s="13">
        <f t="shared" si="22"/>
        <v>1.3411028268371743E-2</v>
      </c>
      <c r="U121" s="114"/>
      <c r="W121"/>
      <c r="X121"/>
    </row>
    <row r="122" spans="1:24" x14ac:dyDescent="0.2">
      <c r="A122" s="90">
        <v>44196</v>
      </c>
      <c r="B122" s="109">
        <f>'Purchased Power Model'!B122</f>
        <v>64641768.777510457</v>
      </c>
      <c r="C122" s="105">
        <f>'Purchased Power Model'!$C$196</f>
        <v>676.62442105263199</v>
      </c>
      <c r="D122" s="105">
        <f>'Purchased Power Model'!$D$196</f>
        <v>0</v>
      </c>
      <c r="E122" s="91">
        <v>0</v>
      </c>
      <c r="F122" s="91">
        <v>31</v>
      </c>
      <c r="G122" s="108">
        <v>120</v>
      </c>
      <c r="H122" s="109">
        <f>'Purchased Power Model'!H122</f>
        <v>33798</v>
      </c>
      <c r="I122" s="91">
        <f>16*21</f>
        <v>336</v>
      </c>
      <c r="J122" s="118">
        <v>1.0442</v>
      </c>
      <c r="K122" s="127"/>
      <c r="L122" s="90"/>
      <c r="M122" s="90"/>
      <c r="N122" s="125"/>
      <c r="O122" s="124"/>
      <c r="P122" s="126"/>
      <c r="Q122" s="108">
        <f t="shared" si="27"/>
        <v>64661340.034810841</v>
      </c>
      <c r="R122" s="36">
        <f t="shared" si="24"/>
        <v>19571.257300384343</v>
      </c>
      <c r="S122" s="58">
        <f t="shared" si="25"/>
        <v>3.0276487897084567E-4</v>
      </c>
      <c r="T122" s="13">
        <f t="shared" si="22"/>
        <v>3.0276487897084567E-4</v>
      </c>
      <c r="U122" s="114"/>
      <c r="W122"/>
      <c r="X122"/>
    </row>
    <row r="123" spans="1:24" x14ac:dyDescent="0.2">
      <c r="A123" s="90">
        <v>44227</v>
      </c>
      <c r="B123" s="109">
        <f>'Purchased Power Model'!B123</f>
        <v>65078363.812808581</v>
      </c>
      <c r="C123" s="105">
        <f>'Purchased Power Model'!$C$185</f>
        <v>815.92000000000007</v>
      </c>
      <c r="D123" s="105">
        <f>'Purchased Power Model'!$D$185</f>
        <v>0</v>
      </c>
      <c r="E123" s="91">
        <v>0</v>
      </c>
      <c r="F123" s="91">
        <v>31</v>
      </c>
      <c r="G123" s="108">
        <v>121</v>
      </c>
      <c r="H123" s="109">
        <f>'Purchased Power Model'!H123</f>
        <v>33905</v>
      </c>
      <c r="I123" s="91">
        <f>16*20</f>
        <v>320</v>
      </c>
      <c r="J123" s="118"/>
      <c r="K123" s="127"/>
      <c r="L123" s="90"/>
      <c r="M123" s="90"/>
      <c r="N123" s="125"/>
      <c r="O123" s="124"/>
      <c r="P123" s="126"/>
      <c r="Q123" s="108">
        <f t="shared" si="27"/>
        <v>69479813.802058131</v>
      </c>
      <c r="R123" s="36">
        <f t="shared" si="24"/>
        <v>4401449.9892495498</v>
      </c>
      <c r="S123" s="58">
        <f t="shared" si="25"/>
        <v>6.7633076976395437E-2</v>
      </c>
      <c r="T123" s="13">
        <f t="shared" si="22"/>
        <v>6.7633076976395437E-2</v>
      </c>
      <c r="U123" s="114"/>
      <c r="W123"/>
      <c r="X123"/>
    </row>
    <row r="124" spans="1:24" x14ac:dyDescent="0.2">
      <c r="A124" s="90">
        <v>44255</v>
      </c>
      <c r="B124" s="109">
        <f>'Purchased Power Model'!B124</f>
        <v>62543996.612808578</v>
      </c>
      <c r="C124" s="105">
        <f>'Purchased Power Model'!$C$186</f>
        <v>792.03236842105298</v>
      </c>
      <c r="D124" s="105">
        <f>'Purchased Power Model'!$D$186</f>
        <v>0</v>
      </c>
      <c r="E124" s="91">
        <v>0</v>
      </c>
      <c r="F124" s="91">
        <v>28</v>
      </c>
      <c r="G124" s="108">
        <v>122</v>
      </c>
      <c r="H124" s="109">
        <f>'Purchased Power Model'!H124</f>
        <v>33905</v>
      </c>
      <c r="I124" s="91">
        <f>16*20</f>
        <v>320</v>
      </c>
      <c r="J124" s="118"/>
      <c r="K124" s="127"/>
      <c r="L124" s="90"/>
      <c r="M124" s="90"/>
      <c r="N124" s="125"/>
      <c r="O124" s="124"/>
      <c r="P124" s="126"/>
      <c r="Q124" s="108">
        <f t="shared" si="27"/>
        <v>63430308.116351932</v>
      </c>
      <c r="R124" s="36">
        <f t="shared" si="24"/>
        <v>886311.50354335457</v>
      </c>
      <c r="S124" s="58">
        <f t="shared" si="25"/>
        <v>1.4171008434754297E-2</v>
      </c>
      <c r="T124" s="13">
        <f t="shared" si="22"/>
        <v>1.4171008434754297E-2</v>
      </c>
      <c r="U124" s="114"/>
      <c r="W124"/>
      <c r="X124"/>
    </row>
    <row r="125" spans="1:24" x14ac:dyDescent="0.2">
      <c r="A125" s="90">
        <v>44286</v>
      </c>
      <c r="B125" s="109">
        <f>'Purchased Power Model'!B125</f>
        <v>61303951.912808575</v>
      </c>
      <c r="C125" s="105">
        <f>'Purchased Power Model'!$C$187</f>
        <v>680.40842105263187</v>
      </c>
      <c r="D125" s="105">
        <f>'Purchased Power Model'!$D$187</f>
        <v>0</v>
      </c>
      <c r="E125" s="91">
        <v>1</v>
      </c>
      <c r="F125" s="91">
        <v>31</v>
      </c>
      <c r="G125" s="108">
        <v>123</v>
      </c>
      <c r="H125" s="109">
        <f>'Purchased Power Model'!H125</f>
        <v>33905</v>
      </c>
      <c r="I125" s="91">
        <f>16*23</f>
        <v>368</v>
      </c>
      <c r="J125" s="118"/>
      <c r="K125" s="37"/>
      <c r="L125" s="37"/>
      <c r="M125" s="37"/>
      <c r="N125" s="125"/>
      <c r="O125" s="124"/>
      <c r="P125" s="126"/>
      <c r="Q125" s="108">
        <f t="shared" si="27"/>
        <v>61770862.922928318</v>
      </c>
      <c r="R125" s="36">
        <f t="shared" si="24"/>
        <v>466911.01011974365</v>
      </c>
      <c r="S125" s="58">
        <f t="shared" si="25"/>
        <v>7.6163280759423491E-3</v>
      </c>
      <c r="T125" s="13">
        <f t="shared" si="22"/>
        <v>7.6163280759423491E-3</v>
      </c>
      <c r="U125" s="114"/>
      <c r="W125"/>
      <c r="X125"/>
    </row>
    <row r="126" spans="1:24" x14ac:dyDescent="0.2">
      <c r="A126" s="90">
        <v>44316</v>
      </c>
      <c r="B126" s="109">
        <f>'Purchased Power Model'!B126</f>
        <v>50610121.132808588</v>
      </c>
      <c r="C126" s="105">
        <f>'Purchased Power Model'!$C$188</f>
        <v>477.98717105263131</v>
      </c>
      <c r="D126" s="105">
        <f>'Purchased Power Model'!$D$188</f>
        <v>-0.22473684210527267</v>
      </c>
      <c r="E126" s="91">
        <v>1</v>
      </c>
      <c r="F126" s="91">
        <v>30</v>
      </c>
      <c r="G126" s="108">
        <v>124</v>
      </c>
      <c r="H126" s="109">
        <f>'Purchased Power Model'!H126</f>
        <v>33905</v>
      </c>
      <c r="I126" s="91">
        <f>16*20</f>
        <v>320</v>
      </c>
      <c r="J126" s="118"/>
      <c r="K126" s="37"/>
      <c r="L126" s="37"/>
      <c r="M126" s="37"/>
      <c r="N126" s="125"/>
      <c r="O126" s="124"/>
      <c r="P126" s="126"/>
      <c r="Q126" s="108">
        <f t="shared" si="27"/>
        <v>52857592.751684777</v>
      </c>
      <c r="R126" s="36">
        <f t="shared" si="24"/>
        <v>2247471.618876189</v>
      </c>
      <c r="S126" s="58">
        <f t="shared" si="25"/>
        <v>4.4407552650950678E-2</v>
      </c>
      <c r="T126" s="13">
        <f t="shared" si="22"/>
        <v>4.4407552650950678E-2</v>
      </c>
      <c r="U126" s="114"/>
      <c r="W126"/>
      <c r="X126"/>
    </row>
    <row r="127" spans="1:24" x14ac:dyDescent="0.2">
      <c r="A127" s="90">
        <v>44347</v>
      </c>
      <c r="B127" s="109">
        <f>'Purchased Power Model'!B127</f>
        <v>46990075.142808586</v>
      </c>
      <c r="C127" s="105">
        <f>'Purchased Power Model'!$C$189</f>
        <v>268.88736842105254</v>
      </c>
      <c r="D127" s="105">
        <f>'Purchased Power Model'!$D$189</f>
        <v>6.1286842105262735</v>
      </c>
      <c r="E127" s="91">
        <v>1</v>
      </c>
      <c r="F127" s="91">
        <v>31</v>
      </c>
      <c r="G127" s="108">
        <v>125</v>
      </c>
      <c r="H127" s="109">
        <f>'Purchased Power Model'!H127</f>
        <v>33905</v>
      </c>
      <c r="I127" s="91">
        <f>16*20</f>
        <v>320</v>
      </c>
      <c r="J127" s="122"/>
      <c r="K127" s="121"/>
      <c r="L127" s="120"/>
      <c r="M127" s="123"/>
      <c r="N127" s="125"/>
      <c r="O127" s="124"/>
      <c r="P127" s="126"/>
      <c r="Q127" s="108">
        <f t="shared" si="27"/>
        <v>47949054.542026483</v>
      </c>
      <c r="R127" s="36">
        <f t="shared" si="24"/>
        <v>958979.39921789616</v>
      </c>
      <c r="S127" s="58">
        <f t="shared" si="25"/>
        <v>2.040812653104811E-2</v>
      </c>
      <c r="T127" s="13">
        <f t="shared" si="22"/>
        <v>2.040812653104811E-2</v>
      </c>
      <c r="U127" s="114"/>
      <c r="W127"/>
      <c r="X127"/>
    </row>
    <row r="128" spans="1:24" x14ac:dyDescent="0.2">
      <c r="A128" s="90">
        <v>44377</v>
      </c>
      <c r="B128" s="109">
        <f>'Purchased Power Model'!B128</f>
        <v>46876885.862808585</v>
      </c>
      <c r="C128" s="105">
        <f>'Purchased Power Model'!$C$190</f>
        <v>108.18519736842109</v>
      </c>
      <c r="D128" s="105">
        <f>'Purchased Power Model'!$D$190</f>
        <v>9.8162499999998545</v>
      </c>
      <c r="E128" s="91">
        <v>0</v>
      </c>
      <c r="F128" s="91">
        <v>30</v>
      </c>
      <c r="G128" s="108">
        <v>126</v>
      </c>
      <c r="H128" s="109">
        <f>'Purchased Power Model'!H128</f>
        <v>33905</v>
      </c>
      <c r="I128" s="91">
        <f>16*22</f>
        <v>352</v>
      </c>
      <c r="J128" s="122"/>
      <c r="K128" s="121"/>
      <c r="L128" s="120"/>
      <c r="M128" s="123"/>
      <c r="N128" s="125"/>
      <c r="O128" s="124"/>
      <c r="P128" s="126"/>
      <c r="Q128" s="108">
        <f t="shared" si="27"/>
        <v>43802046.651560396</v>
      </c>
      <c r="R128" s="36">
        <f t="shared" si="24"/>
        <v>-3074839.2112481892</v>
      </c>
      <c r="S128" s="58">
        <f t="shared" si="25"/>
        <v>-6.5593930881994028E-2</v>
      </c>
      <c r="T128" s="13">
        <f t="shared" si="22"/>
        <v>6.5593930881994028E-2</v>
      </c>
      <c r="U128" s="114"/>
      <c r="W128"/>
      <c r="X128"/>
    </row>
    <row r="129" spans="1:24" x14ac:dyDescent="0.2">
      <c r="A129" s="90">
        <v>44408</v>
      </c>
      <c r="B129" s="109">
        <f>'Purchased Power Model'!B129</f>
        <v>49479150.082808584</v>
      </c>
      <c r="C129" s="105">
        <f>'Purchased Power Model'!$C$191</f>
        <v>34.833684210526314</v>
      </c>
      <c r="D129" s="105">
        <f>'Purchased Power Model'!$D$191</f>
        <v>34.756973684210607</v>
      </c>
      <c r="E129" s="91">
        <v>0</v>
      </c>
      <c r="F129" s="91">
        <v>31</v>
      </c>
      <c r="G129" s="108">
        <v>127</v>
      </c>
      <c r="H129" s="109">
        <f>'Purchased Power Model'!H129</f>
        <v>33905</v>
      </c>
      <c r="I129" s="91">
        <f>16*21</f>
        <v>336</v>
      </c>
      <c r="J129" s="122"/>
      <c r="K129" s="121"/>
      <c r="L129" s="120"/>
      <c r="M129" s="123"/>
      <c r="N129" s="125"/>
      <c r="O129" s="124"/>
      <c r="P129" s="126"/>
      <c r="Q129" s="108">
        <f t="shared" si="27"/>
        <v>45944082.541733958</v>
      </c>
      <c r="R129" s="36">
        <f t="shared" si="24"/>
        <v>-3535067.5410746261</v>
      </c>
      <c r="S129" s="58">
        <f t="shared" si="25"/>
        <v>-7.1445599513296348E-2</v>
      </c>
      <c r="T129" s="13">
        <f t="shared" si="22"/>
        <v>7.1445599513296348E-2</v>
      </c>
      <c r="U129" s="114"/>
      <c r="W129"/>
      <c r="X129"/>
    </row>
    <row r="130" spans="1:24" x14ac:dyDescent="0.2">
      <c r="A130" s="90">
        <v>44439</v>
      </c>
      <c r="B130" s="109">
        <f>'Purchased Power Model'!B130</f>
        <v>52448762.112808578</v>
      </c>
      <c r="C130" s="105">
        <f>'Purchased Power Model'!$C$192</f>
        <v>36.201578947368432</v>
      </c>
      <c r="D130" s="105">
        <f>'Purchased Power Model'!$D$192</f>
        <v>34.614736842105259</v>
      </c>
      <c r="E130" s="91">
        <v>0</v>
      </c>
      <c r="F130" s="91">
        <v>31</v>
      </c>
      <c r="G130" s="108">
        <v>128</v>
      </c>
      <c r="H130" s="109">
        <f>'Purchased Power Model'!H130</f>
        <v>33905</v>
      </c>
      <c r="I130" s="91">
        <f>16*22</f>
        <v>352</v>
      </c>
      <c r="J130" s="122"/>
      <c r="K130" s="121"/>
      <c r="L130" s="120"/>
      <c r="M130" s="123"/>
      <c r="N130" s="125"/>
      <c r="O130" s="124"/>
      <c r="P130" s="126"/>
      <c r="Q130" s="108">
        <f t="shared" si="27"/>
        <v>45908644.321472257</v>
      </c>
      <c r="R130" s="36">
        <f t="shared" si="24"/>
        <v>-6540117.7913363203</v>
      </c>
      <c r="S130" s="58">
        <f t="shared" si="25"/>
        <v>-0.12469536987869442</v>
      </c>
      <c r="T130" s="13">
        <f t="shared" si="22"/>
        <v>0.12469536987869442</v>
      </c>
      <c r="U130" s="114"/>
      <c r="W130"/>
      <c r="X130"/>
    </row>
    <row r="131" spans="1:24" x14ac:dyDescent="0.2">
      <c r="A131" s="90">
        <v>44469</v>
      </c>
      <c r="B131" s="109">
        <f>'Purchased Power Model'!B131</f>
        <v>44433577.802808583</v>
      </c>
      <c r="C131" s="105">
        <f>'Purchased Power Model'!$C$193</f>
        <v>139.78578947368442</v>
      </c>
      <c r="D131" s="105">
        <f>'Purchased Power Model'!$D$193</f>
        <v>7.7718421052632038</v>
      </c>
      <c r="E131" s="91">
        <v>1</v>
      </c>
      <c r="F131" s="91">
        <v>30</v>
      </c>
      <c r="G131" s="108">
        <v>129</v>
      </c>
      <c r="H131" s="109">
        <f>'Purchased Power Model'!H131</f>
        <v>33905</v>
      </c>
      <c r="I131" s="91">
        <f>16*20</f>
        <v>320</v>
      </c>
      <c r="J131" s="122"/>
      <c r="K131" s="121"/>
      <c r="L131" s="120"/>
      <c r="M131" s="123"/>
      <c r="N131" s="125"/>
      <c r="O131" s="124"/>
      <c r="P131" s="126"/>
      <c r="Q131" s="108">
        <f t="shared" si="27"/>
        <v>41641041.849284887</v>
      </c>
      <c r="R131" s="36">
        <f t="shared" si="24"/>
        <v>-2792535.9535236955</v>
      </c>
      <c r="S131" s="58">
        <f t="shared" si="25"/>
        <v>-6.2847425114328365E-2</v>
      </c>
      <c r="T131" s="13">
        <f t="shared" ref="T131:T134" si="28">ABS(S131)</f>
        <v>6.2847425114328365E-2</v>
      </c>
      <c r="U131" s="114"/>
      <c r="W131"/>
      <c r="X131"/>
    </row>
    <row r="132" spans="1:24" x14ac:dyDescent="0.2">
      <c r="A132" s="90">
        <v>44500</v>
      </c>
      <c r="B132" s="109">
        <f>'Purchased Power Model'!B132</f>
        <v>48204018.482808582</v>
      </c>
      <c r="C132" s="105">
        <f>'Purchased Power Model'!$C$194</f>
        <v>314.25855263157882</v>
      </c>
      <c r="D132" s="105">
        <f>'Purchased Power Model'!$D$194</f>
        <v>0.33421052631578618</v>
      </c>
      <c r="E132" s="91">
        <v>1</v>
      </c>
      <c r="F132" s="91">
        <v>31</v>
      </c>
      <c r="G132" s="108">
        <v>130</v>
      </c>
      <c r="H132" s="109">
        <f>'Purchased Power Model'!H132</f>
        <v>33905</v>
      </c>
      <c r="I132" s="91">
        <f>16*20</f>
        <v>320</v>
      </c>
      <c r="J132" s="122"/>
      <c r="K132" s="121"/>
      <c r="L132" s="120"/>
      <c r="M132" s="123"/>
      <c r="N132" s="125"/>
      <c r="O132" s="124"/>
      <c r="P132" s="126"/>
      <c r="Q132" s="108">
        <f t="shared" si="27"/>
        <v>48499065.850237712</v>
      </c>
      <c r="R132" s="36">
        <f t="shared" si="24"/>
        <v>295047.36742912978</v>
      </c>
      <c r="S132" s="58">
        <f t="shared" si="25"/>
        <v>6.1208043792937115E-3</v>
      </c>
      <c r="T132" s="13">
        <f t="shared" si="28"/>
        <v>6.1208043792937115E-3</v>
      </c>
      <c r="U132" s="114"/>
      <c r="W132"/>
      <c r="X132"/>
    </row>
    <row r="133" spans="1:24" x14ac:dyDescent="0.2">
      <c r="A133" s="90">
        <v>44530</v>
      </c>
      <c r="B133" s="109">
        <f>'Purchased Power Model'!B133</f>
        <v>55185302.592808582</v>
      </c>
      <c r="C133" s="105">
        <f>'Purchased Power Model'!$C$195</f>
        <v>512.63131578947377</v>
      </c>
      <c r="D133" s="105">
        <f>'Purchased Power Model'!$D$195</f>
        <v>0</v>
      </c>
      <c r="E133" s="91">
        <v>1</v>
      </c>
      <c r="F133" s="91">
        <v>30</v>
      </c>
      <c r="G133" s="108">
        <v>131</v>
      </c>
      <c r="H133" s="109">
        <f>'Purchased Power Model'!H133</f>
        <v>33905</v>
      </c>
      <c r="I133" s="91">
        <f>16*21</f>
        <v>336</v>
      </c>
      <c r="J133" s="122"/>
      <c r="K133" s="121"/>
      <c r="L133" s="120"/>
      <c r="M133" s="123"/>
      <c r="N133" s="125"/>
      <c r="O133" s="124"/>
      <c r="P133" s="126"/>
      <c r="Q133" s="108">
        <f t="shared" si="27"/>
        <v>53639494.852600351</v>
      </c>
      <c r="R133" s="36">
        <f t="shared" si="24"/>
        <v>-1545807.7402082309</v>
      </c>
      <c r="S133" s="58">
        <f t="shared" si="25"/>
        <v>-2.8011221603950601E-2</v>
      </c>
      <c r="T133" s="13">
        <f t="shared" si="28"/>
        <v>2.8011221603950601E-2</v>
      </c>
      <c r="U133" s="114"/>
      <c r="W133"/>
      <c r="X133"/>
    </row>
    <row r="134" spans="1:24" x14ac:dyDescent="0.2">
      <c r="A134" s="90">
        <v>44561</v>
      </c>
      <c r="B134" s="109">
        <f>'Purchased Power Model'!B134</f>
        <v>64586731.152808584</v>
      </c>
      <c r="C134" s="105">
        <f>'Purchased Power Model'!$C$196</f>
        <v>676.62442105263199</v>
      </c>
      <c r="D134" s="105">
        <f>'Purchased Power Model'!$D$196</f>
        <v>0</v>
      </c>
      <c r="E134" s="91">
        <v>0</v>
      </c>
      <c r="F134" s="91">
        <v>31</v>
      </c>
      <c r="G134" s="108">
        <v>132</v>
      </c>
      <c r="H134" s="109">
        <f>'Purchased Power Model'!H134</f>
        <v>33905</v>
      </c>
      <c r="I134" s="91">
        <f>16*21</f>
        <v>336</v>
      </c>
      <c r="J134" s="122"/>
      <c r="K134" s="121"/>
      <c r="L134" s="120"/>
      <c r="M134" s="123"/>
      <c r="N134" s="125"/>
      <c r="O134" s="124"/>
      <c r="P134" s="126"/>
      <c r="Q134" s="108">
        <f t="shared" si="27"/>
        <v>63865276.956449479</v>
      </c>
      <c r="R134" s="36">
        <f t="shared" si="24"/>
        <v>-721454.19635910541</v>
      </c>
      <c r="S134" s="58">
        <f t="shared" si="25"/>
        <v>-1.1170315999615854E-2</v>
      </c>
      <c r="T134" s="13">
        <f t="shared" si="28"/>
        <v>1.1170315999615854E-2</v>
      </c>
      <c r="U134" s="114"/>
      <c r="W134"/>
      <c r="X134"/>
    </row>
    <row r="135" spans="1:24" x14ac:dyDescent="0.2">
      <c r="A135" s="90">
        <v>44592</v>
      </c>
      <c r="B135" s="92"/>
      <c r="C135" s="105">
        <f>'Purchased Power Model'!$C$185</f>
        <v>815.92000000000007</v>
      </c>
      <c r="D135" s="105">
        <f>'Purchased Power Model'!$D$185</f>
        <v>0</v>
      </c>
      <c r="E135" s="91">
        <v>0</v>
      </c>
      <c r="F135" s="91">
        <v>31</v>
      </c>
      <c r="G135" s="108">
        <v>133</v>
      </c>
      <c r="H135" s="109">
        <f>'Purchased Power Model'!H135</f>
        <v>34006.641468847003</v>
      </c>
      <c r="I135" s="91"/>
      <c r="J135" s="122"/>
      <c r="K135" s="121"/>
      <c r="L135" s="120"/>
      <c r="M135" s="123"/>
      <c r="N135" s="125"/>
      <c r="O135" s="124"/>
      <c r="P135" s="126"/>
      <c r="Q135" s="108">
        <f t="shared" si="27"/>
        <v>68683981.103513092</v>
      </c>
      <c r="R135" s="36"/>
      <c r="S135" s="58"/>
      <c r="T135" s="13"/>
      <c r="U135" s="114"/>
      <c r="W135"/>
      <c r="X135"/>
    </row>
    <row r="136" spans="1:24" x14ac:dyDescent="0.2">
      <c r="A136" s="90">
        <v>44620</v>
      </c>
      <c r="B136" s="92"/>
      <c r="C136" s="105">
        <f>'Purchased Power Model'!$C$186</f>
        <v>792.03236842105298</v>
      </c>
      <c r="D136" s="105">
        <f>'Purchased Power Model'!$D$186</f>
        <v>0</v>
      </c>
      <c r="E136" s="91">
        <v>0</v>
      </c>
      <c r="F136" s="91">
        <v>28</v>
      </c>
      <c r="G136" s="108">
        <v>134</v>
      </c>
      <c r="H136" s="109">
        <f>'Purchased Power Model'!H136</f>
        <v>34006.641468847003</v>
      </c>
      <c r="I136" s="91"/>
      <c r="J136" s="122"/>
      <c r="K136" s="121"/>
      <c r="L136" s="120"/>
      <c r="M136" s="123"/>
      <c r="N136" s="125"/>
      <c r="O136" s="124"/>
      <c r="P136" s="126"/>
      <c r="Q136" s="108">
        <f t="shared" si="27"/>
        <v>62634475.417806894</v>
      </c>
      <c r="R136" s="36"/>
      <c r="S136" s="58"/>
      <c r="T136" s="13"/>
      <c r="U136" s="114"/>
      <c r="W136"/>
      <c r="X136"/>
    </row>
    <row r="137" spans="1:24" x14ac:dyDescent="0.2">
      <c r="A137" s="90">
        <v>44651</v>
      </c>
      <c r="B137" s="92"/>
      <c r="C137" s="105">
        <f>'Purchased Power Model'!$C$187</f>
        <v>680.40842105263187</v>
      </c>
      <c r="D137" s="105">
        <f>'Purchased Power Model'!$D$187</f>
        <v>0</v>
      </c>
      <c r="E137" s="91">
        <v>1</v>
      </c>
      <c r="F137" s="91">
        <v>31</v>
      </c>
      <c r="G137" s="108">
        <v>135</v>
      </c>
      <c r="H137" s="109">
        <f>'Purchased Power Model'!H137</f>
        <v>34006.641468847003</v>
      </c>
      <c r="I137" s="91"/>
      <c r="J137" s="122"/>
      <c r="K137" s="121"/>
      <c r="L137" s="120"/>
      <c r="M137" s="123"/>
      <c r="N137" s="125"/>
      <c r="O137" s="124"/>
      <c r="P137" s="126"/>
      <c r="Q137" s="108">
        <f t="shared" si="27"/>
        <v>60975030.22438328</v>
      </c>
      <c r="R137" s="36"/>
      <c r="S137" s="58"/>
      <c r="T137" s="13"/>
      <c r="U137" s="114"/>
      <c r="W137"/>
      <c r="X137"/>
    </row>
    <row r="138" spans="1:24" x14ac:dyDescent="0.2">
      <c r="A138" s="90">
        <v>44681</v>
      </c>
      <c r="B138" s="92"/>
      <c r="C138" s="105">
        <f>'Purchased Power Model'!$C$188</f>
        <v>477.98717105263131</v>
      </c>
      <c r="D138" s="105">
        <f>'Purchased Power Model'!$D$188</f>
        <v>-0.22473684210527267</v>
      </c>
      <c r="E138" s="91">
        <v>1</v>
      </c>
      <c r="F138" s="91">
        <v>30</v>
      </c>
      <c r="G138" s="108">
        <v>136</v>
      </c>
      <c r="H138" s="109">
        <f>'Purchased Power Model'!H138</f>
        <v>34006.641468847003</v>
      </c>
      <c r="I138" s="91"/>
      <c r="J138" s="122"/>
      <c r="K138" s="121"/>
      <c r="L138" s="120"/>
      <c r="M138" s="123"/>
      <c r="N138" s="125"/>
      <c r="O138" s="124"/>
      <c r="P138" s="126"/>
      <c r="Q138" s="108">
        <f t="shared" si="27"/>
        <v>52061760.053139746</v>
      </c>
      <c r="R138" s="36"/>
      <c r="S138" s="58"/>
      <c r="T138" s="13"/>
      <c r="U138" s="114"/>
      <c r="W138"/>
      <c r="X138"/>
    </row>
    <row r="139" spans="1:24" x14ac:dyDescent="0.2">
      <c r="A139" s="90">
        <v>44712</v>
      </c>
      <c r="B139" s="92"/>
      <c r="C139" s="105">
        <f>'Purchased Power Model'!$C$189</f>
        <v>268.88736842105254</v>
      </c>
      <c r="D139" s="105">
        <f>'Purchased Power Model'!$D$189</f>
        <v>6.1286842105262735</v>
      </c>
      <c r="E139" s="91">
        <v>1</v>
      </c>
      <c r="F139" s="91">
        <v>31</v>
      </c>
      <c r="G139" s="108">
        <v>137</v>
      </c>
      <c r="H139" s="109">
        <f>'Purchased Power Model'!H139</f>
        <v>34006.641468847003</v>
      </c>
      <c r="I139" s="91"/>
      <c r="J139" s="122"/>
      <c r="K139" s="121"/>
      <c r="L139" s="120"/>
      <c r="M139" s="123"/>
      <c r="N139" s="125"/>
      <c r="O139" s="124"/>
      <c r="P139" s="126"/>
      <c r="Q139" s="108">
        <f t="shared" si="27"/>
        <v>47153221.843481451</v>
      </c>
      <c r="R139" s="36"/>
      <c r="S139" s="58"/>
      <c r="T139" s="13"/>
      <c r="U139" s="114"/>
      <c r="W139"/>
      <c r="X139"/>
    </row>
    <row r="140" spans="1:24" x14ac:dyDescent="0.2">
      <c r="A140" s="90">
        <v>44742</v>
      </c>
      <c r="B140" s="92"/>
      <c r="C140" s="105">
        <f>'Purchased Power Model'!$C$190</f>
        <v>108.18519736842109</v>
      </c>
      <c r="D140" s="105">
        <f>'Purchased Power Model'!$D$190</f>
        <v>9.8162499999998545</v>
      </c>
      <c r="E140" s="91">
        <v>0</v>
      </c>
      <c r="F140" s="91">
        <v>30</v>
      </c>
      <c r="G140" s="108">
        <v>138</v>
      </c>
      <c r="H140" s="109">
        <f>'Purchased Power Model'!H140</f>
        <v>34006.641468847003</v>
      </c>
      <c r="I140" s="91"/>
      <c r="J140" s="122"/>
      <c r="K140" s="121"/>
      <c r="L140" s="120"/>
      <c r="M140" s="123"/>
      <c r="N140" s="125"/>
      <c r="O140" s="124"/>
      <c r="P140" s="126"/>
      <c r="Q140" s="108">
        <f t="shared" si="27"/>
        <v>43006213.953015357</v>
      </c>
      <c r="R140" s="36"/>
      <c r="S140" s="58"/>
      <c r="T140" s="13"/>
      <c r="U140" s="114"/>
      <c r="W140"/>
      <c r="X140"/>
    </row>
    <row r="141" spans="1:24" x14ac:dyDescent="0.2">
      <c r="A141" s="90">
        <v>44773</v>
      </c>
      <c r="B141" s="128"/>
      <c r="C141" s="105">
        <f>'Purchased Power Model'!$C$191</f>
        <v>34.833684210526314</v>
      </c>
      <c r="D141" s="105">
        <f>'Purchased Power Model'!$D$191</f>
        <v>34.756973684210607</v>
      </c>
      <c r="E141" s="91">
        <v>0</v>
      </c>
      <c r="F141" s="91">
        <v>31</v>
      </c>
      <c r="G141" s="108">
        <v>139</v>
      </c>
      <c r="H141" s="109">
        <f>'Purchased Power Model'!H141</f>
        <v>34006.641468847003</v>
      </c>
      <c r="I141" s="91"/>
      <c r="J141" s="6"/>
      <c r="K141" s="6"/>
      <c r="L141" s="6"/>
      <c r="M141" s="6"/>
      <c r="N141" s="99"/>
      <c r="O141" s="99"/>
      <c r="P141" s="100"/>
      <c r="Q141" s="108">
        <f t="shared" si="27"/>
        <v>45148249.843188919</v>
      </c>
      <c r="R141" s="36"/>
      <c r="S141" s="58"/>
      <c r="T141" s="13"/>
      <c r="U141" s="114"/>
      <c r="W141"/>
      <c r="X141"/>
    </row>
    <row r="142" spans="1:24" x14ac:dyDescent="0.2">
      <c r="A142" s="90">
        <v>44804</v>
      </c>
      <c r="B142" s="128"/>
      <c r="C142" s="105">
        <f>'Purchased Power Model'!$C$192</f>
        <v>36.201578947368432</v>
      </c>
      <c r="D142" s="105">
        <f>'Purchased Power Model'!$D$192</f>
        <v>34.614736842105259</v>
      </c>
      <c r="E142" s="91">
        <v>0</v>
      </c>
      <c r="F142" s="91">
        <v>31</v>
      </c>
      <c r="G142" s="108">
        <v>140</v>
      </c>
      <c r="H142" s="109">
        <f>'Purchased Power Model'!H142</f>
        <v>34006.641468847003</v>
      </c>
      <c r="I142" s="91"/>
      <c r="J142" s="6"/>
      <c r="K142" s="6"/>
      <c r="L142" s="6"/>
      <c r="M142" s="6"/>
      <c r="N142" s="99"/>
      <c r="O142" s="99"/>
      <c r="P142" s="100"/>
      <c r="Q142" s="108">
        <f t="shared" si="27"/>
        <v>45112811.622927219</v>
      </c>
      <c r="R142" s="36"/>
      <c r="S142" s="58"/>
      <c r="T142" s="13"/>
      <c r="U142" s="114"/>
      <c r="W142"/>
      <c r="X142"/>
    </row>
    <row r="143" spans="1:24" x14ac:dyDescent="0.2">
      <c r="A143" s="90">
        <v>44834</v>
      </c>
      <c r="B143" s="128"/>
      <c r="C143" s="105">
        <f>'Purchased Power Model'!$C$193</f>
        <v>139.78578947368442</v>
      </c>
      <c r="D143" s="105">
        <f>'Purchased Power Model'!$D$193</f>
        <v>7.7718421052632038</v>
      </c>
      <c r="E143" s="91">
        <v>1</v>
      </c>
      <c r="F143" s="91">
        <v>30</v>
      </c>
      <c r="G143" s="108">
        <v>141</v>
      </c>
      <c r="H143" s="109">
        <f>'Purchased Power Model'!H143</f>
        <v>34006.641468847003</v>
      </c>
      <c r="I143" s="91"/>
      <c r="J143" s="6"/>
      <c r="K143" s="6"/>
      <c r="L143" s="6"/>
      <c r="M143" s="6"/>
      <c r="N143" s="99"/>
      <c r="O143" s="99"/>
      <c r="P143" s="100"/>
      <c r="Q143" s="108">
        <f t="shared" si="27"/>
        <v>40845209.150739849</v>
      </c>
      <c r="R143" s="36"/>
      <c r="S143" s="58"/>
      <c r="T143" s="13"/>
      <c r="U143" s="114"/>
      <c r="W143"/>
      <c r="X143"/>
    </row>
    <row r="144" spans="1:24" x14ac:dyDescent="0.2">
      <c r="A144" s="90">
        <v>44865</v>
      </c>
      <c r="B144" s="128"/>
      <c r="C144" s="105">
        <f>'Purchased Power Model'!$C$194</f>
        <v>314.25855263157882</v>
      </c>
      <c r="D144" s="105">
        <f>'Purchased Power Model'!$D$194</f>
        <v>0.33421052631578618</v>
      </c>
      <c r="E144" s="91">
        <v>1</v>
      </c>
      <c r="F144" s="91">
        <v>31</v>
      </c>
      <c r="G144" s="108">
        <v>142</v>
      </c>
      <c r="H144" s="109">
        <f>'Purchased Power Model'!H144</f>
        <v>34006.641468847003</v>
      </c>
      <c r="I144" s="91"/>
      <c r="J144" s="6"/>
      <c r="K144" s="6"/>
      <c r="L144" s="6"/>
      <c r="M144" s="6"/>
      <c r="N144" s="99"/>
      <c r="O144" s="99"/>
      <c r="P144" s="100"/>
      <c r="Q144" s="108">
        <f t="shared" si="27"/>
        <v>47703233.151692681</v>
      </c>
      <c r="R144" s="36"/>
      <c r="S144" s="58"/>
      <c r="T144" s="13"/>
      <c r="U144" s="114"/>
      <c r="W144"/>
      <c r="X144"/>
    </row>
    <row r="145" spans="1:24" x14ac:dyDescent="0.2">
      <c r="A145" s="90">
        <v>44895</v>
      </c>
      <c r="B145" s="128"/>
      <c r="C145" s="105">
        <f>'Purchased Power Model'!$C$195</f>
        <v>512.63131578947377</v>
      </c>
      <c r="D145" s="105">
        <f>'Purchased Power Model'!$D$195</f>
        <v>0</v>
      </c>
      <c r="E145" s="91">
        <v>1</v>
      </c>
      <c r="F145" s="91">
        <v>30</v>
      </c>
      <c r="G145" s="108">
        <v>143</v>
      </c>
      <c r="H145" s="109">
        <f>'Purchased Power Model'!H145</f>
        <v>34006.641468847003</v>
      </c>
      <c r="I145" s="91"/>
      <c r="J145" s="6"/>
      <c r="K145" s="6"/>
      <c r="L145" s="6"/>
      <c r="M145" s="6"/>
      <c r="N145" s="99"/>
      <c r="O145" s="99"/>
      <c r="P145" s="100"/>
      <c r="Q145" s="108">
        <f t="shared" si="27"/>
        <v>52843662.154055312</v>
      </c>
      <c r="R145" s="36"/>
      <c r="S145" s="58"/>
      <c r="T145" s="13"/>
      <c r="U145" s="114"/>
      <c r="W145"/>
      <c r="X145"/>
    </row>
    <row r="146" spans="1:24" x14ac:dyDescent="0.2">
      <c r="A146" s="90">
        <v>44926</v>
      </c>
      <c r="B146" s="128"/>
      <c r="C146" s="105">
        <f>'Purchased Power Model'!$C$196</f>
        <v>676.62442105263199</v>
      </c>
      <c r="D146" s="105">
        <f>'Purchased Power Model'!$D$196</f>
        <v>0</v>
      </c>
      <c r="E146" s="91">
        <v>0</v>
      </c>
      <c r="F146" s="91">
        <v>31</v>
      </c>
      <c r="G146" s="108">
        <v>144</v>
      </c>
      <c r="H146" s="109">
        <f>'Purchased Power Model'!H146</f>
        <v>34006.641468847003</v>
      </c>
      <c r="I146" s="91"/>
      <c r="J146" s="6"/>
      <c r="K146" s="6"/>
      <c r="L146" s="6"/>
      <c r="M146" s="6"/>
      <c r="N146" s="99"/>
      <c r="O146" s="99"/>
      <c r="P146" s="100"/>
      <c r="Q146" s="108">
        <f t="shared" si="27"/>
        <v>63069444.25790444</v>
      </c>
      <c r="R146" s="36"/>
      <c r="S146" s="58"/>
      <c r="T146" s="13"/>
      <c r="U146" s="114"/>
      <c r="W146"/>
      <c r="X146"/>
    </row>
    <row r="147" spans="1:24" x14ac:dyDescent="0.2">
      <c r="A147" s="90">
        <v>44957</v>
      </c>
      <c r="B147" s="128"/>
      <c r="C147" s="105">
        <f>'Purchased Power Model'!$C$185</f>
        <v>815.92000000000007</v>
      </c>
      <c r="D147" s="105">
        <f>'Purchased Power Model'!$D$185</f>
        <v>0</v>
      </c>
      <c r="E147" s="91">
        <v>0</v>
      </c>
      <c r="F147" s="91">
        <v>31</v>
      </c>
      <c r="G147" s="108">
        <v>145</v>
      </c>
      <c r="H147" s="109">
        <f>'Purchased Power Model'!H147</f>
        <v>34108.711230438079</v>
      </c>
      <c r="I147" s="91"/>
      <c r="J147" s="6"/>
      <c r="K147" s="6"/>
      <c r="L147" s="6"/>
      <c r="M147" s="6"/>
      <c r="N147" s="99"/>
      <c r="O147" s="99"/>
      <c r="P147" s="100"/>
      <c r="Q147" s="108">
        <f t="shared" si="27"/>
        <v>67888129.991339222</v>
      </c>
      <c r="R147" s="36"/>
      <c r="S147" s="58"/>
      <c r="T147" s="13"/>
      <c r="U147" s="114"/>
      <c r="W147"/>
      <c r="X147"/>
    </row>
    <row r="148" spans="1:24" x14ac:dyDescent="0.2">
      <c r="A148" s="90">
        <v>44985</v>
      </c>
      <c r="B148" s="128"/>
      <c r="C148" s="105">
        <f>'Purchased Power Model'!$C$186</f>
        <v>792.03236842105298</v>
      </c>
      <c r="D148" s="105">
        <f>'Purchased Power Model'!$D$186</f>
        <v>0</v>
      </c>
      <c r="E148" s="91">
        <v>0</v>
      </c>
      <c r="F148" s="91">
        <v>28</v>
      </c>
      <c r="G148" s="108">
        <v>146</v>
      </c>
      <c r="H148" s="109">
        <f>'Purchased Power Model'!H148</f>
        <v>34108.711230438079</v>
      </c>
      <c r="I148" s="91"/>
      <c r="J148" s="6"/>
      <c r="K148" s="6"/>
      <c r="L148" s="6"/>
      <c r="M148" s="6"/>
      <c r="N148" s="99"/>
      <c r="O148" s="99"/>
      <c r="P148" s="100"/>
      <c r="Q148" s="108">
        <f t="shared" si="27"/>
        <v>61838624.305633031</v>
      </c>
      <c r="R148" s="36"/>
      <c r="S148" s="58"/>
      <c r="T148" s="13"/>
      <c r="U148" s="114"/>
      <c r="W148"/>
      <c r="X148"/>
    </row>
    <row r="149" spans="1:24" x14ac:dyDescent="0.2">
      <c r="A149" s="90">
        <v>45016</v>
      </c>
      <c r="B149" s="128"/>
      <c r="C149" s="105">
        <f>'Purchased Power Model'!$C$187</f>
        <v>680.40842105263187</v>
      </c>
      <c r="D149" s="105">
        <f>'Purchased Power Model'!$D$187</f>
        <v>0</v>
      </c>
      <c r="E149" s="91">
        <v>1</v>
      </c>
      <c r="F149" s="91">
        <v>31</v>
      </c>
      <c r="G149" s="108">
        <v>147</v>
      </c>
      <c r="H149" s="109">
        <f>'Purchased Power Model'!H149</f>
        <v>34108.711230438079</v>
      </c>
      <c r="I149" s="91"/>
      <c r="J149" s="6"/>
      <c r="K149" s="6"/>
      <c r="L149" s="6"/>
      <c r="M149" s="6"/>
      <c r="N149" s="99"/>
      <c r="O149" s="99"/>
      <c r="P149" s="100"/>
      <c r="Q149" s="108">
        <f t="shared" si="27"/>
        <v>60179179.112209417</v>
      </c>
      <c r="R149" s="36"/>
      <c r="S149" s="58"/>
      <c r="T149" s="13"/>
      <c r="U149" s="114"/>
      <c r="W149"/>
      <c r="X149"/>
    </row>
    <row r="150" spans="1:24" x14ac:dyDescent="0.2">
      <c r="A150" s="90">
        <v>45046</v>
      </c>
      <c r="B150" s="128"/>
      <c r="C150" s="105">
        <f>'Purchased Power Model'!$C$188</f>
        <v>477.98717105263131</v>
      </c>
      <c r="D150" s="105">
        <f>'Purchased Power Model'!$D$188</f>
        <v>-0.22473684210527267</v>
      </c>
      <c r="E150" s="91">
        <v>1</v>
      </c>
      <c r="F150" s="91">
        <v>30</v>
      </c>
      <c r="G150" s="108">
        <v>148</v>
      </c>
      <c r="H150" s="109">
        <f>'Purchased Power Model'!H150</f>
        <v>34108.711230438079</v>
      </c>
      <c r="I150" s="91"/>
      <c r="J150" s="6"/>
      <c r="K150" s="6"/>
      <c r="L150" s="6"/>
      <c r="M150" s="6"/>
      <c r="N150" s="99"/>
      <c r="O150" s="99"/>
      <c r="P150" s="100"/>
      <c r="Q150" s="108">
        <f t="shared" si="27"/>
        <v>51265908.940965883</v>
      </c>
      <c r="R150" s="36"/>
      <c r="S150" s="58"/>
      <c r="T150" s="13"/>
      <c r="U150" s="114"/>
      <c r="W150"/>
      <c r="X150"/>
    </row>
    <row r="151" spans="1:24" x14ac:dyDescent="0.2">
      <c r="A151" s="90">
        <v>45077</v>
      </c>
      <c r="B151" s="128"/>
      <c r="C151" s="105">
        <f>'Purchased Power Model'!$C$189</f>
        <v>268.88736842105254</v>
      </c>
      <c r="D151" s="105">
        <f>'Purchased Power Model'!$D$189</f>
        <v>6.1286842105262735</v>
      </c>
      <c r="E151" s="91">
        <v>1</v>
      </c>
      <c r="F151" s="91">
        <v>31</v>
      </c>
      <c r="G151" s="108">
        <v>149</v>
      </c>
      <c r="H151" s="109">
        <f>'Purchased Power Model'!H151</f>
        <v>34108.711230438079</v>
      </c>
      <c r="I151" s="91"/>
      <c r="J151" s="6"/>
      <c r="K151" s="6"/>
      <c r="L151" s="6"/>
      <c r="M151" s="6"/>
      <c r="N151" s="99"/>
      <c r="O151" s="99"/>
      <c r="P151" s="100"/>
      <c r="Q151" s="108">
        <f t="shared" si="27"/>
        <v>46357370.731307589</v>
      </c>
      <c r="R151" s="36"/>
      <c r="S151" s="58"/>
      <c r="T151" s="13"/>
      <c r="U151" s="114"/>
      <c r="W151"/>
      <c r="X151"/>
    </row>
    <row r="152" spans="1:24" x14ac:dyDescent="0.2">
      <c r="A152" s="90">
        <v>45107</v>
      </c>
      <c r="B152" s="128"/>
      <c r="C152" s="105">
        <f>'Purchased Power Model'!$C$190</f>
        <v>108.18519736842109</v>
      </c>
      <c r="D152" s="105">
        <f>'Purchased Power Model'!$D$190</f>
        <v>9.8162499999998545</v>
      </c>
      <c r="E152" s="91">
        <v>0</v>
      </c>
      <c r="F152" s="91">
        <v>30</v>
      </c>
      <c r="G152" s="108">
        <v>150</v>
      </c>
      <c r="H152" s="109">
        <f>'Purchased Power Model'!H152</f>
        <v>34108.711230438079</v>
      </c>
      <c r="I152" s="91"/>
      <c r="J152" s="6"/>
      <c r="K152" s="6"/>
      <c r="L152" s="6"/>
      <c r="M152" s="6"/>
      <c r="N152" s="99"/>
      <c r="O152" s="99"/>
      <c r="P152" s="100"/>
      <c r="Q152" s="108">
        <f t="shared" si="27"/>
        <v>42210362.840841495</v>
      </c>
      <c r="R152" s="36"/>
      <c r="S152" s="58"/>
      <c r="T152" s="13"/>
      <c r="U152" s="114"/>
      <c r="W152"/>
      <c r="X152"/>
    </row>
    <row r="153" spans="1:24" x14ac:dyDescent="0.2">
      <c r="A153" s="90">
        <v>45138</v>
      </c>
      <c r="B153" s="128"/>
      <c r="C153" s="105">
        <f>'Purchased Power Model'!$C$191</f>
        <v>34.833684210526314</v>
      </c>
      <c r="D153" s="105">
        <f>'Purchased Power Model'!$D$191</f>
        <v>34.756973684210607</v>
      </c>
      <c r="E153" s="91">
        <v>0</v>
      </c>
      <c r="F153" s="91">
        <v>31</v>
      </c>
      <c r="G153" s="108">
        <v>151</v>
      </c>
      <c r="H153" s="109">
        <f>'Purchased Power Model'!H153</f>
        <v>34108.711230438079</v>
      </c>
      <c r="I153" s="91"/>
      <c r="J153" s="6"/>
      <c r="K153" s="6"/>
      <c r="L153" s="6"/>
      <c r="M153" s="6"/>
      <c r="N153" s="99"/>
      <c r="O153" s="99"/>
      <c r="P153" s="100"/>
      <c r="Q153" s="108">
        <f t="shared" si="27"/>
        <v>44352398.731015056</v>
      </c>
      <c r="R153" s="36"/>
      <c r="S153" s="58"/>
      <c r="T153" s="13"/>
      <c r="U153" s="114"/>
      <c r="W153"/>
      <c r="X153"/>
    </row>
    <row r="154" spans="1:24" x14ac:dyDescent="0.2">
      <c r="A154" s="90">
        <v>45169</v>
      </c>
      <c r="B154" s="128"/>
      <c r="C154" s="105">
        <f>'Purchased Power Model'!$C$192</f>
        <v>36.201578947368432</v>
      </c>
      <c r="D154" s="105">
        <f>'Purchased Power Model'!$D$192</f>
        <v>34.614736842105259</v>
      </c>
      <c r="E154" s="91">
        <v>0</v>
      </c>
      <c r="F154" s="91">
        <v>31</v>
      </c>
      <c r="G154" s="108">
        <v>152</v>
      </c>
      <c r="H154" s="109">
        <f>'Purchased Power Model'!H154</f>
        <v>34108.711230438079</v>
      </c>
      <c r="I154" s="91"/>
      <c r="J154" s="6"/>
      <c r="K154" s="6"/>
      <c r="L154" s="6"/>
      <c r="M154" s="6"/>
      <c r="N154" s="99"/>
      <c r="O154" s="99"/>
      <c r="P154" s="100"/>
      <c r="Q154" s="108">
        <f t="shared" si="27"/>
        <v>44316960.510753356</v>
      </c>
      <c r="R154" s="36"/>
      <c r="S154" s="58"/>
      <c r="T154" s="13"/>
      <c r="U154" s="114"/>
      <c r="W154"/>
      <c r="X154"/>
    </row>
    <row r="155" spans="1:24" x14ac:dyDescent="0.2">
      <c r="A155" s="90">
        <v>45199</v>
      </c>
      <c r="B155" s="128"/>
      <c r="C155" s="105">
        <f>'Purchased Power Model'!$C$193</f>
        <v>139.78578947368442</v>
      </c>
      <c r="D155" s="105">
        <f>'Purchased Power Model'!$D$193</f>
        <v>7.7718421052632038</v>
      </c>
      <c r="E155" s="91">
        <v>1</v>
      </c>
      <c r="F155" s="91">
        <v>30</v>
      </c>
      <c r="G155" s="108">
        <v>153</v>
      </c>
      <c r="H155" s="109">
        <f>'Purchased Power Model'!H155</f>
        <v>34108.711230438079</v>
      </c>
      <c r="I155" s="91"/>
      <c r="J155" s="6"/>
      <c r="K155" s="6"/>
      <c r="L155" s="6"/>
      <c r="M155" s="6"/>
      <c r="N155" s="99"/>
      <c r="O155" s="99"/>
      <c r="P155" s="100"/>
      <c r="Q155" s="108">
        <f t="shared" si="27"/>
        <v>40049358.038565986</v>
      </c>
      <c r="R155" s="36"/>
      <c r="S155" s="58"/>
      <c r="T155" s="13"/>
      <c r="U155" s="114"/>
      <c r="W155"/>
      <c r="X155"/>
    </row>
    <row r="156" spans="1:24" x14ac:dyDescent="0.2">
      <c r="A156" s="90">
        <v>45230</v>
      </c>
      <c r="B156" s="128"/>
      <c r="C156" s="105">
        <f>'Purchased Power Model'!$C$194</f>
        <v>314.25855263157882</v>
      </c>
      <c r="D156" s="105">
        <f>'Purchased Power Model'!$D$194</f>
        <v>0.33421052631578618</v>
      </c>
      <c r="E156" s="91">
        <v>1</v>
      </c>
      <c r="F156" s="91">
        <v>31</v>
      </c>
      <c r="G156" s="108">
        <v>154</v>
      </c>
      <c r="H156" s="109">
        <f>'Purchased Power Model'!H156</f>
        <v>34108.711230438079</v>
      </c>
      <c r="I156" s="91"/>
      <c r="J156" s="6"/>
      <c r="K156" s="6"/>
      <c r="L156" s="6"/>
      <c r="M156" s="6"/>
      <c r="N156" s="99"/>
      <c r="O156" s="99"/>
      <c r="P156" s="100"/>
      <c r="Q156" s="108">
        <f t="shared" si="27"/>
        <v>46907382.039518818</v>
      </c>
      <c r="R156" s="36"/>
      <c r="S156" s="58"/>
      <c r="T156" s="13"/>
      <c r="U156" s="114"/>
      <c r="W156"/>
      <c r="X156"/>
    </row>
    <row r="157" spans="1:24" x14ac:dyDescent="0.2">
      <c r="A157" s="90">
        <v>45260</v>
      </c>
      <c r="B157" s="128"/>
      <c r="C157" s="105">
        <f>'Purchased Power Model'!$C$195</f>
        <v>512.63131578947377</v>
      </c>
      <c r="D157" s="105">
        <f>'Purchased Power Model'!$D$195</f>
        <v>0</v>
      </c>
      <c r="E157" s="91">
        <v>1</v>
      </c>
      <c r="F157" s="91">
        <v>30</v>
      </c>
      <c r="G157" s="108">
        <v>155</v>
      </c>
      <c r="H157" s="109">
        <f>'Purchased Power Model'!H157</f>
        <v>34108.711230438079</v>
      </c>
      <c r="I157" s="91"/>
      <c r="J157" s="6"/>
      <c r="K157" s="6"/>
      <c r="L157" s="6"/>
      <c r="M157" s="6"/>
      <c r="N157" s="99"/>
      <c r="O157" s="99"/>
      <c r="P157" s="100"/>
      <c r="Q157" s="108">
        <f t="shared" si="27"/>
        <v>52047811.041881457</v>
      </c>
      <c r="R157" s="36"/>
      <c r="S157" s="58"/>
      <c r="T157" s="13"/>
      <c r="U157" s="114"/>
      <c r="W157"/>
      <c r="X157"/>
    </row>
    <row r="158" spans="1:24" x14ac:dyDescent="0.2">
      <c r="A158" s="90">
        <v>45291</v>
      </c>
      <c r="B158" s="128"/>
      <c r="C158" s="105">
        <f>'Purchased Power Model'!$C$196</f>
        <v>676.62442105263199</v>
      </c>
      <c r="D158" s="105">
        <f>'Purchased Power Model'!$D$196</f>
        <v>0</v>
      </c>
      <c r="E158" s="91">
        <v>0</v>
      </c>
      <c r="F158" s="91">
        <v>31</v>
      </c>
      <c r="G158" s="108">
        <v>156</v>
      </c>
      <c r="H158" s="109">
        <f>'Purchased Power Model'!H158</f>
        <v>34108.711230438079</v>
      </c>
      <c r="I158" s="91"/>
      <c r="J158" s="6"/>
      <c r="K158" s="6"/>
      <c r="L158" s="6"/>
      <c r="M158" s="6"/>
      <c r="N158" s="99"/>
      <c r="O158" s="99"/>
      <c r="P158" s="100"/>
      <c r="Q158" s="108">
        <f t="shared" si="27"/>
        <v>62273593.145730577</v>
      </c>
      <c r="R158" s="36"/>
      <c r="S158" s="58"/>
      <c r="T158" s="13"/>
      <c r="U158" s="114"/>
      <c r="W158"/>
      <c r="X158"/>
    </row>
    <row r="159" spans="1:24" x14ac:dyDescent="0.2">
      <c r="A159" s="90"/>
      <c r="B159" s="128"/>
      <c r="C159" s="128"/>
      <c r="D159" s="91"/>
      <c r="E159" s="128"/>
      <c r="F159" s="128"/>
      <c r="G159" s="108"/>
      <c r="H159" s="128"/>
      <c r="I159" s="91"/>
      <c r="J159" s="99"/>
      <c r="K159" s="99"/>
      <c r="L159" s="98"/>
      <c r="M159"/>
      <c r="N159" s="99"/>
      <c r="O159" s="99"/>
      <c r="P159" s="100"/>
      <c r="Q159" s="108"/>
      <c r="R159" s="36"/>
      <c r="S159" s="58"/>
      <c r="T159" s="13"/>
      <c r="U159" s="58"/>
      <c r="W159" s="114"/>
    </row>
    <row r="160" spans="1:24" x14ac:dyDescent="0.2">
      <c r="A160" s="37"/>
      <c r="G160" s="99"/>
      <c r="H160" s="99"/>
      <c r="I160" s="99"/>
      <c r="J160" s="117"/>
      <c r="K160" s="10"/>
      <c r="L160"/>
      <c r="M160" s="99"/>
      <c r="N160" s="99"/>
      <c r="O160" s="99"/>
      <c r="P160" s="100"/>
      <c r="Q160" s="10"/>
      <c r="R160" s="100"/>
      <c r="S160" s="10"/>
    </row>
    <row r="161" spans="1:24" x14ac:dyDescent="0.2">
      <c r="A161" s="37"/>
      <c r="I161" s="10"/>
      <c r="N161" s="10"/>
      <c r="V161" s="107"/>
    </row>
    <row r="162" spans="1:24" x14ac:dyDescent="0.2">
      <c r="A162" s="37"/>
      <c r="G162" s="15"/>
      <c r="H162" s="42" t="s">
        <v>62</v>
      </c>
      <c r="I162" s="10"/>
      <c r="K162" s="36">
        <f>SUM(K159:K161)</f>
        <v>0</v>
      </c>
      <c r="N162" s="10"/>
      <c r="Q162" s="36">
        <f>SUM(Q3:Q158)</f>
        <v>8803741283.2628269</v>
      </c>
      <c r="R162" s="36"/>
      <c r="S162" s="36"/>
      <c r="T162" s="36"/>
    </row>
    <row r="163" spans="1:24" ht="38.25" x14ac:dyDescent="0.2">
      <c r="A163" s="37"/>
      <c r="B163" s="133" t="s">
        <v>218</v>
      </c>
      <c r="I163" s="10"/>
      <c r="N163" s="10"/>
      <c r="Q163" s="34" t="s">
        <v>219</v>
      </c>
      <c r="R163" s="47" t="s">
        <v>14</v>
      </c>
      <c r="S163" s="47" t="s">
        <v>15</v>
      </c>
      <c r="T163" s="47" t="s">
        <v>82</v>
      </c>
      <c r="U163" s="34"/>
      <c r="V163" s="34"/>
    </row>
    <row r="164" spans="1:24" x14ac:dyDescent="0.2">
      <c r="A164" s="38">
        <v>2011</v>
      </c>
      <c r="B164" s="6">
        <f>SUM(B3:B14)</f>
        <v>745049194</v>
      </c>
      <c r="Q164" s="6">
        <f>SUM(Q3:Q14)</f>
        <v>734179598.2981472</v>
      </c>
      <c r="R164" s="6">
        <f>Q164-B164</f>
        <v>-10869595.701852798</v>
      </c>
      <c r="S164" s="44">
        <f>R164/B164</f>
        <v>-1.4589097994316867E-2</v>
      </c>
      <c r="T164" s="44">
        <f t="shared" ref="T164:T174" si="29">ABS(S164)</f>
        <v>1.4589097994316867E-2</v>
      </c>
      <c r="U164" s="6"/>
      <c r="V164" s="18"/>
      <c r="W164" s="5"/>
      <c r="X164" s="5"/>
    </row>
    <row r="165" spans="1:24" x14ac:dyDescent="0.2">
      <c r="A165" s="30">
        <v>2012</v>
      </c>
      <c r="B165" s="6">
        <f>SUM(B15:B26)</f>
        <v>706953513</v>
      </c>
      <c r="Q165" s="6">
        <f>SUM(Q15:Q26)</f>
        <v>726359514.08935785</v>
      </c>
      <c r="R165" s="6">
        <f t="shared" ref="R165:R174" si="30">Q165-B165</f>
        <v>19406001.089357853</v>
      </c>
      <c r="S165" s="44">
        <f t="shared" ref="S165:S174" si="31">R165/B165</f>
        <v>2.7450179866859013E-2</v>
      </c>
      <c r="T165" s="44">
        <f t="shared" si="29"/>
        <v>2.7450179866859013E-2</v>
      </c>
      <c r="U165" s="6"/>
      <c r="V165" s="18"/>
      <c r="W165" s="5"/>
      <c r="X165" s="5"/>
    </row>
    <row r="166" spans="1:24" x14ac:dyDescent="0.2">
      <c r="A166" s="38">
        <v>2013</v>
      </c>
      <c r="B166" s="6">
        <f>SUM(B27:B38)</f>
        <v>730568311</v>
      </c>
      <c r="Q166" s="6">
        <f>SUM(Q27:Q38)</f>
        <v>715040119.87575555</v>
      </c>
      <c r="R166" s="6">
        <f t="shared" si="30"/>
        <v>-15528191.124244452</v>
      </c>
      <c r="S166" s="44">
        <f t="shared" si="31"/>
        <v>-2.1254947539388211E-2</v>
      </c>
      <c r="T166" s="44">
        <f t="shared" si="29"/>
        <v>2.1254947539388211E-2</v>
      </c>
      <c r="U166" s="6"/>
      <c r="V166" s="18"/>
      <c r="W166" s="5"/>
      <c r="X166" s="5"/>
    </row>
    <row r="167" spans="1:24" x14ac:dyDescent="0.2">
      <c r="A167" s="30">
        <v>2014</v>
      </c>
      <c r="B167" s="6">
        <f>SUM(B39:B50)</f>
        <v>730490284.99000001</v>
      </c>
      <c r="Q167" s="6">
        <f>SUM(Q39:Q50)</f>
        <v>705544371.77379799</v>
      </c>
      <c r="R167" s="6">
        <f t="shared" si="30"/>
        <v>-24945913.216202021</v>
      </c>
      <c r="S167" s="44">
        <f t="shared" si="31"/>
        <v>-3.414954822642647E-2</v>
      </c>
      <c r="T167" s="44">
        <f t="shared" si="29"/>
        <v>3.414954822642647E-2</v>
      </c>
      <c r="U167" s="6"/>
      <c r="V167" s="18"/>
      <c r="W167" s="5"/>
      <c r="X167" s="5"/>
    </row>
    <row r="168" spans="1:24" x14ac:dyDescent="0.2">
      <c r="A168" s="38">
        <v>2015</v>
      </c>
      <c r="B168" s="6">
        <f>SUM(B51:B62)</f>
        <v>698517377.1099999</v>
      </c>
      <c r="Q168" s="6">
        <f>SUM(Q51:Q62)</f>
        <v>696035467.78606093</v>
      </c>
      <c r="R168" s="6">
        <f t="shared" si="30"/>
        <v>-2481909.3239389658</v>
      </c>
      <c r="S168" s="44">
        <f t="shared" si="31"/>
        <v>-3.5531103523973235E-3</v>
      </c>
      <c r="T168" s="44">
        <f t="shared" si="29"/>
        <v>3.5531103523973235E-3</v>
      </c>
      <c r="U168" s="6"/>
      <c r="V168" s="18"/>
      <c r="W168" s="5"/>
      <c r="X168" s="5"/>
    </row>
    <row r="169" spans="1:24" x14ac:dyDescent="0.2">
      <c r="A169" s="30">
        <v>2016</v>
      </c>
      <c r="B169" s="6">
        <f>SUM(B63:B74)</f>
        <v>669958461.73000014</v>
      </c>
      <c r="Q169" s="6">
        <f>SUM(Q63:Q74)</f>
        <v>688238126.92229605</v>
      </c>
      <c r="R169" s="6">
        <f t="shared" si="30"/>
        <v>18279665.192295909</v>
      </c>
      <c r="S169" s="44">
        <f t="shared" si="31"/>
        <v>2.7284773962094971E-2</v>
      </c>
      <c r="T169" s="44">
        <f t="shared" si="29"/>
        <v>2.7284773962094971E-2</v>
      </c>
      <c r="U169" s="6"/>
      <c r="V169" s="18"/>
      <c r="W169" s="5"/>
      <c r="X169" s="5"/>
    </row>
    <row r="170" spans="1:24" x14ac:dyDescent="0.2">
      <c r="A170" s="30">
        <v>2017</v>
      </c>
      <c r="B170" s="6">
        <f>SUM(B75:B86)</f>
        <v>652970473</v>
      </c>
      <c r="H170" s="6"/>
      <c r="I170" s="36"/>
      <c r="Q170" s="6">
        <f>SUM(Q75:Q86)</f>
        <v>676969550.54199982</v>
      </c>
      <c r="R170" s="6">
        <f t="shared" si="30"/>
        <v>23999077.541999817</v>
      </c>
      <c r="S170" s="44">
        <f t="shared" si="31"/>
        <v>3.6753694897931191E-2</v>
      </c>
      <c r="T170" s="44">
        <f t="shared" si="29"/>
        <v>3.6753694897931191E-2</v>
      </c>
      <c r="U170" s="6"/>
      <c r="V170" s="18"/>
      <c r="W170" s="5"/>
      <c r="X170" s="5"/>
    </row>
    <row r="171" spans="1:24" x14ac:dyDescent="0.2">
      <c r="A171" s="30">
        <v>2018</v>
      </c>
      <c r="B171" s="6">
        <f>SUM(B87:B98)</f>
        <v>666736298.38999999</v>
      </c>
      <c r="Q171" s="6">
        <f>SUM(Q87:Q98)</f>
        <v>667418212.37365949</v>
      </c>
      <c r="R171" s="6">
        <f t="shared" si="30"/>
        <v>681913.98365950584</v>
      </c>
      <c r="S171" s="44">
        <f t="shared" si="31"/>
        <v>1.0227641502437413E-3</v>
      </c>
      <c r="T171" s="44">
        <f t="shared" si="29"/>
        <v>1.0227641502437413E-3</v>
      </c>
      <c r="U171" s="6"/>
      <c r="V171" s="18"/>
      <c r="W171" s="5"/>
      <c r="X171" s="5"/>
    </row>
    <row r="172" spans="1:24" x14ac:dyDescent="0.2">
      <c r="A172" s="30">
        <v>2019</v>
      </c>
      <c r="B172" s="6">
        <f>SUM(B99:B110)</f>
        <v>660639513.94000006</v>
      </c>
      <c r="Q172" s="6">
        <f>SUM(Q99:Q110)</f>
        <v>657903633.2979387</v>
      </c>
      <c r="R172" s="6">
        <f t="shared" si="30"/>
        <v>-2735880.6420613527</v>
      </c>
      <c r="S172" s="44">
        <f t="shared" si="31"/>
        <v>-4.1412609817187349E-3</v>
      </c>
      <c r="T172" s="44">
        <f t="shared" si="29"/>
        <v>4.1412609817187349E-3</v>
      </c>
      <c r="U172" s="6"/>
      <c r="V172" s="18"/>
      <c r="W172" s="5"/>
      <c r="X172" s="5"/>
    </row>
    <row r="173" spans="1:24" x14ac:dyDescent="0.2">
      <c r="A173" s="30">
        <v>2020</v>
      </c>
      <c r="B173" s="6">
        <f>SUM(B111:B122)</f>
        <v>659068595.53012538</v>
      </c>
      <c r="Q173" s="6">
        <f>SUM(Q111:Q122)</f>
        <v>648341030.9398129</v>
      </c>
      <c r="R173" s="6">
        <f t="shared" si="30"/>
        <v>-10727564.590312481</v>
      </c>
      <c r="S173" s="44">
        <f t="shared" si="31"/>
        <v>-1.6276855949544533E-2</v>
      </c>
      <c r="T173" s="44">
        <f t="shared" si="29"/>
        <v>1.6276855949544533E-2</v>
      </c>
      <c r="U173" s="6"/>
      <c r="V173" s="18"/>
      <c r="W173" s="5"/>
      <c r="X173" s="5"/>
    </row>
    <row r="174" spans="1:24" x14ac:dyDescent="0.2">
      <c r="A174" s="30">
        <v>2021</v>
      </c>
      <c r="B174" s="6">
        <f>SUM(B123:B134)</f>
        <v>647740936.70370293</v>
      </c>
      <c r="Q174" s="6">
        <f>SUM(Q123:Q134)</f>
        <v>638787285.15838873</v>
      </c>
      <c r="R174" s="6">
        <f t="shared" si="30"/>
        <v>-8953651.5453141928</v>
      </c>
      <c r="S174" s="44">
        <f t="shared" si="31"/>
        <v>-1.3822889735638052E-2</v>
      </c>
      <c r="T174" s="44">
        <f t="shared" si="29"/>
        <v>1.3822889735638052E-2</v>
      </c>
      <c r="U174" s="6"/>
      <c r="V174" s="18"/>
      <c r="W174" s="5"/>
      <c r="X174" s="5"/>
    </row>
    <row r="175" spans="1:24" x14ac:dyDescent="0.2">
      <c r="A175" s="30">
        <v>2022</v>
      </c>
      <c r="Q175" s="6">
        <f>SUM(Q135:Q146)</f>
        <v>629237292.77584827</v>
      </c>
      <c r="R175" s="6"/>
      <c r="S175" s="6"/>
      <c r="T175" s="27"/>
      <c r="U175" s="5"/>
      <c r="V175" s="5"/>
      <c r="W175" s="6"/>
      <c r="X175" s="18"/>
    </row>
    <row r="176" spans="1:24" x14ac:dyDescent="0.2">
      <c r="A176" s="30">
        <v>2023</v>
      </c>
      <c r="Q176" s="6">
        <f>SUM(Q147:Q158)</f>
        <v>619687079.42976189</v>
      </c>
      <c r="R176" s="6"/>
      <c r="S176" s="6"/>
      <c r="T176" s="27"/>
      <c r="U176" s="5"/>
      <c r="V176" s="5"/>
      <c r="W176" s="6"/>
      <c r="X176" s="18"/>
    </row>
    <row r="177" spans="1:23" x14ac:dyDescent="0.2">
      <c r="Q177" s="6"/>
      <c r="S177" s="6"/>
    </row>
    <row r="178" spans="1:23" x14ac:dyDescent="0.2">
      <c r="A178" s="116" t="s">
        <v>220</v>
      </c>
      <c r="B178" s="6">
        <f>SUM(B164:B174)</f>
        <v>7568692959.3938284</v>
      </c>
      <c r="L178" s="6">
        <f>Q178-B178</f>
        <v>1235048323.8689966</v>
      </c>
      <c r="Q178" s="6">
        <f>SUM(Q164:Q176)</f>
        <v>8803741283.262825</v>
      </c>
      <c r="S178"/>
      <c r="T178"/>
    </row>
    <row r="179" spans="1:23" x14ac:dyDescent="0.2">
      <c r="S179"/>
      <c r="T179"/>
    </row>
    <row r="180" spans="1:23" x14ac:dyDescent="0.2">
      <c r="L180" s="6">
        <f>Q180-Q162</f>
        <v>0</v>
      </c>
      <c r="Q180" s="6">
        <f>SUM(Q164:Q176)</f>
        <v>8803741283.262825</v>
      </c>
      <c r="R180" s="6"/>
      <c r="S180" s="6"/>
      <c r="T180"/>
    </row>
    <row r="181" spans="1:23" x14ac:dyDescent="0.2">
      <c r="L181" s="119"/>
      <c r="Q181" s="119" t="s">
        <v>114</v>
      </c>
      <c r="S181"/>
      <c r="T181"/>
      <c r="U181"/>
      <c r="V181"/>
      <c r="W181"/>
    </row>
    <row r="184" spans="1:23" x14ac:dyDescent="0.2">
      <c r="B184" s="651" t="s">
        <v>91</v>
      </c>
      <c r="C184" s="651"/>
      <c r="D184" s="651"/>
      <c r="E184" s="651"/>
      <c r="F184" s="651"/>
      <c r="G184" s="652"/>
      <c r="H184" s="652"/>
    </row>
    <row r="185" spans="1:23" x14ac:dyDescent="0.2">
      <c r="C185" s="59">
        <f>'Weather Analysis '!AD8</f>
        <v>815.92000000000007</v>
      </c>
      <c r="D185" s="59">
        <f>'Weather Analysis '!AD28</f>
        <v>0</v>
      </c>
      <c r="E185" s="10">
        <f t="shared" ref="E185:H196" si="32">E87</f>
        <v>0</v>
      </c>
      <c r="F185" s="10">
        <f t="shared" si="32"/>
        <v>31</v>
      </c>
      <c r="G185" s="10">
        <f t="shared" si="32"/>
        <v>85</v>
      </c>
      <c r="H185" s="10">
        <f t="shared" si="32"/>
        <v>33637</v>
      </c>
      <c r="I185" s="10">
        <v>352</v>
      </c>
      <c r="J185" s="6"/>
      <c r="K185" s="6"/>
      <c r="L185" s="6"/>
      <c r="M185" s="6"/>
      <c r="N185" s="10"/>
      <c r="O185" s="10"/>
      <c r="P185" s="36"/>
      <c r="Q185" s="10"/>
      <c r="R185" s="36"/>
      <c r="S185" s="10"/>
    </row>
    <row r="186" spans="1:23" x14ac:dyDescent="0.2">
      <c r="C186" s="59">
        <f>'Weather Analysis '!AD9</f>
        <v>792.03236842105298</v>
      </c>
      <c r="D186" s="59">
        <f>'Weather Analysis '!AD29</f>
        <v>0</v>
      </c>
      <c r="E186" s="10">
        <f t="shared" si="32"/>
        <v>0</v>
      </c>
      <c r="F186" s="10">
        <f t="shared" si="32"/>
        <v>28</v>
      </c>
      <c r="G186" s="10">
        <f t="shared" si="32"/>
        <v>86</v>
      </c>
      <c r="H186" s="10">
        <f t="shared" si="32"/>
        <v>33637</v>
      </c>
      <c r="I186" s="10">
        <v>304</v>
      </c>
      <c r="J186" s="6"/>
      <c r="K186" s="6"/>
      <c r="L186" s="6"/>
      <c r="M186" s="6"/>
      <c r="N186" s="10"/>
      <c r="O186" s="10"/>
      <c r="P186" s="36"/>
      <c r="Q186" s="10"/>
      <c r="R186" s="36"/>
      <c r="S186" s="10"/>
    </row>
    <row r="187" spans="1:23" x14ac:dyDescent="0.2">
      <c r="C187" s="59">
        <f>'Weather Analysis '!AD10</f>
        <v>680.40842105263187</v>
      </c>
      <c r="D187" s="59">
        <f>'Weather Analysis '!AD30</f>
        <v>0</v>
      </c>
      <c r="E187" s="10">
        <f t="shared" si="32"/>
        <v>1</v>
      </c>
      <c r="F187" s="10">
        <f t="shared" si="32"/>
        <v>31</v>
      </c>
      <c r="G187" s="10">
        <f t="shared" si="32"/>
        <v>87</v>
      </c>
      <c r="H187" s="10">
        <f t="shared" si="32"/>
        <v>33637</v>
      </c>
      <c r="I187" s="10">
        <v>336</v>
      </c>
      <c r="J187" s="6"/>
      <c r="K187" s="6"/>
      <c r="L187" s="6"/>
      <c r="M187" s="6"/>
      <c r="N187" s="10"/>
      <c r="O187" s="10"/>
      <c r="P187" s="36"/>
      <c r="Q187" s="10"/>
      <c r="R187" s="36"/>
      <c r="S187" s="10"/>
    </row>
    <row r="188" spans="1:23" x14ac:dyDescent="0.2">
      <c r="C188" s="59">
        <f>'Weather Analysis '!AD11</f>
        <v>477.98717105263131</v>
      </c>
      <c r="D188" s="59">
        <f>'Weather Analysis '!AD31</f>
        <v>-0.22473684210527267</v>
      </c>
      <c r="E188" s="10">
        <f t="shared" si="32"/>
        <v>1</v>
      </c>
      <c r="F188" s="10">
        <f t="shared" si="32"/>
        <v>30</v>
      </c>
      <c r="G188" s="10">
        <f t="shared" si="32"/>
        <v>88</v>
      </c>
      <c r="H188" s="10">
        <f t="shared" si="32"/>
        <v>33637</v>
      </c>
      <c r="I188" s="10">
        <v>320</v>
      </c>
      <c r="J188" s="6"/>
      <c r="K188" s="6"/>
      <c r="L188" s="6"/>
      <c r="M188" s="6"/>
      <c r="N188" s="10"/>
      <c r="O188" s="10"/>
      <c r="P188" s="36"/>
      <c r="Q188" s="10"/>
      <c r="R188" s="36"/>
      <c r="S188" s="10"/>
    </row>
    <row r="189" spans="1:23" x14ac:dyDescent="0.2">
      <c r="C189" s="59">
        <f>'Weather Analysis '!AD12</f>
        <v>268.88736842105254</v>
      </c>
      <c r="D189" s="59">
        <f>'Weather Analysis '!AD32</f>
        <v>6.1286842105262735</v>
      </c>
      <c r="E189" s="10">
        <f t="shared" si="32"/>
        <v>1</v>
      </c>
      <c r="F189" s="10">
        <f t="shared" si="32"/>
        <v>31</v>
      </c>
      <c r="G189" s="10">
        <f t="shared" si="32"/>
        <v>89</v>
      </c>
      <c r="H189" s="10">
        <f t="shared" si="32"/>
        <v>33637</v>
      </c>
      <c r="I189" s="10">
        <v>336</v>
      </c>
      <c r="J189" s="6"/>
      <c r="K189" s="6"/>
      <c r="L189" s="6"/>
      <c r="M189" s="6"/>
      <c r="N189" s="10"/>
      <c r="O189" s="10"/>
      <c r="P189" s="36"/>
      <c r="Q189" s="10"/>
      <c r="R189" s="36"/>
      <c r="S189" s="10"/>
    </row>
    <row r="190" spans="1:23" x14ac:dyDescent="0.2">
      <c r="C190" s="59">
        <f>'Weather Analysis '!AD13</f>
        <v>108.18519736842109</v>
      </c>
      <c r="D190" s="59">
        <f>'Weather Analysis '!AD33</f>
        <v>9.8162499999998545</v>
      </c>
      <c r="E190" s="10">
        <f t="shared" si="32"/>
        <v>0</v>
      </c>
      <c r="F190" s="10">
        <f t="shared" si="32"/>
        <v>30</v>
      </c>
      <c r="G190" s="10">
        <f t="shared" si="32"/>
        <v>90</v>
      </c>
      <c r="H190" s="10">
        <f t="shared" si="32"/>
        <v>33637</v>
      </c>
      <c r="I190" s="10">
        <v>336</v>
      </c>
      <c r="J190" s="6"/>
      <c r="K190" s="6"/>
      <c r="L190" s="6"/>
      <c r="M190" s="6"/>
      <c r="N190" s="10"/>
      <c r="O190" s="10"/>
      <c r="P190" s="36"/>
      <c r="Q190" s="10"/>
      <c r="R190" s="36"/>
      <c r="S190" s="10"/>
    </row>
    <row r="191" spans="1:23" x14ac:dyDescent="0.2">
      <c r="C191" s="59">
        <f>'Weather Analysis '!AD14</f>
        <v>34.833684210526314</v>
      </c>
      <c r="D191" s="59">
        <f>'Weather Analysis '!AD34</f>
        <v>34.756973684210607</v>
      </c>
      <c r="E191" s="10">
        <f t="shared" si="32"/>
        <v>0</v>
      </c>
      <c r="F191" s="10">
        <f t="shared" si="32"/>
        <v>31</v>
      </c>
      <c r="G191" s="10">
        <f t="shared" si="32"/>
        <v>91</v>
      </c>
      <c r="H191" s="10">
        <f t="shared" si="32"/>
        <v>33637</v>
      </c>
      <c r="I191" s="10">
        <v>352</v>
      </c>
      <c r="J191" s="6"/>
      <c r="K191" s="6"/>
      <c r="L191" s="6"/>
      <c r="M191" s="6"/>
      <c r="N191" s="10"/>
      <c r="O191" s="10"/>
      <c r="P191" s="36"/>
      <c r="Q191" s="10"/>
      <c r="R191" s="36"/>
      <c r="S191" s="10"/>
    </row>
    <row r="192" spans="1:23" x14ac:dyDescent="0.2">
      <c r="C192" s="59">
        <f>'Weather Analysis '!AD15</f>
        <v>36.201578947368432</v>
      </c>
      <c r="D192" s="59">
        <f>'Weather Analysis '!AD35</f>
        <v>34.614736842105259</v>
      </c>
      <c r="E192" s="10">
        <f t="shared" si="32"/>
        <v>0</v>
      </c>
      <c r="F192" s="10">
        <f t="shared" si="32"/>
        <v>31</v>
      </c>
      <c r="G192" s="10">
        <f t="shared" si="32"/>
        <v>92</v>
      </c>
      <c r="H192" s="10">
        <f t="shared" si="32"/>
        <v>33637</v>
      </c>
      <c r="I192" s="10">
        <v>320</v>
      </c>
      <c r="J192" s="6"/>
      <c r="K192" s="6"/>
      <c r="L192" s="6"/>
      <c r="M192" s="6"/>
      <c r="N192" s="10"/>
      <c r="O192" s="10"/>
      <c r="P192" s="36"/>
      <c r="Q192" s="10"/>
      <c r="R192" s="36"/>
      <c r="S192" s="10"/>
    </row>
    <row r="193" spans="3:24" x14ac:dyDescent="0.2">
      <c r="C193" s="59">
        <f>'Weather Analysis '!AD16</f>
        <v>139.78578947368442</v>
      </c>
      <c r="D193" s="59">
        <f>'Weather Analysis '!AD36</f>
        <v>7.7718421052632038</v>
      </c>
      <c r="E193" s="10">
        <f t="shared" si="32"/>
        <v>1</v>
      </c>
      <c r="F193" s="10">
        <f t="shared" si="32"/>
        <v>30</v>
      </c>
      <c r="G193" s="10">
        <f t="shared" si="32"/>
        <v>93</v>
      </c>
      <c r="H193" s="10">
        <f t="shared" si="32"/>
        <v>33637</v>
      </c>
      <c r="I193" s="10">
        <v>336</v>
      </c>
      <c r="J193" s="6"/>
      <c r="K193" s="6"/>
      <c r="L193" s="6"/>
      <c r="M193" s="6"/>
      <c r="N193" s="10"/>
      <c r="O193" s="10"/>
      <c r="P193" s="36"/>
      <c r="Q193" s="10"/>
      <c r="R193" s="36"/>
      <c r="S193" s="10"/>
    </row>
    <row r="194" spans="3:24" x14ac:dyDescent="0.2">
      <c r="C194" s="59">
        <f>'Weather Analysis '!AD17</f>
        <v>314.25855263157882</v>
      </c>
      <c r="D194" s="59">
        <f>'Weather Analysis '!AD37</f>
        <v>0.33421052631578618</v>
      </c>
      <c r="E194" s="10">
        <f t="shared" si="32"/>
        <v>1</v>
      </c>
      <c r="F194" s="10">
        <f t="shared" si="32"/>
        <v>31</v>
      </c>
      <c r="G194" s="10">
        <f t="shared" si="32"/>
        <v>94</v>
      </c>
      <c r="H194" s="10">
        <f t="shared" si="32"/>
        <v>33637</v>
      </c>
      <c r="I194" s="10">
        <v>352</v>
      </c>
      <c r="J194" s="6"/>
      <c r="K194" s="6"/>
      <c r="L194" s="6"/>
      <c r="M194" s="6"/>
      <c r="N194" s="10"/>
      <c r="O194" s="10"/>
      <c r="P194" s="36"/>
      <c r="Q194" s="10"/>
      <c r="R194" s="36"/>
      <c r="S194" s="10"/>
    </row>
    <row r="195" spans="3:24" x14ac:dyDescent="0.2">
      <c r="C195" s="59">
        <f>'Weather Analysis '!AD18</f>
        <v>512.63131578947377</v>
      </c>
      <c r="D195" s="59">
        <f>'Weather Analysis '!AD38</f>
        <v>0</v>
      </c>
      <c r="E195" s="10">
        <f t="shared" si="32"/>
        <v>1</v>
      </c>
      <c r="F195" s="10">
        <f t="shared" si="32"/>
        <v>30</v>
      </c>
      <c r="G195" s="10">
        <f t="shared" si="32"/>
        <v>95</v>
      </c>
      <c r="H195" s="10">
        <f t="shared" si="32"/>
        <v>33637</v>
      </c>
      <c r="I195" s="10">
        <v>304</v>
      </c>
      <c r="J195" s="6"/>
      <c r="K195" s="6"/>
      <c r="L195" s="6"/>
      <c r="M195" s="6"/>
      <c r="N195" s="10"/>
      <c r="O195" s="10"/>
      <c r="P195" s="36"/>
      <c r="Q195" s="10"/>
      <c r="R195" s="36"/>
      <c r="S195" s="10"/>
    </row>
    <row r="196" spans="3:24" x14ac:dyDescent="0.2">
      <c r="C196" s="59">
        <f>'Weather Analysis '!AD19</f>
        <v>676.62442105263199</v>
      </c>
      <c r="D196" s="59">
        <f>'Weather Analysis '!AD39</f>
        <v>0</v>
      </c>
      <c r="E196" s="10">
        <f t="shared" si="32"/>
        <v>0</v>
      </c>
      <c r="F196" s="10">
        <f t="shared" si="32"/>
        <v>31</v>
      </c>
      <c r="G196" s="10">
        <f t="shared" si="32"/>
        <v>96</v>
      </c>
      <c r="H196" s="10">
        <f t="shared" si="32"/>
        <v>33637</v>
      </c>
      <c r="I196" s="10">
        <v>336</v>
      </c>
      <c r="J196" s="6"/>
      <c r="K196" s="6"/>
      <c r="L196" s="6"/>
      <c r="M196" s="6"/>
      <c r="N196" s="10"/>
      <c r="O196" s="10"/>
      <c r="P196" s="36"/>
      <c r="Q196" s="10"/>
      <c r="R196" s="36"/>
      <c r="S196" s="10"/>
      <c r="T196" s="36"/>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5"/>
    </row>
  </sheetData>
  <dataConsolidate/>
  <mergeCells count="1">
    <mergeCell ref="B184:H184"/>
  </mergeCells>
  <printOptions gridLines="1"/>
  <pageMargins left="0.38" right="0.75" top="0.73" bottom="0.74" header="0.5" footer="0.5"/>
  <pageSetup scale="17" orientation="landscape" r:id="rId1"/>
  <headerFooter alignWithMargins="0">
    <oddFooter>&amp;L&amp;Z&amp;F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FF00"/>
    <pageSetUpPr fitToPage="1"/>
  </sheetPr>
  <dimension ref="A2:AD75"/>
  <sheetViews>
    <sheetView zoomScale="115" zoomScaleNormal="115" workbookViewId="0">
      <pane xSplit="1" ySplit="2" topLeftCell="B51" activePane="bottomRight" state="frozen"/>
      <selection activeCell="M35" sqref="M35"/>
      <selection pane="topRight" activeCell="M35" sqref="M35"/>
      <selection pane="bottomLeft" activeCell="M35" sqref="M35"/>
      <selection pane="bottomRight" activeCell="J76" sqref="J76"/>
    </sheetView>
  </sheetViews>
  <sheetFormatPr defaultRowHeight="12.75" x14ac:dyDescent="0.2"/>
  <cols>
    <col min="1" max="1" width="28.5703125"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2.5703125" style="6" customWidth="1"/>
    <col min="14" max="14" width="12.7109375" style="6" bestFit="1" customWidth="1"/>
    <col min="15" max="15" width="11.7109375" style="6" bestFit="1" customWidth="1"/>
    <col min="16" max="16" width="10.7109375" style="6" bestFit="1" customWidth="1"/>
    <col min="17" max="18" width="11.140625" style="6" bestFit="1" customWidth="1"/>
    <col min="19" max="19" width="10.5703125" bestFit="1" customWidth="1"/>
    <col min="20" max="20" width="11" customWidth="1"/>
    <col min="25" max="25" width="34.85546875" bestFit="1" customWidth="1"/>
    <col min="26" max="30" width="11.140625" bestFit="1" customWidth="1"/>
  </cols>
  <sheetData>
    <row r="2" spans="1:30" ht="25.5" x14ac:dyDescent="0.2">
      <c r="B2" s="2" t="s">
        <v>9</v>
      </c>
      <c r="C2" s="2" t="s">
        <v>10</v>
      </c>
      <c r="D2" s="2" t="s">
        <v>44</v>
      </c>
      <c r="E2" s="2" t="s">
        <v>11</v>
      </c>
      <c r="F2" s="2" t="s">
        <v>0</v>
      </c>
      <c r="G2" s="7" t="s">
        <v>3</v>
      </c>
      <c r="H2" s="35" t="s">
        <v>111</v>
      </c>
      <c r="I2" s="63" t="s">
        <v>194</v>
      </c>
      <c r="J2" s="63" t="s">
        <v>209</v>
      </c>
      <c r="K2" s="85" t="s">
        <v>113</v>
      </c>
      <c r="L2" s="63" t="s">
        <v>61</v>
      </c>
      <c r="M2" s="63" t="s">
        <v>112</v>
      </c>
      <c r="O2" s="232" t="s">
        <v>323</v>
      </c>
      <c r="Q2" s="6" t="str">
        <f>H2</f>
        <v>Residential</v>
      </c>
      <c r="R2" s="6" t="str">
        <f t="shared" ref="R2:V2" si="0">I2</f>
        <v>General Service &lt;50 kW</v>
      </c>
      <c r="S2" s="6" t="str">
        <f t="shared" si="0"/>
        <v>General Service 50 to 4,999 kW</v>
      </c>
      <c r="T2" s="6" t="str">
        <f t="shared" si="0"/>
        <v>Sentinel Lights</v>
      </c>
      <c r="U2" s="6" t="str">
        <f t="shared" si="0"/>
        <v>Street Lights</v>
      </c>
      <c r="V2" s="6" t="str">
        <f t="shared" si="0"/>
        <v>USL</v>
      </c>
    </row>
    <row r="4" spans="1:30" x14ac:dyDescent="0.2">
      <c r="A4" s="15"/>
      <c r="B4" s="30" t="s">
        <v>110</v>
      </c>
    </row>
    <row r="5" spans="1:30" x14ac:dyDescent="0.2">
      <c r="B5"/>
      <c r="C5"/>
      <c r="D5"/>
      <c r="E5"/>
      <c r="F5"/>
      <c r="G5"/>
      <c r="H5"/>
      <c r="I5"/>
      <c r="J5"/>
      <c r="K5"/>
      <c r="L5"/>
      <c r="M5"/>
      <c r="N5"/>
      <c r="O5"/>
      <c r="P5"/>
      <c r="Q5"/>
      <c r="R5"/>
    </row>
    <row r="6" spans="1:30" x14ac:dyDescent="0.2">
      <c r="A6">
        <f>'Purchased Power Model'!A164</f>
        <v>2011</v>
      </c>
      <c r="B6" s="6">
        <f>'Purchased Power Model'!B164</f>
        <v>745049194</v>
      </c>
      <c r="C6" s="6">
        <f>'Purchased Power Model'!Q164</f>
        <v>731059136.97020352</v>
      </c>
      <c r="D6" s="27">
        <f t="shared" ref="D6:D10" si="1">C6-B6</f>
        <v>-13990057.029796481</v>
      </c>
      <c r="E6" s="5">
        <f t="shared" ref="E6:E9" si="2">D6/B6</f>
        <v>-1.8777360129318497E-2</v>
      </c>
      <c r="F6" s="18">
        <f t="shared" ref="F6:F9" si="3">1 +(B6-G6)/G6</f>
        <v>1.0465217405234657</v>
      </c>
      <c r="G6" s="6">
        <f>SUM(H6:M6)</f>
        <v>711929017</v>
      </c>
      <c r="H6" s="28">
        <v>345282279</v>
      </c>
      <c r="I6" s="28">
        <v>101728299</v>
      </c>
      <c r="J6" s="28">
        <v>255968368</v>
      </c>
      <c r="K6" s="28">
        <v>260362</v>
      </c>
      <c r="L6" s="28">
        <v>7814836</v>
      </c>
      <c r="M6" s="28">
        <v>874873</v>
      </c>
    </row>
    <row r="7" spans="1:30" x14ac:dyDescent="0.2">
      <c r="A7">
        <f>'Purchased Power Model'!A165</f>
        <v>2012</v>
      </c>
      <c r="B7" s="6">
        <f>'Purchased Power Model'!B165</f>
        <v>706953513</v>
      </c>
      <c r="C7" s="6">
        <f>'Purchased Power Model'!Q165</f>
        <v>705463160.33182871</v>
      </c>
      <c r="D7" s="27">
        <f t="shared" si="1"/>
        <v>-1490352.6681712866</v>
      </c>
      <c r="E7" s="5">
        <f t="shared" si="2"/>
        <v>-2.1081339023932208E-3</v>
      </c>
      <c r="F7" s="18">
        <f t="shared" si="3"/>
        <v>1.0446059893380324</v>
      </c>
      <c r="G7" s="6">
        <f t="shared" ref="G7:G16" si="4">SUM(H7:M7)</f>
        <v>676765709</v>
      </c>
      <c r="H7" s="48">
        <v>316127645</v>
      </c>
      <c r="I7" s="48">
        <v>97479014</v>
      </c>
      <c r="J7" s="48">
        <v>254314087</v>
      </c>
      <c r="K7" s="48">
        <v>246512</v>
      </c>
      <c r="L7" s="48">
        <v>7736459</v>
      </c>
      <c r="M7" s="48">
        <v>861992</v>
      </c>
    </row>
    <row r="8" spans="1:30" x14ac:dyDescent="0.2">
      <c r="A8">
        <f>'Purchased Power Model'!A166</f>
        <v>2013</v>
      </c>
      <c r="B8" s="6">
        <f>'Purchased Power Model'!B166</f>
        <v>730568311</v>
      </c>
      <c r="C8" s="6">
        <f>'Purchased Power Model'!Q166</f>
        <v>727273535.55742931</v>
      </c>
      <c r="D8" s="27">
        <f t="shared" si="1"/>
        <v>-3294775.4425706863</v>
      </c>
      <c r="E8" s="5">
        <f t="shared" si="2"/>
        <v>-4.5098800385426057E-3</v>
      </c>
      <c r="F8" s="18">
        <f t="shared" si="3"/>
        <v>1.0614958266693164</v>
      </c>
      <c r="G8" s="6">
        <f>SUM(H8:M8)</f>
        <v>688244167</v>
      </c>
      <c r="H8" s="48">
        <v>324185392</v>
      </c>
      <c r="I8" s="48">
        <v>95827695</v>
      </c>
      <c r="J8" s="48">
        <v>259048750</v>
      </c>
      <c r="K8" s="48">
        <v>237315</v>
      </c>
      <c r="L8" s="48">
        <v>8087592</v>
      </c>
      <c r="M8" s="48">
        <f>1447923-590500</f>
        <v>857423</v>
      </c>
    </row>
    <row r="9" spans="1:30" x14ac:dyDescent="0.2">
      <c r="A9">
        <f>'Purchased Power Model'!A167</f>
        <v>2014</v>
      </c>
      <c r="B9" s="6">
        <f>'Purchased Power Model'!B167</f>
        <v>730490284.99000001</v>
      </c>
      <c r="C9" s="6">
        <f>'Purchased Power Model'!Q167</f>
        <v>725078488.85155165</v>
      </c>
      <c r="D9" s="27">
        <f t="shared" si="1"/>
        <v>-5411796.1384483576</v>
      </c>
      <c r="E9" s="5">
        <f t="shared" si="2"/>
        <v>-7.4084436845350266E-3</v>
      </c>
      <c r="F9" s="18">
        <f t="shared" si="3"/>
        <v>1.0408170385773401</v>
      </c>
      <c r="G9" s="6">
        <f t="shared" si="4"/>
        <v>701843127</v>
      </c>
      <c r="H9" s="48">
        <v>334950383</v>
      </c>
      <c r="I9" s="48">
        <v>99153426</v>
      </c>
      <c r="J9" s="48">
        <v>258807830</v>
      </c>
      <c r="K9" s="48">
        <v>243349</v>
      </c>
      <c r="L9" s="48">
        <v>7812115</v>
      </c>
      <c r="M9" s="48">
        <v>876024</v>
      </c>
    </row>
    <row r="10" spans="1:30" x14ac:dyDescent="0.2">
      <c r="A10">
        <f>'Purchased Power Model'!A168</f>
        <v>2015</v>
      </c>
      <c r="B10" s="6">
        <f>'Purchased Power Model'!B168</f>
        <v>698517377.1099999</v>
      </c>
      <c r="C10" s="6">
        <f>'Purchased Power Model'!Q168</f>
        <v>703901684.41210961</v>
      </c>
      <c r="D10" s="27">
        <f t="shared" si="1"/>
        <v>5384307.3021097183</v>
      </c>
      <c r="E10" s="5">
        <f t="shared" ref="E10" si="5">D10/B10</f>
        <v>7.7081937809283987E-3</v>
      </c>
      <c r="F10" s="18">
        <f t="shared" ref="F10" si="6">1 +(B10-G10)/G10</f>
        <v>1.0435171705156632</v>
      </c>
      <c r="G10" s="6">
        <f t="shared" si="4"/>
        <v>669387526</v>
      </c>
      <c r="H10" s="48">
        <v>310458240</v>
      </c>
      <c r="I10" s="48">
        <v>95701162</v>
      </c>
      <c r="J10" s="48">
        <v>254784565</v>
      </c>
      <c r="K10" s="48">
        <v>235238</v>
      </c>
      <c r="L10" s="48">
        <v>7295612</v>
      </c>
      <c r="M10" s="48">
        <v>912709</v>
      </c>
    </row>
    <row r="11" spans="1:30" x14ac:dyDescent="0.2">
      <c r="A11">
        <f>'Purchased Power Model'!A169</f>
        <v>2016</v>
      </c>
      <c r="B11" s="6">
        <f>'Purchased Power Model'!B169</f>
        <v>669958461.73000014</v>
      </c>
      <c r="C11" s="6">
        <f>'Purchased Power Model'!Q169</f>
        <v>678826549.11724424</v>
      </c>
      <c r="D11" s="27">
        <f t="shared" ref="D11" si="7">C11-B11</f>
        <v>8868087.3872441053</v>
      </c>
      <c r="E11" s="5">
        <f t="shared" ref="E11" si="8">D11/B11</f>
        <v>1.3236771969928536E-2</v>
      </c>
      <c r="F11" s="18">
        <f>1 +(B11-G11)/G11</f>
        <v>1.0519444996030285</v>
      </c>
      <c r="G11" s="6">
        <f t="shared" si="4"/>
        <v>636876243.92999995</v>
      </c>
      <c r="H11" s="48">
        <v>288746486.39999998</v>
      </c>
      <c r="I11" s="48">
        <v>92174996</v>
      </c>
      <c r="J11" s="48">
        <v>249955178</v>
      </c>
      <c r="K11" s="48">
        <v>227055.8</v>
      </c>
      <c r="L11" s="48">
        <v>4869277.0999999996</v>
      </c>
      <c r="M11" s="48">
        <f>1489410.2-586159.57</f>
        <v>903250.63</v>
      </c>
      <c r="Z11">
        <v>2017</v>
      </c>
      <c r="AA11">
        <v>2018</v>
      </c>
      <c r="AB11">
        <v>2019</v>
      </c>
      <c r="AC11">
        <v>2020</v>
      </c>
      <c r="AD11">
        <v>2021</v>
      </c>
    </row>
    <row r="12" spans="1:30" x14ac:dyDescent="0.2">
      <c r="A12">
        <v>2017</v>
      </c>
      <c r="B12" s="6">
        <f>'Purchased Power Model'!B170</f>
        <v>652970473</v>
      </c>
      <c r="C12" s="6">
        <f>'Purchased Power Model'!Q170</f>
        <v>667414767.34397888</v>
      </c>
      <c r="D12" s="27">
        <f t="shared" ref="D12:D16" si="9">C12-B12</f>
        <v>14444294.343978882</v>
      </c>
      <c r="E12" s="5">
        <f t="shared" ref="E12:E16" si="10">D12/B12</f>
        <v>2.2120899705642405E-2</v>
      </c>
      <c r="F12" s="18">
        <f>1 +(B12-G12)/G12</f>
        <v>1.0488769185235338</v>
      </c>
      <c r="G12" s="6">
        <f t="shared" si="4"/>
        <v>622542513.29999995</v>
      </c>
      <c r="H12" s="48">
        <v>282820546.89999998</v>
      </c>
      <c r="I12" s="48">
        <v>91035995.200000003</v>
      </c>
      <c r="J12" s="48">
        <v>245166375.80000001</v>
      </c>
      <c r="K12" s="48">
        <v>213661.2</v>
      </c>
      <c r="L12" s="48">
        <v>2398221.2999999998</v>
      </c>
      <c r="M12" s="48">
        <v>907712.9</v>
      </c>
      <c r="O12" s="19">
        <f>'Purchased Power Model'!V170</f>
        <v>1.0143161099596953</v>
      </c>
      <c r="Q12" s="6">
        <f>H12*$O12</f>
        <v>286869436.94828153</v>
      </c>
      <c r="R12" s="6">
        <f t="shared" ref="R12:V16" si="11">I12*$O12</f>
        <v>92339276.517573506</v>
      </c>
      <c r="S12" s="6">
        <f t="shared" si="11"/>
        <v>248676204.59437281</v>
      </c>
      <c r="T12" s="6">
        <f t="shared" si="11"/>
        <v>216719.99723332046</v>
      </c>
      <c r="U12" s="6">
        <f t="shared" si="11"/>
        <v>2432554.4998384835</v>
      </c>
      <c r="V12" s="6">
        <f t="shared" si="11"/>
        <v>920707.81768823392</v>
      </c>
      <c r="Y12" s="253" t="s">
        <v>111</v>
      </c>
      <c r="Z12" s="43">
        <f>Q12</f>
        <v>286869436.94828153</v>
      </c>
      <c r="AA12" s="43">
        <f>Q13</f>
        <v>288444523.55630392</v>
      </c>
      <c r="AB12" s="43">
        <f>Q14</f>
        <v>290221834.7166236</v>
      </c>
      <c r="AC12" s="43">
        <f>Q15</f>
        <v>298672144.19135499</v>
      </c>
      <c r="AD12" s="43">
        <f>Q16</f>
        <v>305912183.64887351</v>
      </c>
    </row>
    <row r="13" spans="1:30" x14ac:dyDescent="0.2">
      <c r="A13">
        <v>2018</v>
      </c>
      <c r="B13" s="6">
        <f>'Purchased Power Model'!B171</f>
        <v>666736298.38999999</v>
      </c>
      <c r="C13" s="6">
        <f>'Purchased Power Model'!Q171</f>
        <v>684015773.32876098</v>
      </c>
      <c r="D13" s="27">
        <f t="shared" si="9"/>
        <v>17279474.938760996</v>
      </c>
      <c r="E13" s="5">
        <f t="shared" si="10"/>
        <v>2.5916505491731245E-2</v>
      </c>
      <c r="F13" s="18">
        <f t="shared" ref="F13:F16" si="12">1 +(B13-G13)/G13</f>
        <v>1.052135836655417</v>
      </c>
      <c r="G13" s="6">
        <f t="shared" si="4"/>
        <v>633697926.79000008</v>
      </c>
      <c r="H13" s="48">
        <v>295617650.5</v>
      </c>
      <c r="I13" s="48">
        <v>92759999.25</v>
      </c>
      <c r="J13" s="48">
        <v>241817728.50999999</v>
      </c>
      <c r="K13" s="48">
        <v>209110.61</v>
      </c>
      <c r="L13" s="48">
        <v>2398220.96</v>
      </c>
      <c r="M13" s="48">
        <v>895216.96</v>
      </c>
      <c r="O13" s="19">
        <f>'Purchased Power Model'!V171</f>
        <v>0.97573511956554815</v>
      </c>
      <c r="Q13" s="6">
        <f t="shared" ref="Q13:Q16" si="13">H13*$O13</f>
        <v>288444523.55630392</v>
      </c>
      <c r="R13" s="6">
        <f t="shared" si="11"/>
        <v>90509188.959098905</v>
      </c>
      <c r="S13" s="6">
        <f t="shared" si="11"/>
        <v>235950050.2407741</v>
      </c>
      <c r="T13" s="6">
        <f t="shared" si="11"/>
        <v>204036.56605077471</v>
      </c>
      <c r="U13" s="6">
        <f t="shared" si="11"/>
        <v>2340028.4151502037</v>
      </c>
      <c r="V13" s="6">
        <f t="shared" si="11"/>
        <v>873494.62750270648</v>
      </c>
      <c r="Y13" s="253" t="s">
        <v>194</v>
      </c>
      <c r="Z13" s="43">
        <f>R12</f>
        <v>92339276.517573506</v>
      </c>
      <c r="AA13" s="43">
        <f>R13</f>
        <v>90509188.959098905</v>
      </c>
      <c r="AB13" s="43">
        <f>R14</f>
        <v>89917248.807109848</v>
      </c>
      <c r="AC13" s="43">
        <f>R15</f>
        <v>90716234.720307142</v>
      </c>
      <c r="AD13" s="43">
        <f>R16</f>
        <v>93535861.661577031</v>
      </c>
    </row>
    <row r="14" spans="1:30" x14ac:dyDescent="0.2">
      <c r="A14">
        <v>2019</v>
      </c>
      <c r="B14" s="6">
        <f>'Purchased Power Model'!B172</f>
        <v>660639513.94000006</v>
      </c>
      <c r="C14" s="6">
        <f>'Purchased Power Model'!Q172</f>
        <v>671082095.06483686</v>
      </c>
      <c r="D14" s="27">
        <f t="shared" si="9"/>
        <v>10442581.124836802</v>
      </c>
      <c r="E14" s="5">
        <f t="shared" si="10"/>
        <v>1.5806776471116755E-2</v>
      </c>
      <c r="F14" s="18">
        <f t="shared" si="12"/>
        <v>1.0454053168372408</v>
      </c>
      <c r="G14" s="6">
        <f t="shared" si="4"/>
        <v>631945814.02999985</v>
      </c>
      <c r="H14" s="48">
        <v>296035265.68000001</v>
      </c>
      <c r="I14" s="48">
        <v>91718380.409999996</v>
      </c>
      <c r="J14" s="48">
        <v>240708315.94</v>
      </c>
      <c r="K14" s="48">
        <v>206826.03</v>
      </c>
      <c r="L14" s="48">
        <v>2410545.9300000002</v>
      </c>
      <c r="M14" s="48">
        <v>866480.04</v>
      </c>
      <c r="O14" s="19">
        <f>'Purchased Power Model'!V172</f>
        <v>0.9803623701722739</v>
      </c>
      <c r="Q14" s="6">
        <f t="shared" si="13"/>
        <v>290221834.7166236</v>
      </c>
      <c r="R14" s="6">
        <f t="shared" si="11"/>
        <v>89917248.807109848</v>
      </c>
      <c r="S14" s="6">
        <f t="shared" si="11"/>
        <v>235981375.13511494</v>
      </c>
      <c r="T14" s="6">
        <f t="shared" si="11"/>
        <v>202764.45698412182</v>
      </c>
      <c r="U14" s="6">
        <f t="shared" si="11"/>
        <v>2363208.5213439283</v>
      </c>
      <c r="V14" s="6">
        <f t="shared" si="11"/>
        <v>849464.42572136677</v>
      </c>
      <c r="Y14" s="253" t="s">
        <v>208</v>
      </c>
      <c r="Z14" s="43">
        <f>S12</f>
        <v>248676204.59437281</v>
      </c>
      <c r="AA14" s="43">
        <f>S13</f>
        <v>235950050.2407741</v>
      </c>
      <c r="AB14" s="43">
        <f>S14</f>
        <v>235981375.13511494</v>
      </c>
      <c r="AC14" s="43">
        <f>S15</f>
        <v>239272812.57333073</v>
      </c>
      <c r="AD14" s="43">
        <f>S16</f>
        <v>247947743.0310128</v>
      </c>
    </row>
    <row r="15" spans="1:30" x14ac:dyDescent="0.2">
      <c r="A15">
        <v>2020</v>
      </c>
      <c r="B15" s="6">
        <f>'Purchased Power Model'!B173</f>
        <v>659068595.53012538</v>
      </c>
      <c r="C15" s="6">
        <f>'Purchased Power Model'!Q173</f>
        <v>647283484.79280627</v>
      </c>
      <c r="D15" s="27">
        <f t="shared" si="9"/>
        <v>-11785110.737319112</v>
      </c>
      <c r="E15" s="5">
        <f t="shared" si="10"/>
        <v>-1.7881463048379197E-2</v>
      </c>
      <c r="F15" s="18">
        <f t="shared" si="12"/>
        <v>1.0441853432350936</v>
      </c>
      <c r="G15" s="6">
        <f t="shared" si="4"/>
        <v>631179703.67999995</v>
      </c>
      <c r="H15" s="48">
        <v>298184962.97000003</v>
      </c>
      <c r="I15" s="48">
        <v>90568262.280000001</v>
      </c>
      <c r="J15" s="48">
        <v>238882521</v>
      </c>
      <c r="K15" s="48">
        <v>204139.6</v>
      </c>
      <c r="L15" s="48">
        <v>2468996.65</v>
      </c>
      <c r="M15" s="48">
        <v>870821.18</v>
      </c>
      <c r="O15" s="19">
        <f>'Purchased Power Model'!V173</f>
        <v>1.0016338222306802</v>
      </c>
      <c r="Q15" s="6">
        <f t="shared" si="13"/>
        <v>298672144.19135499</v>
      </c>
      <c r="R15" s="6">
        <f t="shared" si="11"/>
        <v>90716234.720307142</v>
      </c>
      <c r="S15" s="6">
        <f t="shared" si="11"/>
        <v>239272812.57333073</v>
      </c>
      <c r="T15" s="6">
        <f t="shared" si="11"/>
        <v>204473.12781664217</v>
      </c>
      <c r="U15" s="6">
        <f t="shared" si="11"/>
        <v>2473030.5516142449</v>
      </c>
      <c r="V15" s="6">
        <f t="shared" si="11"/>
        <v>872243.94700283126</v>
      </c>
      <c r="Y15" s="253" t="s">
        <v>329</v>
      </c>
      <c r="Z15" s="43">
        <f>V12</f>
        <v>920707.81768823392</v>
      </c>
      <c r="AA15" s="43">
        <f>V13</f>
        <v>873494.62750270648</v>
      </c>
      <c r="AB15" s="43">
        <f>V14</f>
        <v>849464.42572136677</v>
      </c>
      <c r="AC15" s="43">
        <f>V15</f>
        <v>872243.94700283126</v>
      </c>
      <c r="AD15" s="43">
        <f>V16</f>
        <v>918198.24162075575</v>
      </c>
    </row>
    <row r="16" spans="1:30" x14ac:dyDescent="0.2">
      <c r="A16">
        <v>2021</v>
      </c>
      <c r="B16" s="6">
        <f>'Purchased Power Model'!B174</f>
        <v>647740936.70370293</v>
      </c>
      <c r="C16" s="6">
        <f>'Purchased Power Model'!Q174</f>
        <v>610764455.86947477</v>
      </c>
      <c r="D16" s="27">
        <f t="shared" si="9"/>
        <v>-36976480.834228158</v>
      </c>
      <c r="E16" s="5">
        <f t="shared" si="10"/>
        <v>-5.708529249733426E-2</v>
      </c>
      <c r="F16" s="18">
        <f t="shared" si="12"/>
        <v>1.0404861167079689</v>
      </c>
      <c r="G16" s="6">
        <f t="shared" si="4"/>
        <v>622536837.63999999</v>
      </c>
      <c r="H16" s="48">
        <v>292492184.38</v>
      </c>
      <c r="I16" s="48">
        <v>89432556</v>
      </c>
      <c r="J16" s="48">
        <v>237070574</v>
      </c>
      <c r="K16" s="48">
        <v>203610.79</v>
      </c>
      <c r="L16" s="48">
        <v>2459994.48</v>
      </c>
      <c r="M16" s="48">
        <v>877917.99</v>
      </c>
      <c r="O16" s="19">
        <f>'Purchased Power Model'!V174</f>
        <v>1.0458815653393272</v>
      </c>
      <c r="Q16" s="6">
        <f t="shared" si="13"/>
        <v>305912183.64887351</v>
      </c>
      <c r="R16" s="6">
        <f t="shared" si="11"/>
        <v>93535861.661577031</v>
      </c>
      <c r="S16" s="6">
        <f t="shared" si="11"/>
        <v>247947743.0310128</v>
      </c>
      <c r="T16" s="6">
        <f t="shared" si="11"/>
        <v>212952.77176517702</v>
      </c>
      <c r="U16" s="6">
        <f t="shared" si="11"/>
        <v>2572862.877468504</v>
      </c>
      <c r="V16" s="6">
        <f t="shared" si="11"/>
        <v>918198.24162075575</v>
      </c>
      <c r="Y16" s="253" t="s">
        <v>330</v>
      </c>
      <c r="Z16" s="43">
        <f>U12</f>
        <v>2432554.4998384835</v>
      </c>
      <c r="AA16" s="43">
        <f>U13</f>
        <v>2340028.4151502037</v>
      </c>
      <c r="AB16" s="43">
        <f>U14</f>
        <v>2363208.5213439283</v>
      </c>
      <c r="AC16" s="43">
        <f>U15</f>
        <v>2473030.5516142449</v>
      </c>
      <c r="AD16" s="43">
        <f>U16</f>
        <v>2572862.877468504</v>
      </c>
    </row>
    <row r="17" spans="1:30" x14ac:dyDescent="0.2">
      <c r="A17">
        <v>2022</v>
      </c>
      <c r="B17" s="55"/>
      <c r="C17" s="55">
        <f>'Purchased Power Model'!Q175</f>
        <v>630498751.71553993</v>
      </c>
      <c r="D17" s="55"/>
      <c r="E17" s="55"/>
      <c r="F17" s="55"/>
      <c r="G17" s="55">
        <f>C17/F20</f>
        <v>602656042.54974186</v>
      </c>
      <c r="H17" s="55"/>
      <c r="I17" s="55"/>
      <c r="J17" s="55"/>
      <c r="K17" s="55"/>
      <c r="L17" s="55"/>
      <c r="M17" s="55"/>
      <c r="Y17" s="253" t="s">
        <v>331</v>
      </c>
      <c r="Z17" s="43">
        <f>T12</f>
        <v>216719.99723332046</v>
      </c>
      <c r="AA17" s="43">
        <f>T13</f>
        <v>204036.56605077471</v>
      </c>
      <c r="AB17" s="43">
        <f>T14</f>
        <v>202764.45698412182</v>
      </c>
      <c r="AC17" s="43">
        <f>T15</f>
        <v>204473.12781664217</v>
      </c>
      <c r="AD17" s="43">
        <f>T16</f>
        <v>212952.77176517702</v>
      </c>
    </row>
    <row r="18" spans="1:30" x14ac:dyDescent="0.2">
      <c r="A18">
        <v>2023</v>
      </c>
      <c r="B18" s="55"/>
      <c r="C18" s="55">
        <f>'Purchased Power Model'!Q176</f>
        <v>620948538.36945367</v>
      </c>
      <c r="D18" s="55"/>
      <c r="E18" s="55"/>
      <c r="F18" s="55"/>
      <c r="G18" s="55">
        <f>C18/F20</f>
        <v>593527564.87235105</v>
      </c>
      <c r="H18" s="55"/>
      <c r="I18" s="55"/>
      <c r="J18" s="55"/>
      <c r="K18" s="55"/>
      <c r="L18" s="55"/>
      <c r="M18" s="55"/>
    </row>
    <row r="19" spans="1:30" x14ac:dyDescent="0.2">
      <c r="H19" s="39"/>
      <c r="I19" s="39"/>
      <c r="J19" s="39"/>
      <c r="K19" s="39"/>
      <c r="L19" s="39"/>
      <c r="M19" s="39"/>
    </row>
    <row r="20" spans="1:30" x14ac:dyDescent="0.2">
      <c r="A20" s="16" t="s">
        <v>16</v>
      </c>
      <c r="C20" s="41"/>
      <c r="D20" s="46"/>
      <c r="F20" s="18">
        <v>1.0462</v>
      </c>
    </row>
    <row r="21" spans="1:30" x14ac:dyDescent="0.2">
      <c r="C21" s="86"/>
      <c r="D21" s="46"/>
      <c r="S21" s="6"/>
      <c r="T21" s="6"/>
      <c r="U21" s="6"/>
    </row>
    <row r="22" spans="1:30" x14ac:dyDescent="0.2">
      <c r="C22" s="41"/>
      <c r="F22" s="18"/>
      <c r="S22" s="6"/>
      <c r="T22" s="6"/>
      <c r="U22" s="6"/>
    </row>
    <row r="23" spans="1:30" x14ac:dyDescent="0.2">
      <c r="A23" s="17" t="s">
        <v>18</v>
      </c>
      <c r="B23" s="12"/>
      <c r="N23" s="44"/>
      <c r="S23" s="6"/>
      <c r="T23" s="6"/>
      <c r="U23" s="6"/>
    </row>
    <row r="25" spans="1:30" x14ac:dyDescent="0.2">
      <c r="A25">
        <f t="shared" ref="A25:A30" si="14">A6</f>
        <v>2011</v>
      </c>
      <c r="F25" s="18"/>
      <c r="H25" s="6">
        <f>H6/'Rate Class Customer Model'!B4</f>
        <v>11855.592604037907</v>
      </c>
      <c r="I25" s="6">
        <f>I6/'Rate Class Customer Model'!C4</f>
        <v>30222.311051693403</v>
      </c>
      <c r="J25" s="6">
        <f>J6/'Rate Class Customer Model'!D4</f>
        <v>635157.2406947891</v>
      </c>
      <c r="K25" s="6">
        <f>K6/'Rate Class Customer Model'!E4</f>
        <v>647.66666666666663</v>
      </c>
      <c r="L25" s="6">
        <f>L6/'Rate Class Customer Model'!F4</f>
        <v>883.43160750621746</v>
      </c>
      <c r="M25" s="6">
        <f>M6/'Rate Class Customer Model'!G4</f>
        <v>46045.947368421053</v>
      </c>
    </row>
    <row r="26" spans="1:30" x14ac:dyDescent="0.2">
      <c r="A26">
        <f t="shared" si="14"/>
        <v>2012</v>
      </c>
      <c r="F26" s="18"/>
      <c r="H26" s="6">
        <f>H7/'Rate Class Customer Model'!B5</f>
        <v>10779.406178606745</v>
      </c>
      <c r="I26" s="6">
        <f>I7/'Rate Class Customer Model'!C5</f>
        <v>28271.175754060325</v>
      </c>
      <c r="J26" s="6">
        <f>J7/'Rate Class Customer Model'!D5</f>
        <v>694847.23224043718</v>
      </c>
      <c r="K26" s="6">
        <f>K7/'Rate Class Customer Model'!E5</f>
        <v>628.85714285714289</v>
      </c>
      <c r="L26" s="6">
        <f>L7/'Rate Class Customer Model'!F5</f>
        <v>874.57144472077778</v>
      </c>
      <c r="M26" s="6">
        <f>M7/'Rate Class Customer Model'!G5</f>
        <v>41047.238095238092</v>
      </c>
      <c r="P26" s="19"/>
    </row>
    <row r="27" spans="1:30" x14ac:dyDescent="0.2">
      <c r="A27">
        <f t="shared" si="14"/>
        <v>2013</v>
      </c>
      <c r="F27" s="18"/>
      <c r="H27" s="6">
        <f>H8/'Rate Class Customer Model'!B6</f>
        <v>10987.845444685467</v>
      </c>
      <c r="I27" s="6">
        <f>I8/'Rate Class Customer Model'!C6</f>
        <v>27584.253022452504</v>
      </c>
      <c r="J27" s="6">
        <f>J8/'Rate Class Customer Model'!D6</f>
        <v>694500.67024128686</v>
      </c>
      <c r="K27" s="6">
        <f>K8/'Rate Class Customer Model'!E6</f>
        <v>634.5320855614973</v>
      </c>
      <c r="L27" s="6">
        <f>L8/'Rate Class Customer Model'!F6</f>
        <v>914.26543070314267</v>
      </c>
      <c r="M27" s="6">
        <f>M8/'Rate Class Customer Model'!G6</f>
        <v>40829.666666666664</v>
      </c>
      <c r="P27" s="19"/>
    </row>
    <row r="28" spans="1:30" x14ac:dyDescent="0.2">
      <c r="A28">
        <f t="shared" si="14"/>
        <v>2014</v>
      </c>
      <c r="F28" s="18"/>
      <c r="H28" s="6">
        <f>H9/'Rate Class Customer Model'!B7</f>
        <v>11348.864369451785</v>
      </c>
      <c r="I28" s="6">
        <f>I9/'Rate Class Customer Model'!C7</f>
        <v>28623.968244803695</v>
      </c>
      <c r="J28" s="6">
        <f>J9/'Rate Class Customer Model'!D7</f>
        <v>699480.62162162166</v>
      </c>
      <c r="K28" s="6">
        <f>K9/'Rate Class Customer Model'!E7</f>
        <v>672.23480662983422</v>
      </c>
      <c r="L28" s="6">
        <f>L9/'Rate Class Customer Model'!F7</f>
        <v>883.12401085236263</v>
      </c>
      <c r="M28" s="6">
        <f>M9/'Rate Class Customer Model'!G7</f>
        <v>41715.428571428572</v>
      </c>
      <c r="P28" s="19"/>
    </row>
    <row r="29" spans="1:30" x14ac:dyDescent="0.2">
      <c r="A29">
        <f t="shared" si="14"/>
        <v>2015</v>
      </c>
      <c r="H29" s="6">
        <f>H10/'Rate Class Customer Model'!B8</f>
        <v>10500.515456943787</v>
      </c>
      <c r="I29" s="6">
        <f>I10/'Rate Class Customer Model'!C8</f>
        <v>27893.081317400174</v>
      </c>
      <c r="J29" s="6">
        <f>J10/'Rate Class Customer Model'!D8</f>
        <v>683068.53887399461</v>
      </c>
      <c r="K29" s="6">
        <f>K10/'Rate Class Customer Model'!E8</f>
        <v>653.43888888888887</v>
      </c>
      <c r="L29" s="6">
        <f>L10/'Rate Class Customer Model'!F8</f>
        <v>825.38884489195607</v>
      </c>
      <c r="M29" s="6">
        <f>M10/'Rate Class Customer Model'!G8</f>
        <v>43462.333333333336</v>
      </c>
    </row>
    <row r="30" spans="1:30" x14ac:dyDescent="0.2">
      <c r="A30">
        <f t="shared" si="14"/>
        <v>2016</v>
      </c>
      <c r="H30" s="6">
        <f>H11/'Rate Class Customer Model'!B9</f>
        <v>9748.3621336934502</v>
      </c>
      <c r="I30" s="6">
        <f>I11/'Rate Class Customer Model'!C9</f>
        <v>26999.120093731693</v>
      </c>
      <c r="J30" s="6">
        <f>J11/'Rate Class Customer Model'!D9</f>
        <v>692396.6149584488</v>
      </c>
      <c r="K30" s="6">
        <f>K11/'Rate Class Customer Model'!E9</f>
        <v>627.22596685082874</v>
      </c>
      <c r="L30" s="6">
        <f>L11/'Rate Class Customer Model'!F9</f>
        <v>548.83646302975649</v>
      </c>
      <c r="M30" s="6">
        <f>M11/'Rate Class Customer Model'!G9</f>
        <v>43011.934761904762</v>
      </c>
    </row>
    <row r="31" spans="1:30" x14ac:dyDescent="0.2">
      <c r="A31">
        <v>2017</v>
      </c>
      <c r="H31" s="6">
        <f>H12/'Rate Class Customer Model'!B10</f>
        <v>9513.28826734838</v>
      </c>
      <c r="I31" s="6">
        <f>I12/'Rate Class Customer Model'!C10</f>
        <v>26642.082294410302</v>
      </c>
      <c r="J31" s="6">
        <f>J12/'Rate Class Customer Model'!D10</f>
        <v>679131.23490304709</v>
      </c>
      <c r="K31" s="6">
        <f>K12/'Rate Class Customer Model'!E10</f>
        <v>591.85927977839333</v>
      </c>
      <c r="L31" s="6">
        <f>L12/'Rate Class Customer Model'!F10</f>
        <v>297.17736059479552</v>
      </c>
      <c r="M31" s="6">
        <f>M12/'Rate Class Customer Model'!G10</f>
        <v>43224.423809523811</v>
      </c>
    </row>
    <row r="32" spans="1:30" x14ac:dyDescent="0.2">
      <c r="A32">
        <v>2018</v>
      </c>
      <c r="D32" s="6"/>
      <c r="H32" s="6">
        <f>H13/'Rate Class Customer Model'!B11</f>
        <v>9907.7538123806007</v>
      </c>
      <c r="I32" s="6">
        <f>I13/'Rate Class Customer Model'!C11</f>
        <v>27170.474297012301</v>
      </c>
      <c r="J32" s="6">
        <f>J13/'Rate Class Customer Model'!D11</f>
        <v>668004.77488950279</v>
      </c>
      <c r="K32" s="6">
        <f>K13/'Rate Class Customer Model'!E11</f>
        <v>589.04397183098592</v>
      </c>
      <c r="L32" s="6">
        <f>L13/'Rate Class Customer Model'!F11</f>
        <v>297.17731846344486</v>
      </c>
      <c r="M32" s="6">
        <f>M13/'Rate Class Customer Model'!G11</f>
        <v>38922.476521739132</v>
      </c>
    </row>
    <row r="33" spans="1:15" x14ac:dyDescent="0.2">
      <c r="A33">
        <v>2019</v>
      </c>
      <c r="D33" s="6"/>
      <c r="H33" s="6">
        <f>H14/'Rate Class Customer Model'!B12</f>
        <v>9901.8385015218919</v>
      </c>
      <c r="I33" s="6">
        <f>I14/'Rate Class Customer Model'!C12</f>
        <v>27071.540853010625</v>
      </c>
      <c r="J33" s="6">
        <f>J14/'Rate Class Customer Model'!D12</f>
        <v>664940.09928176797</v>
      </c>
      <c r="K33" s="6">
        <f>K14/'Rate Class Customer Model'!E12</f>
        <v>590.93151428571423</v>
      </c>
      <c r="L33" s="6">
        <f>L14/'Rate Class Customer Model'!F12</f>
        <v>299.93106009705116</v>
      </c>
      <c r="M33" s="6">
        <f>M14/'Rate Class Customer Model'!G12</f>
        <v>37673.045217391307</v>
      </c>
    </row>
    <row r="34" spans="1:15" x14ac:dyDescent="0.2">
      <c r="A34">
        <v>2020</v>
      </c>
      <c r="D34" s="6"/>
      <c r="H34" s="6">
        <f>H15/'Rate Class Customer Model'!B13</f>
        <v>9930.8919926064082</v>
      </c>
      <c r="I34" s="6">
        <f>I15/'Rate Class Customer Model'!C13</f>
        <v>26708.422966676499</v>
      </c>
      <c r="J34" s="6">
        <f>J15/'Rate Class Customer Model'!D13</f>
        <v>669138.71428571432</v>
      </c>
      <c r="K34" s="6">
        <f>K15/'Rate Class Customer Model'!E13</f>
        <v>586.60804597701156</v>
      </c>
      <c r="L34" s="6">
        <f>L15/'Rate Class Customer Model'!F13</f>
        <v>307.20376384222965</v>
      </c>
      <c r="M34" s="6">
        <f>M15/'Rate Class Customer Model'!G13</f>
        <v>36284.215833333335</v>
      </c>
    </row>
    <row r="35" spans="1:15" x14ac:dyDescent="0.2">
      <c r="A35">
        <v>2021</v>
      </c>
      <c r="D35" s="6"/>
      <c r="H35" s="6">
        <f>H16/'Rate Class Customer Model'!B14</f>
        <v>9706.3842961438913</v>
      </c>
      <c r="I35" s="6">
        <f>I16/'Rate Class Customer Model'!C14</f>
        <v>26350.193282262815</v>
      </c>
      <c r="J35" s="6">
        <f>J16/'Rate Class Customer Model'!D14</f>
        <v>671588.02832861186</v>
      </c>
      <c r="K35" s="6">
        <f>K16/'Rate Class Customer Model'!E14</f>
        <v>617.00239393939398</v>
      </c>
      <c r="L35" s="6">
        <f>L16/'Rate Class Customer Model'!F14</f>
        <v>306.083673012318</v>
      </c>
      <c r="M35" s="6">
        <f>M16/'Rate Class Customer Model'!G14</f>
        <v>36579.916250000002</v>
      </c>
    </row>
    <row r="36" spans="1:15" x14ac:dyDescent="0.2">
      <c r="A36">
        <v>2022</v>
      </c>
      <c r="D36" s="6"/>
      <c r="H36" s="6">
        <f>H35*H54</f>
        <v>9514.1699182134689</v>
      </c>
      <c r="I36" s="6">
        <f t="shared" ref="I36:M36" si="15">I35*I54</f>
        <v>25991.384776183491</v>
      </c>
      <c r="J36" s="6">
        <f t="shared" si="15"/>
        <v>675344.10776356701</v>
      </c>
      <c r="K36" s="6">
        <f t="shared" si="15"/>
        <v>614.01697735487153</v>
      </c>
      <c r="L36" s="6">
        <f t="shared" si="15"/>
        <v>306.083673012318</v>
      </c>
      <c r="M36" s="6">
        <f t="shared" si="15"/>
        <v>35747.677908549173</v>
      </c>
    </row>
    <row r="37" spans="1:15" x14ac:dyDescent="0.2">
      <c r="A37">
        <v>2023</v>
      </c>
      <c r="D37" s="6"/>
      <c r="H37" s="6">
        <f>H36*H54</f>
        <v>9325.7619388302228</v>
      </c>
      <c r="I37" s="6">
        <f t="shared" ref="I37:M37" si="16">I36*I54</f>
        <v>25637.462137264829</v>
      </c>
      <c r="J37" s="6">
        <f t="shared" si="16"/>
        <v>679121.19432212552</v>
      </c>
      <c r="K37" s="6">
        <f t="shared" si="16"/>
        <v>611.04600595284865</v>
      </c>
      <c r="L37" s="6">
        <f t="shared" si="16"/>
        <v>306.083673012318</v>
      </c>
      <c r="M37" s="6">
        <f t="shared" si="16"/>
        <v>34934.374018786184</v>
      </c>
    </row>
    <row r="38" spans="1:15" x14ac:dyDescent="0.2">
      <c r="D38" s="6"/>
      <c r="H38" s="19"/>
      <c r="I38" s="19"/>
      <c r="J38" s="19"/>
      <c r="K38" s="19"/>
      <c r="L38" s="19"/>
      <c r="M38" s="19"/>
    </row>
    <row r="39" spans="1:15" x14ac:dyDescent="0.2">
      <c r="A39">
        <f>A25</f>
        <v>2011</v>
      </c>
      <c r="D39" s="6"/>
      <c r="H39" s="19"/>
      <c r="I39" s="19"/>
      <c r="J39" s="19"/>
      <c r="K39" s="19"/>
      <c r="L39" s="19"/>
      <c r="M39" s="19"/>
    </row>
    <row r="40" spans="1:15" x14ac:dyDescent="0.2">
      <c r="A40">
        <f>A26</f>
        <v>2012</v>
      </c>
      <c r="D40" s="6"/>
      <c r="H40" s="19">
        <f t="shared" ref="H40:M44" si="17">H26/H25</f>
        <v>0.90922542116835026</v>
      </c>
      <c r="I40" s="19">
        <f t="shared" si="17"/>
        <v>0.93544056593502123</v>
      </c>
      <c r="J40" s="19">
        <f t="shared" si="17"/>
        <v>1.0939767158764562</v>
      </c>
      <c r="K40" s="19">
        <f t="shared" si="17"/>
        <v>0.97095801779280944</v>
      </c>
      <c r="L40" s="19">
        <f t="shared" si="17"/>
        <v>0.98997074282812847</v>
      </c>
      <c r="M40" s="19">
        <f t="shared" si="17"/>
        <v>0.89144084205310226</v>
      </c>
      <c r="O40" s="19"/>
    </row>
    <row r="41" spans="1:15" x14ac:dyDescent="0.2">
      <c r="A41">
        <f>A27</f>
        <v>2013</v>
      </c>
      <c r="D41" s="6"/>
      <c r="H41" s="19">
        <f t="shared" si="17"/>
        <v>1.0193368041453339</v>
      </c>
      <c r="I41" s="19">
        <f t="shared" si="17"/>
        <v>0.97570236421776113</v>
      </c>
      <c r="J41" s="19">
        <f t="shared" si="17"/>
        <v>0.99950124000921348</v>
      </c>
      <c r="K41" s="19">
        <f t="shared" si="17"/>
        <v>1.0090242160223719</v>
      </c>
      <c r="L41" s="19">
        <f t="shared" si="17"/>
        <v>1.0453867848326992</v>
      </c>
      <c r="M41" s="19">
        <f t="shared" si="17"/>
        <v>0.99469948677017883</v>
      </c>
      <c r="O41" s="19"/>
    </row>
    <row r="42" spans="1:15" x14ac:dyDescent="0.2">
      <c r="A42">
        <f>A28</f>
        <v>2014</v>
      </c>
      <c r="D42" s="6"/>
      <c r="H42" s="19">
        <f t="shared" si="17"/>
        <v>1.0328562070320104</v>
      </c>
      <c r="I42" s="19">
        <f t="shared" si="17"/>
        <v>1.0376923464813386</v>
      </c>
      <c r="J42" s="19">
        <f t="shared" si="17"/>
        <v>1.0071705494230907</v>
      </c>
      <c r="K42" s="19">
        <f t="shared" si="17"/>
        <v>1.0594181475235784</v>
      </c>
      <c r="L42" s="19">
        <f t="shared" si="17"/>
        <v>0.96593831637402083</v>
      </c>
      <c r="M42" s="19">
        <f t="shared" si="17"/>
        <v>1.0216940763193898</v>
      </c>
      <c r="O42" s="19"/>
    </row>
    <row r="43" spans="1:15" x14ac:dyDescent="0.2">
      <c r="A43">
        <v>2015</v>
      </c>
      <c r="D43" s="6"/>
      <c r="H43" s="19">
        <f t="shared" si="17"/>
        <v>0.92524812308167725</v>
      </c>
      <c r="I43" s="19">
        <f t="shared" si="17"/>
        <v>0.97446591188361165</v>
      </c>
      <c r="J43" s="19">
        <f t="shared" si="17"/>
        <v>0.97653675850293242</v>
      </c>
      <c r="K43" s="19">
        <f t="shared" si="17"/>
        <v>0.97203965406793447</v>
      </c>
      <c r="L43" s="19">
        <f t="shared" si="17"/>
        <v>0.93462394267291804</v>
      </c>
      <c r="M43" s="19">
        <f t="shared" si="17"/>
        <v>1.0418767065742491</v>
      </c>
      <c r="O43" s="19"/>
    </row>
    <row r="44" spans="1:15" x14ac:dyDescent="0.2">
      <c r="A44">
        <v>2016</v>
      </c>
      <c r="D44" s="6"/>
      <c r="H44" s="19">
        <f t="shared" si="17"/>
        <v>0.92836986657136411</v>
      </c>
      <c r="I44" s="19">
        <f t="shared" si="17"/>
        <v>0.96795043138131842</v>
      </c>
      <c r="J44" s="19">
        <f t="shared" si="17"/>
        <v>1.0136561348584889</v>
      </c>
      <c r="K44" s="19">
        <f t="shared" si="17"/>
        <v>0.95988466177360099</v>
      </c>
      <c r="L44" s="19">
        <f t="shared" si="17"/>
        <v>0.66494291318124066</v>
      </c>
      <c r="M44" s="19">
        <f t="shared" si="17"/>
        <v>0.98963703655820201</v>
      </c>
      <c r="O44" s="19"/>
    </row>
    <row r="45" spans="1:15" x14ac:dyDescent="0.2">
      <c r="A45">
        <v>2017</v>
      </c>
      <c r="D45" s="6"/>
      <c r="H45" s="19">
        <f t="shared" ref="H45:M45" si="18">H31/H30</f>
        <v>0.97588580900861488</v>
      </c>
      <c r="I45" s="19">
        <f t="shared" si="18"/>
        <v>0.98677594684264236</v>
      </c>
      <c r="J45" s="19">
        <f t="shared" si="18"/>
        <v>0.98084135628508562</v>
      </c>
      <c r="K45" s="19">
        <f t="shared" si="18"/>
        <v>0.94361412163784575</v>
      </c>
      <c r="L45" s="19">
        <f t="shared" si="18"/>
        <v>0.54146796106490347</v>
      </c>
      <c r="M45" s="19">
        <f t="shared" si="18"/>
        <v>1.0049402345836171</v>
      </c>
      <c r="O45" s="19"/>
    </row>
    <row r="46" spans="1:15" x14ac:dyDescent="0.2">
      <c r="A46">
        <v>2018</v>
      </c>
      <c r="D46" s="6"/>
      <c r="H46" s="19">
        <f t="shared" ref="H46:M46" si="19">H32/H31</f>
        <v>1.0414646895948807</v>
      </c>
      <c r="I46" s="19">
        <f t="shared" si="19"/>
        <v>1.0198329844027567</v>
      </c>
      <c r="J46" s="19">
        <f t="shared" si="19"/>
        <v>0.98361662747681933</v>
      </c>
      <c r="K46" s="19">
        <f t="shared" si="19"/>
        <v>0.99524328156439223</v>
      </c>
      <c r="L46" s="19">
        <f t="shared" si="19"/>
        <v>0.99999985822826287</v>
      </c>
      <c r="M46" s="19">
        <f t="shared" si="19"/>
        <v>0.90047415538164299</v>
      </c>
      <c r="O46" s="19"/>
    </row>
    <row r="47" spans="1:15" x14ac:dyDescent="0.2">
      <c r="A47">
        <v>2019</v>
      </c>
      <c r="D47" s="6"/>
      <c r="H47" s="19">
        <f t="shared" ref="H47:M47" si="20">H33/H32</f>
        <v>0.99940296146122276</v>
      </c>
      <c r="I47" s="19">
        <f t="shared" si="20"/>
        <v>0.99635878848045889</v>
      </c>
      <c r="J47" s="19">
        <f t="shared" si="20"/>
        <v>0.99541219505767486</v>
      </c>
      <c r="K47" s="19">
        <f t="shared" si="20"/>
        <v>1.003204416894143</v>
      </c>
      <c r="L47" s="19">
        <f t="shared" si="20"/>
        <v>1.0092663250608913</v>
      </c>
      <c r="M47" s="19">
        <f t="shared" si="20"/>
        <v>0.96789949109096418</v>
      </c>
      <c r="O47" s="19"/>
    </row>
    <row r="48" spans="1:15" x14ac:dyDescent="0.2">
      <c r="A48">
        <v>2020</v>
      </c>
      <c r="D48" s="6"/>
      <c r="H48" s="19">
        <f t="shared" ref="H48:M48" si="21">H34/H33</f>
        <v>1.0029341511760721</v>
      </c>
      <c r="I48" s="19">
        <f t="shared" si="21"/>
        <v>0.98658673001637642</v>
      </c>
      <c r="J48" s="19">
        <f t="shared" si="21"/>
        <v>1.0063142755392274</v>
      </c>
      <c r="K48" s="19">
        <f t="shared" si="21"/>
        <v>0.99268363895953549</v>
      </c>
      <c r="L48" s="19">
        <f t="shared" si="21"/>
        <v>1.0242479179809694</v>
      </c>
      <c r="M48" s="19">
        <f t="shared" si="21"/>
        <v>0.96313466628344568</v>
      </c>
      <c r="O48" s="19"/>
    </row>
    <row r="49" spans="1:22" x14ac:dyDescent="0.2">
      <c r="A49">
        <v>2021</v>
      </c>
      <c r="D49" s="6"/>
      <c r="H49" s="19">
        <f t="shared" ref="H49:M49" si="22">H35/H34</f>
        <v>0.97739299786669076</v>
      </c>
      <c r="I49" s="19">
        <f t="shared" si="22"/>
        <v>0.98658738912212685</v>
      </c>
      <c r="J49" s="19">
        <f t="shared" si="22"/>
        <v>1.0036603980469312</v>
      </c>
      <c r="K49" s="19">
        <f t="shared" si="22"/>
        <v>1.0518137249750126</v>
      </c>
      <c r="L49" s="19">
        <f t="shared" si="22"/>
        <v>0.99635391566853693</v>
      </c>
      <c r="M49" s="19">
        <f t="shared" si="22"/>
        <v>1.0081495606250643</v>
      </c>
      <c r="O49" s="19"/>
    </row>
    <row r="50" spans="1:22" x14ac:dyDescent="0.2">
      <c r="D50" s="6"/>
      <c r="H50" s="19"/>
      <c r="I50" s="19"/>
      <c r="J50" s="19"/>
      <c r="K50" s="19"/>
      <c r="L50" s="19"/>
      <c r="M50" s="19"/>
      <c r="O50" s="19"/>
    </row>
    <row r="51" spans="1:22" x14ac:dyDescent="0.2">
      <c r="D51" s="6"/>
      <c r="H51" s="19"/>
      <c r="I51" s="19"/>
      <c r="J51" s="19"/>
      <c r="K51" s="19"/>
      <c r="L51" s="19"/>
      <c r="M51" s="19"/>
      <c r="O51" s="19"/>
    </row>
    <row r="52" spans="1:22" x14ac:dyDescent="0.2">
      <c r="D52" s="6"/>
      <c r="H52" s="19"/>
      <c r="I52" s="19"/>
      <c r="J52" s="19"/>
      <c r="K52" s="19"/>
      <c r="L52" s="19"/>
      <c r="M52" s="19"/>
      <c r="O52" s="19"/>
    </row>
    <row r="53" spans="1:22" x14ac:dyDescent="0.2">
      <c r="A53" s="3"/>
      <c r="D53" s="6"/>
      <c r="E53" s="6"/>
      <c r="F53" s="6"/>
    </row>
    <row r="54" spans="1:22" x14ac:dyDescent="0.2">
      <c r="A54" t="s">
        <v>21</v>
      </c>
      <c r="D54" s="6"/>
      <c r="H54" s="19">
        <f>H56</f>
        <v>0.98019711850819824</v>
      </c>
      <c r="I54" s="19">
        <f>I56</f>
        <v>0.98638307877912801</v>
      </c>
      <c r="J54" s="19">
        <f>J56</f>
        <v>1.005592832624344</v>
      </c>
      <c r="K54" s="19">
        <f>K56</f>
        <v>0.99516141815032289</v>
      </c>
      <c r="L54" s="19">
        <v>1</v>
      </c>
      <c r="M54" s="19">
        <f>M56</f>
        <v>0.97724876307088782</v>
      </c>
    </row>
    <row r="55" spans="1:22" x14ac:dyDescent="0.2">
      <c r="A55" s="3"/>
      <c r="D55" s="6"/>
      <c r="H55" s="12"/>
      <c r="I55" s="12"/>
      <c r="K55" s="11"/>
      <c r="L55" s="11"/>
      <c r="M55" s="11"/>
    </row>
    <row r="56" spans="1:22" x14ac:dyDescent="0.2">
      <c r="A56" t="s">
        <v>17</v>
      </c>
      <c r="D56" s="6"/>
      <c r="H56" s="19">
        <f>GEOMEAN(H40:H49)</f>
        <v>0.98019711850819824</v>
      </c>
      <c r="I56" s="19">
        <f t="shared" ref="I56:M56" si="23">GEOMEAN(I40:I49)</f>
        <v>0.98638307877912801</v>
      </c>
      <c r="J56" s="19">
        <f t="shared" si="23"/>
        <v>1.005592832624344</v>
      </c>
      <c r="K56" s="19">
        <f t="shared" si="23"/>
        <v>0.99516141815032289</v>
      </c>
      <c r="L56" s="19">
        <f t="shared" si="23"/>
        <v>0.89942866202697658</v>
      </c>
      <c r="M56" s="19">
        <f t="shared" si="23"/>
        <v>0.97724876307088782</v>
      </c>
      <c r="O56" s="19"/>
      <c r="S56" s="43"/>
      <c r="T56" s="60"/>
    </row>
    <row r="57" spans="1:22" x14ac:dyDescent="0.2">
      <c r="D57" s="6"/>
      <c r="H57" s="19"/>
      <c r="I57" s="19"/>
      <c r="J57" s="19"/>
      <c r="K57" s="19"/>
      <c r="L57" s="19"/>
      <c r="M57" s="19"/>
    </row>
    <row r="58" spans="1:22" x14ac:dyDescent="0.2">
      <c r="A58" s="16" t="s">
        <v>47</v>
      </c>
    </row>
    <row r="59" spans="1:22" x14ac:dyDescent="0.2">
      <c r="A59" s="16">
        <v>2022</v>
      </c>
      <c r="G59" s="6">
        <f>SUM(H59:M59)</f>
        <v>614763111.97452939</v>
      </c>
      <c r="H59" s="6">
        <f>H36*'Rate Class Customer Model'!B15</f>
        <v>287679068.30354857</v>
      </c>
      <c r="I59" s="6">
        <f>I36*'Rate Class Customer Model'!C15</f>
        <v>88287867.941617951</v>
      </c>
      <c r="J59" s="6">
        <f>J36*'Rate Class Customer Model'!D15</f>
        <v>235259292.37921476</v>
      </c>
      <c r="K59" s="6">
        <f>K36*'Rate Class Customer Model'!E15</f>
        <v>198665.79886182357</v>
      </c>
      <c r="L59" s="6">
        <f>L36*'Rate Class Customer Model'!F15</f>
        <v>2459994.48</v>
      </c>
      <c r="M59" s="6">
        <f>M36*'Rate Class Customer Model'!G15</f>
        <v>878223.07128615165</v>
      </c>
    </row>
    <row r="60" spans="1:22" x14ac:dyDescent="0.2">
      <c r="A60" s="16">
        <v>2023</v>
      </c>
      <c r="G60" s="6">
        <f>SUM(H60:M60)</f>
        <v>607097198.97605908</v>
      </c>
      <c r="H60" s="6">
        <f>H37*'Rate Class Customer Model'!B16</f>
        <v>282945154.63865727</v>
      </c>
      <c r="I60" s="6">
        <f>I37*'Rate Class Customer Model'!C16</f>
        <v>87157831.267581925</v>
      </c>
      <c r="J60" s="6">
        <f>J37*'Rate Class Customer Model'!D16</f>
        <v>233461849.42703545</v>
      </c>
      <c r="K60" s="6">
        <f>K37*'Rate Class Customer Model'!E16</f>
        <v>193840.90419474596</v>
      </c>
      <c r="L60" s="6">
        <f>L37*'Rate Class Customer Model'!F16</f>
        <v>2459994.48</v>
      </c>
      <c r="M60" s="6">
        <f>M37*'Rate Class Customer Model'!G16</f>
        <v>878528.2585897129</v>
      </c>
      <c r="S60" s="43"/>
      <c r="T60" s="43"/>
      <c r="U60" s="43"/>
      <c r="V60" s="60"/>
    </row>
    <row r="62" spans="1:22" x14ac:dyDescent="0.2">
      <c r="A62" s="16" t="s">
        <v>46</v>
      </c>
      <c r="N62" s="6" t="s">
        <v>20</v>
      </c>
    </row>
    <row r="63" spans="1:22" x14ac:dyDescent="0.2">
      <c r="A63" s="16">
        <v>2022</v>
      </c>
      <c r="G63" s="6">
        <f>G17</f>
        <v>602656042.54974186</v>
      </c>
      <c r="H63" s="6">
        <f>H59+H71</f>
        <v>281801295.07369024</v>
      </c>
      <c r="I63" s="6">
        <f t="shared" ref="I63:M63" si="24">I59+I71</f>
        <v>86483996.46160832</v>
      </c>
      <c r="J63" s="6">
        <f t="shared" si="24"/>
        <v>230833867.66429523</v>
      </c>
      <c r="K63" s="6">
        <f t="shared" si="24"/>
        <v>198665.79886182357</v>
      </c>
      <c r="L63" s="6">
        <f t="shared" si="24"/>
        <v>2459994.48</v>
      </c>
      <c r="M63" s="6">
        <f t="shared" si="24"/>
        <v>878223.07128615165</v>
      </c>
      <c r="N63" s="6">
        <f>SUM(H63:M63)</f>
        <v>602656042.54974186</v>
      </c>
    </row>
    <row r="64" spans="1:22" x14ac:dyDescent="0.2">
      <c r="A64" s="16">
        <v>2023</v>
      </c>
      <c r="G64" s="6">
        <f>G18</f>
        <v>593527564.87235105</v>
      </c>
      <c r="H64" s="6">
        <f>H60+H72-H75</f>
        <v>273629866.26848006</v>
      </c>
      <c r="I64" s="6">
        <f t="shared" ref="I64:J64" si="25">I60+I72-I75</f>
        <v>78837023.523271874</v>
      </c>
      <c r="J64" s="6">
        <f t="shared" si="25"/>
        <v>219167959.43781471</v>
      </c>
      <c r="K64" s="6">
        <f t="shared" ref="K64:M64" si="26">K60+K72</f>
        <v>193840.90419474596</v>
      </c>
      <c r="L64" s="6">
        <f t="shared" si="26"/>
        <v>2459994.48</v>
      </c>
      <c r="M64" s="6">
        <f t="shared" si="26"/>
        <v>878528.2585897129</v>
      </c>
      <c r="N64" s="6">
        <f>SUM(H64:M64)</f>
        <v>575167212.87235105</v>
      </c>
      <c r="R64"/>
    </row>
    <row r="66" spans="1:14" x14ac:dyDescent="0.2">
      <c r="A66" t="s">
        <v>48</v>
      </c>
      <c r="H66" s="87">
        <v>0.92649999999999999</v>
      </c>
      <c r="I66" s="87">
        <v>0.92649999999999999</v>
      </c>
      <c r="J66" s="87">
        <v>0.85299999999999998</v>
      </c>
      <c r="K66" s="20"/>
      <c r="L66" s="20"/>
      <c r="M66" s="20"/>
      <c r="N66" s="6" t="s">
        <v>20</v>
      </c>
    </row>
    <row r="67" spans="1:14" x14ac:dyDescent="0.2">
      <c r="A67" s="16">
        <v>2022</v>
      </c>
      <c r="G67" s="6">
        <f>G63-G59</f>
        <v>-12107069.424787521</v>
      </c>
      <c r="H67" s="6">
        <f t="shared" ref="H67:M68" si="27">H59*H$66</f>
        <v>266534656.78323776</v>
      </c>
      <c r="I67" s="6">
        <f t="shared" si="27"/>
        <v>81798709.64790903</v>
      </c>
      <c r="J67" s="6">
        <f t="shared" si="27"/>
        <v>200676176.39947018</v>
      </c>
      <c r="K67" s="6">
        <f t="shared" si="27"/>
        <v>0</v>
      </c>
      <c r="L67" s="6">
        <f t="shared" si="27"/>
        <v>0</v>
      </c>
      <c r="M67" s="6">
        <f t="shared" si="27"/>
        <v>0</v>
      </c>
      <c r="N67" s="6">
        <f>SUM(H67:M67)</f>
        <v>549009542.83061695</v>
      </c>
    </row>
    <row r="68" spans="1:14" x14ac:dyDescent="0.2">
      <c r="A68" s="16">
        <v>2023</v>
      </c>
      <c r="G68" s="6">
        <f>G64-G60</f>
        <v>-13569634.103708029</v>
      </c>
      <c r="H68" s="6">
        <f t="shared" si="27"/>
        <v>262148685.77271596</v>
      </c>
      <c r="I68" s="6">
        <f t="shared" si="27"/>
        <v>80751730.669414654</v>
      </c>
      <c r="J68" s="6">
        <f t="shared" si="27"/>
        <v>199142957.56126124</v>
      </c>
      <c r="K68" s="6">
        <f t="shared" si="27"/>
        <v>0</v>
      </c>
      <c r="L68" s="6">
        <f t="shared" si="27"/>
        <v>0</v>
      </c>
      <c r="M68" s="6">
        <f t="shared" si="27"/>
        <v>0</v>
      </c>
      <c r="N68" s="6">
        <f>SUM(H68:M68)</f>
        <v>542043374.00339186</v>
      </c>
    </row>
    <row r="69" spans="1:14" ht="12" customHeight="1" x14ac:dyDescent="0.2"/>
    <row r="70" spans="1:14" x14ac:dyDescent="0.2">
      <c r="A70" t="s">
        <v>49</v>
      </c>
    </row>
    <row r="71" spans="1:14" x14ac:dyDescent="0.2">
      <c r="A71" s="16">
        <v>2022</v>
      </c>
      <c r="H71" s="6">
        <f>H67/N67*G67</f>
        <v>-5877773.2298583537</v>
      </c>
      <c r="I71" s="6">
        <f>I67/N67*G67</f>
        <v>-1803871.4800096231</v>
      </c>
      <c r="J71" s="6">
        <f>J67/N67*G67</f>
        <v>-4425424.7149195448</v>
      </c>
      <c r="K71" s="6">
        <v>0</v>
      </c>
      <c r="L71" s="6">
        <v>0</v>
      </c>
      <c r="M71" s="6">
        <v>0</v>
      </c>
      <c r="N71" s="6">
        <f>SUM(H71:M71)</f>
        <v>-12107069.424787521</v>
      </c>
    </row>
    <row r="72" spans="1:14" x14ac:dyDescent="0.2">
      <c r="A72" s="16">
        <v>2023</v>
      </c>
      <c r="G72" s="20"/>
      <c r="H72" s="6">
        <f>H68/$N$68*$G$68</f>
        <v>-6562688.3701772289</v>
      </c>
      <c r="I72" s="6">
        <f t="shared" ref="I72:M72" si="28">I68/$N$68*$G$68</f>
        <v>-2021556.7443100556</v>
      </c>
      <c r="J72" s="6">
        <f t="shared" si="28"/>
        <v>-4985388.989220744</v>
      </c>
      <c r="K72" s="6">
        <f t="shared" si="28"/>
        <v>0</v>
      </c>
      <c r="L72" s="6">
        <f t="shared" si="28"/>
        <v>0</v>
      </c>
      <c r="M72" s="6">
        <f t="shared" si="28"/>
        <v>0</v>
      </c>
      <c r="N72" s="6">
        <f>SUM(H72:M72)</f>
        <v>-13569634.103708029</v>
      </c>
    </row>
    <row r="73" spans="1:14" x14ac:dyDescent="0.2">
      <c r="G73" s="20"/>
    </row>
    <row r="74" spans="1:14" x14ac:dyDescent="0.2">
      <c r="A74" s="16" t="s">
        <v>321</v>
      </c>
    </row>
    <row r="75" spans="1:14" x14ac:dyDescent="0.2">
      <c r="A75">
        <v>2023</v>
      </c>
      <c r="G75" s="6">
        <v>18360352</v>
      </c>
      <c r="H75" s="6">
        <v>2752600</v>
      </c>
      <c r="I75" s="6">
        <v>6299251</v>
      </c>
      <c r="J75" s="6">
        <v>9308501</v>
      </c>
      <c r="N75" s="6">
        <f>SUM(H75:M75)</f>
        <v>18360352</v>
      </c>
    </row>
  </sheetData>
  <phoneticPr fontId="0" type="noConversion"/>
  <pageMargins left="0.38" right="0.75" top="0.73" bottom="0.74" header="0.5" footer="0.5"/>
  <pageSetup scale="49" orientation="landscape" r:id="rId1"/>
  <headerFooter alignWithMargins="0">
    <oddFooter>&amp;L&amp;Z&amp;F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6D47-7EFD-4E55-A66B-C68DE1F70430}">
  <sheetPr>
    <tabColor rgb="FF00FF00"/>
  </sheetPr>
  <dimension ref="A1:W74"/>
  <sheetViews>
    <sheetView topLeftCell="A31" zoomScale="130" zoomScaleNormal="130" workbookViewId="0">
      <selection activeCell="D69" sqref="A67:D69"/>
    </sheetView>
  </sheetViews>
  <sheetFormatPr defaultRowHeight="12.75" x14ac:dyDescent="0.2"/>
  <cols>
    <col min="1" max="1" width="16.5703125" style="271" bestFit="1" customWidth="1"/>
    <col min="2" max="2" width="16.140625" style="271" customWidth="1"/>
    <col min="3" max="3" width="15.42578125" style="271" customWidth="1"/>
    <col min="4" max="4" width="15.85546875" style="271" customWidth="1"/>
    <col min="5" max="5" width="11" style="271" customWidth="1"/>
    <col min="6" max="7" width="11.7109375" style="271" customWidth="1"/>
    <col min="8" max="8" width="15" style="271" bestFit="1" customWidth="1"/>
    <col min="9" max="11" width="9.140625" style="271"/>
    <col min="12" max="23" width="17.5703125" style="271" customWidth="1"/>
    <col min="24" max="16384" width="9.140625" style="271"/>
  </cols>
  <sheetData>
    <row r="1" spans="1:23" ht="13.5" thickBot="1" x14ac:dyDescent="0.25">
      <c r="A1" s="310" t="s">
        <v>377</v>
      </c>
    </row>
    <row r="2" spans="1:23" ht="37.5" customHeight="1" x14ac:dyDescent="0.2">
      <c r="A2" s="262" t="s">
        <v>115</v>
      </c>
      <c r="B2" s="299" t="s">
        <v>194</v>
      </c>
      <c r="C2" s="299" t="s">
        <v>335</v>
      </c>
      <c r="D2" s="299" t="s">
        <v>334</v>
      </c>
      <c r="E2" s="299" t="s">
        <v>208</v>
      </c>
      <c r="F2" s="299" t="s">
        <v>335</v>
      </c>
      <c r="G2" s="300" t="s">
        <v>334</v>
      </c>
      <c r="L2" s="272" t="s">
        <v>9</v>
      </c>
      <c r="M2" s="272" t="s">
        <v>10</v>
      </c>
      <c r="N2" s="272" t="s">
        <v>44</v>
      </c>
      <c r="O2" s="272" t="s">
        <v>11</v>
      </c>
      <c r="P2" s="272" t="s">
        <v>0</v>
      </c>
      <c r="Q2" s="273" t="s">
        <v>3</v>
      </c>
      <c r="R2" s="274" t="s">
        <v>111</v>
      </c>
      <c r="S2" s="275" t="s">
        <v>194</v>
      </c>
      <c r="T2" s="275" t="s">
        <v>208</v>
      </c>
      <c r="U2" s="276" t="s">
        <v>113</v>
      </c>
      <c r="V2" s="275" t="s">
        <v>61</v>
      </c>
      <c r="W2" s="275" t="s">
        <v>112</v>
      </c>
    </row>
    <row r="3" spans="1:23" x14ac:dyDescent="0.2">
      <c r="A3" s="265">
        <v>2011</v>
      </c>
      <c r="B3" s="266">
        <v>101728299</v>
      </c>
      <c r="C3" s="266"/>
      <c r="D3" s="266"/>
      <c r="E3" s="266">
        <v>255968368</v>
      </c>
      <c r="F3" s="277"/>
      <c r="G3" s="301"/>
      <c r="L3" s="278"/>
      <c r="M3" s="278"/>
      <c r="N3" s="278"/>
      <c r="O3" s="278"/>
      <c r="P3" s="278"/>
      <c r="Q3" s="279"/>
      <c r="R3" s="279"/>
      <c r="S3" s="279"/>
      <c r="T3" s="279"/>
      <c r="U3" s="279"/>
      <c r="V3" s="279"/>
      <c r="W3" s="279"/>
    </row>
    <row r="4" spans="1:23" x14ac:dyDescent="0.2">
      <c r="A4" s="265">
        <v>2012</v>
      </c>
      <c r="B4" s="266">
        <v>97479014</v>
      </c>
      <c r="C4" s="559">
        <f>(B4-B3)/B3</f>
        <v>-4.1770923546062634E-2</v>
      </c>
      <c r="D4" s="556"/>
      <c r="E4" s="266">
        <v>254314087</v>
      </c>
      <c r="F4" s="559">
        <f>(E4-E3)/E3</f>
        <v>-6.4628337201415448E-3</v>
      </c>
      <c r="G4" s="561"/>
      <c r="K4" s="280"/>
      <c r="L4" s="281" t="s">
        <v>110</v>
      </c>
      <c r="M4" s="278"/>
      <c r="N4" s="278"/>
      <c r="O4" s="278"/>
      <c r="P4" s="278"/>
      <c r="Q4" s="279"/>
      <c r="R4" s="279"/>
      <c r="S4" s="279"/>
      <c r="T4" s="279"/>
      <c r="U4" s="279"/>
      <c r="V4" s="279"/>
      <c r="W4" s="279"/>
    </row>
    <row r="5" spans="1:23" x14ac:dyDescent="0.2">
      <c r="A5" s="265">
        <v>2013</v>
      </c>
      <c r="B5" s="266">
        <v>95827695</v>
      </c>
      <c r="C5" s="559">
        <f t="shared" ref="C5:F13" si="0">(B5-B4)/B4</f>
        <v>-1.6940251365283609E-2</v>
      </c>
      <c r="D5" s="556"/>
      <c r="E5" s="266">
        <v>259048750</v>
      </c>
      <c r="F5" s="556">
        <f t="shared" si="0"/>
        <v>1.8617383943815902E-2</v>
      </c>
      <c r="G5" s="561"/>
    </row>
    <row r="6" spans="1:23" x14ac:dyDescent="0.2">
      <c r="A6" s="265">
        <v>2014</v>
      </c>
      <c r="B6" s="266">
        <v>99153426</v>
      </c>
      <c r="C6" s="556">
        <f t="shared" si="0"/>
        <v>3.4705321880068175E-2</v>
      </c>
      <c r="D6" s="556"/>
      <c r="E6" s="266">
        <v>258807830</v>
      </c>
      <c r="F6" s="559">
        <f t="shared" si="0"/>
        <v>-9.3001799854274534E-4</v>
      </c>
      <c r="G6" s="561"/>
      <c r="K6" s="271">
        <f>'Rate Class Energy Model'!A6</f>
        <v>2011</v>
      </c>
      <c r="L6" s="279">
        <v>745049194</v>
      </c>
      <c r="M6" s="279">
        <v>737170212.74824703</v>
      </c>
      <c r="N6" s="282">
        <v>-7878981.2517529726</v>
      </c>
      <c r="O6" s="283">
        <v>-1.0575115462446863E-2</v>
      </c>
      <c r="P6" s="284">
        <v>1.0465217405234657</v>
      </c>
      <c r="Q6" s="279">
        <v>711929017</v>
      </c>
      <c r="R6" s="285">
        <v>345282279</v>
      </c>
      <c r="S6" s="285">
        <v>101728299</v>
      </c>
      <c r="T6" s="285">
        <v>255968368</v>
      </c>
      <c r="U6" s="285">
        <v>260362</v>
      </c>
      <c r="V6" s="285">
        <v>7814836</v>
      </c>
      <c r="W6" s="285">
        <v>874873</v>
      </c>
    </row>
    <row r="7" spans="1:23" x14ac:dyDescent="0.2">
      <c r="A7" s="265">
        <v>2015</v>
      </c>
      <c r="B7" s="266">
        <v>95701162</v>
      </c>
      <c r="C7" s="559">
        <f t="shared" si="0"/>
        <v>-3.4817395013662968E-2</v>
      </c>
      <c r="D7" s="556"/>
      <c r="E7" s="266">
        <v>254784565</v>
      </c>
      <c r="F7" s="559">
        <f t="shared" si="0"/>
        <v>-1.5545375887584235E-2</v>
      </c>
      <c r="G7" s="561"/>
      <c r="K7" s="271">
        <f>'Rate Class Energy Model'!A7</f>
        <v>2012</v>
      </c>
      <c r="L7" s="279">
        <v>706953513</v>
      </c>
      <c r="M7" s="279">
        <v>709718027.27605438</v>
      </c>
      <c r="N7" s="282">
        <v>2764514.2760543823</v>
      </c>
      <c r="O7" s="283">
        <v>3.9104611904720562E-3</v>
      </c>
      <c r="P7" s="284">
        <v>1.0446059893380324</v>
      </c>
      <c r="Q7" s="279">
        <v>676765709</v>
      </c>
      <c r="R7" s="286">
        <v>316127645</v>
      </c>
      <c r="S7" s="286">
        <v>97479014</v>
      </c>
      <c r="T7" s="286">
        <v>254314087</v>
      </c>
      <c r="U7" s="286">
        <v>246512</v>
      </c>
      <c r="V7" s="286">
        <v>7736459</v>
      </c>
      <c r="W7" s="286">
        <v>861992</v>
      </c>
    </row>
    <row r="8" spans="1:23" x14ac:dyDescent="0.2">
      <c r="A8" s="265">
        <v>2016</v>
      </c>
      <c r="B8" s="266">
        <v>92174996</v>
      </c>
      <c r="C8" s="559">
        <f t="shared" si="0"/>
        <v>-3.68455923241559E-2</v>
      </c>
      <c r="D8" s="559">
        <f>AVERAGE(C4:C8)</f>
        <v>-1.9133768073819384E-2</v>
      </c>
      <c r="E8" s="266">
        <v>249955178</v>
      </c>
      <c r="F8" s="559">
        <f t="shared" si="0"/>
        <v>-1.8954786370202606E-2</v>
      </c>
      <c r="G8" s="562">
        <f>AVERAGE(F4:F8)</f>
        <v>-4.6551260065310464E-3</v>
      </c>
      <c r="K8" s="271">
        <f>'Rate Class Energy Model'!A8</f>
        <v>2013</v>
      </c>
      <c r="L8" s="279">
        <v>730568311</v>
      </c>
      <c r="M8" s="279">
        <v>723841492.66581452</v>
      </c>
      <c r="N8" s="282">
        <v>-6726818.3341854811</v>
      </c>
      <c r="O8" s="283">
        <v>-9.2076514035735139E-3</v>
      </c>
      <c r="P8" s="284">
        <v>1.0614958266693164</v>
      </c>
      <c r="Q8" s="279">
        <v>688244167</v>
      </c>
      <c r="R8" s="286">
        <v>324185392</v>
      </c>
      <c r="S8" s="286">
        <v>95827695</v>
      </c>
      <c r="T8" s="286">
        <v>259048750</v>
      </c>
      <c r="U8" s="286">
        <v>237315</v>
      </c>
      <c r="V8" s="286">
        <v>8087592</v>
      </c>
      <c r="W8" s="286">
        <v>857423</v>
      </c>
    </row>
    <row r="9" spans="1:23" x14ac:dyDescent="0.2">
      <c r="A9" s="265">
        <v>2017</v>
      </c>
      <c r="B9" s="266">
        <v>91035995.200000003</v>
      </c>
      <c r="C9" s="559">
        <f t="shared" si="0"/>
        <v>-1.2356938968567972E-2</v>
      </c>
      <c r="D9" s="559">
        <f>AVERAGE(C5:C9)</f>
        <v>-1.3250971158320454E-2</v>
      </c>
      <c r="E9" s="266">
        <v>245166375.80000001</v>
      </c>
      <c r="F9" s="559">
        <f t="shared" si="0"/>
        <v>-1.9158643714914311E-2</v>
      </c>
      <c r="G9" s="562">
        <f>AVERAGE(F5:F9)</f>
        <v>-7.1942880054855999E-3</v>
      </c>
      <c r="K9" s="271">
        <f>'Rate Class Energy Model'!A9</f>
        <v>2014</v>
      </c>
      <c r="L9" s="279">
        <v>730490284.99000001</v>
      </c>
      <c r="M9" s="279">
        <v>723410374.04617715</v>
      </c>
      <c r="N9" s="282">
        <v>-7079910.9438228607</v>
      </c>
      <c r="O9" s="283">
        <v>-9.6919987702776648E-3</v>
      </c>
      <c r="P9" s="284">
        <v>1.0408170385773401</v>
      </c>
      <c r="Q9" s="279">
        <v>701843127</v>
      </c>
      <c r="R9" s="286">
        <v>334950383</v>
      </c>
      <c r="S9" s="286">
        <v>99153426</v>
      </c>
      <c r="T9" s="286">
        <v>258807830</v>
      </c>
      <c r="U9" s="286">
        <v>243349</v>
      </c>
      <c r="V9" s="286">
        <v>7812115</v>
      </c>
      <c r="W9" s="286">
        <v>876024</v>
      </c>
    </row>
    <row r="10" spans="1:23" x14ac:dyDescent="0.2">
      <c r="A10" s="265">
        <v>2018</v>
      </c>
      <c r="B10" s="266">
        <v>92759999.25</v>
      </c>
      <c r="C10" s="556">
        <f t="shared" si="0"/>
        <v>1.8937608648232771E-2</v>
      </c>
      <c r="D10" s="559">
        <f>AVERAGE(C6:C10)</f>
        <v>-6.0753991556171793E-3</v>
      </c>
      <c r="E10" s="266">
        <v>241817728.50999999</v>
      </c>
      <c r="F10" s="559">
        <f t="shared" si="0"/>
        <v>-1.365867272407598E-2</v>
      </c>
      <c r="G10" s="562">
        <f>AVERAGE(F6:F10)</f>
        <v>-1.3649499339063976E-2</v>
      </c>
      <c r="K10" s="271">
        <f>'Rate Class Energy Model'!A10</f>
        <v>2015</v>
      </c>
      <c r="L10" s="279">
        <v>698517377.1099999</v>
      </c>
      <c r="M10" s="279">
        <v>702629951.37761641</v>
      </c>
      <c r="N10" s="282">
        <v>4112574.2676165104</v>
      </c>
      <c r="O10" s="283">
        <v>5.8875761754583773E-3</v>
      </c>
      <c r="P10" s="284">
        <v>1.0435171705156632</v>
      </c>
      <c r="Q10" s="279">
        <v>669387526</v>
      </c>
      <c r="R10" s="286">
        <v>310458240</v>
      </c>
      <c r="S10" s="286">
        <v>95701162</v>
      </c>
      <c r="T10" s="286">
        <v>254784565</v>
      </c>
      <c r="U10" s="286">
        <v>235238</v>
      </c>
      <c r="V10" s="286">
        <v>7295612</v>
      </c>
      <c r="W10" s="286">
        <v>912709</v>
      </c>
    </row>
    <row r="11" spans="1:23" x14ac:dyDescent="0.2">
      <c r="A11" s="265">
        <v>2019</v>
      </c>
      <c r="B11" s="266">
        <v>91718380.409999996</v>
      </c>
      <c r="C11" s="559">
        <f t="shared" si="0"/>
        <v>-1.1229181203340766E-2</v>
      </c>
      <c r="D11" s="559">
        <f>AVERAGE(C7:C11)</f>
        <v>-1.5262299772298968E-2</v>
      </c>
      <c r="E11" s="266">
        <v>240708315.94</v>
      </c>
      <c r="F11" s="559">
        <f t="shared" si="0"/>
        <v>-4.5878049423250409E-3</v>
      </c>
      <c r="G11" s="562">
        <f>AVERAGE(F7:F11)</f>
        <v>-1.4381056727820436E-2</v>
      </c>
      <c r="K11" s="271">
        <f>'Rate Class Energy Model'!A11</f>
        <v>2016</v>
      </c>
      <c r="L11" s="279">
        <v>669958461.73000014</v>
      </c>
      <c r="M11" s="279">
        <v>677694498.44916785</v>
      </c>
      <c r="N11" s="282">
        <v>7736036.7191677094</v>
      </c>
      <c r="O11" s="283">
        <v>1.154703934806843E-2</v>
      </c>
      <c r="P11" s="284">
        <v>1.0519444996030285</v>
      </c>
      <c r="Q11" s="279">
        <v>636876243.92999995</v>
      </c>
      <c r="R11" s="286">
        <v>288746486.39999998</v>
      </c>
      <c r="S11" s="286">
        <v>92174996</v>
      </c>
      <c r="T11" s="286">
        <v>249955178</v>
      </c>
      <c r="U11" s="286">
        <v>227055.8</v>
      </c>
      <c r="V11" s="286">
        <v>4869277.0999999996</v>
      </c>
      <c r="W11" s="286">
        <v>903250.63</v>
      </c>
    </row>
    <row r="12" spans="1:23" x14ac:dyDescent="0.2">
      <c r="A12" s="265">
        <v>2020</v>
      </c>
      <c r="B12" s="266">
        <v>84774527.650000006</v>
      </c>
      <c r="C12" s="559">
        <f t="shared" si="0"/>
        <v>-7.5708410124116263E-2</v>
      </c>
      <c r="D12" s="556"/>
      <c r="E12" s="266">
        <v>227128751.34999999</v>
      </c>
      <c r="F12" s="559">
        <f t="shared" si="0"/>
        <v>-5.6415020548708027E-2</v>
      </c>
      <c r="G12" s="561"/>
      <c r="K12" s="271">
        <f>'Rate Class Energy Model'!A12</f>
        <v>2017</v>
      </c>
      <c r="L12" s="279">
        <v>652970473</v>
      </c>
      <c r="M12" s="279">
        <v>662927873.49024105</v>
      </c>
      <c r="N12" s="282">
        <v>9957400.4902410507</v>
      </c>
      <c r="O12" s="283">
        <v>1.5249388604806102E-2</v>
      </c>
      <c r="P12" s="284">
        <v>1.0488769185235338</v>
      </c>
      <c r="Q12" s="279">
        <v>622542513.29999995</v>
      </c>
      <c r="R12" s="286">
        <v>282820546.89999998</v>
      </c>
      <c r="S12" s="286">
        <v>91035995.200000003</v>
      </c>
      <c r="T12" s="286">
        <v>245166375.80000001</v>
      </c>
      <c r="U12" s="286">
        <v>213661.2</v>
      </c>
      <c r="V12" s="286">
        <v>2398221.2999999998</v>
      </c>
      <c r="W12" s="286">
        <v>907712.9</v>
      </c>
    </row>
    <row r="13" spans="1:23" ht="13.5" thickBot="1" x14ac:dyDescent="0.25">
      <c r="A13" s="268">
        <v>2021</v>
      </c>
      <c r="B13" s="269">
        <v>88569433.439999998</v>
      </c>
      <c r="C13" s="557">
        <f t="shared" si="0"/>
        <v>4.4764694008884769E-2</v>
      </c>
      <c r="D13" s="557"/>
      <c r="E13" s="269">
        <v>219715371.13</v>
      </c>
      <c r="F13" s="560">
        <f t="shared" si="0"/>
        <v>-3.2639549929001088E-2</v>
      </c>
      <c r="G13" s="563"/>
      <c r="K13" s="271">
        <f>'Rate Class Energy Model'!A13</f>
        <v>2018</v>
      </c>
      <c r="L13" s="279">
        <v>666736298.38999999</v>
      </c>
      <c r="M13" s="279">
        <v>676324898.26833963</v>
      </c>
      <c r="N13" s="282">
        <v>9588599.8783396482</v>
      </c>
      <c r="O13" s="283">
        <v>1.438139771524919E-2</v>
      </c>
      <c r="P13" s="284">
        <v>1.052135836655417</v>
      </c>
      <c r="Q13" s="279">
        <v>633697926.79000008</v>
      </c>
      <c r="R13" s="286">
        <v>295617650.5</v>
      </c>
      <c r="S13" s="286">
        <v>92759999.25</v>
      </c>
      <c r="T13" s="286">
        <v>241817728.50999999</v>
      </c>
      <c r="U13" s="286">
        <v>209110.61</v>
      </c>
      <c r="V13" s="286">
        <v>2398220.96</v>
      </c>
      <c r="W13" s="286">
        <v>895216.96</v>
      </c>
    </row>
    <row r="14" spans="1:23" x14ac:dyDescent="0.2">
      <c r="A14" s="302" t="s">
        <v>340</v>
      </c>
      <c r="B14" s="287"/>
      <c r="C14" s="559">
        <f>AVERAGE(C4:C11)</f>
        <v>-1.2539668986596612E-2</v>
      </c>
      <c r="D14" s="558"/>
      <c r="E14" s="287"/>
      <c r="F14" s="559">
        <f>AVERAGE(F4:F11)</f>
        <v>-7.5850939267463197E-3</v>
      </c>
      <c r="G14" s="564"/>
      <c r="K14" s="271">
        <f>'Rate Class Energy Model'!A14</f>
        <v>2019</v>
      </c>
      <c r="L14" s="279">
        <v>660639513.94000006</v>
      </c>
      <c r="M14" s="279">
        <v>663488511.1668942</v>
      </c>
      <c r="N14" s="282">
        <v>2848997.2268941402</v>
      </c>
      <c r="O14" s="283">
        <v>4.3124838384294541E-3</v>
      </c>
      <c r="P14" s="284">
        <v>1.0454053168372408</v>
      </c>
      <c r="Q14" s="279">
        <v>631945814.02999985</v>
      </c>
      <c r="R14" s="286">
        <v>296035265.68000001</v>
      </c>
      <c r="S14" s="286">
        <v>91718380.409999996</v>
      </c>
      <c r="T14" s="286">
        <v>240708315.94</v>
      </c>
      <c r="U14" s="286">
        <v>206826.03</v>
      </c>
      <c r="V14" s="286">
        <v>2410545.9300000002</v>
      </c>
      <c r="W14" s="286">
        <v>866480.04</v>
      </c>
    </row>
    <row r="15" spans="1:23" x14ac:dyDescent="0.2">
      <c r="A15" s="265" t="s">
        <v>336</v>
      </c>
      <c r="B15" s="266">
        <f>B11*(1+C14)</f>
        <v>90568262.279671848</v>
      </c>
      <c r="C15" s="288"/>
      <c r="D15" s="277"/>
      <c r="E15" s="266">
        <f>E11*(1+F14)</f>
        <v>238882520.75464615</v>
      </c>
      <c r="F15" s="288"/>
      <c r="G15" s="301"/>
      <c r="K15" s="271">
        <f>'Rate Class Energy Model'!A15</f>
        <v>2020</v>
      </c>
      <c r="L15" s="279">
        <v>640745749</v>
      </c>
      <c r="M15" s="279">
        <v>636345661.91370499</v>
      </c>
      <c r="N15" s="282">
        <v>-4400087.0862950087</v>
      </c>
      <c r="O15" s="283">
        <v>-6.867134262165832E-3</v>
      </c>
      <c r="P15" s="284">
        <v>1.0441853436415351</v>
      </c>
      <c r="Q15" s="279">
        <v>613632199.39999998</v>
      </c>
      <c r="R15" s="286">
        <v>298184962.97000003</v>
      </c>
      <c r="S15" s="286">
        <v>84774527.650000006</v>
      </c>
      <c r="T15" s="286">
        <v>227128751.34999999</v>
      </c>
      <c r="U15" s="286">
        <v>204139.6</v>
      </c>
      <c r="V15" s="286">
        <v>2468996.65</v>
      </c>
      <c r="W15" s="286">
        <v>870821.18</v>
      </c>
    </row>
    <row r="16" spans="1:23" ht="13.5" thickBot="1" x14ac:dyDescent="0.25">
      <c r="A16" s="268" t="s">
        <v>337</v>
      </c>
      <c r="B16" s="269">
        <f>B15*(1+C14)</f>
        <v>89432566.249993503</v>
      </c>
      <c r="C16" s="303"/>
      <c r="D16" s="304"/>
      <c r="E16" s="269">
        <f>E15*(1+F14)</f>
        <v>237070574.39726424</v>
      </c>
      <c r="F16" s="303"/>
      <c r="G16" s="305"/>
      <c r="K16" s="271">
        <f>'Rate Class Energy Model'!A16</f>
        <v>2021</v>
      </c>
      <c r="L16" s="279">
        <v>628785011.2700001</v>
      </c>
      <c r="M16" s="279">
        <v>612657338.90982246</v>
      </c>
      <c r="N16" s="282">
        <v>-16127672.360177636</v>
      </c>
      <c r="O16" s="283">
        <v>-2.5648945301039339E-2</v>
      </c>
      <c r="P16" s="284">
        <v>1.0404860989125184</v>
      </c>
      <c r="Q16" s="279">
        <v>604318512.21000004</v>
      </c>
      <c r="R16" s="286">
        <v>292492184.38</v>
      </c>
      <c r="S16" s="286">
        <v>88569433.439999998</v>
      </c>
      <c r="T16" s="286">
        <v>219715371.13</v>
      </c>
      <c r="U16" s="286">
        <v>203610.79</v>
      </c>
      <c r="V16" s="286">
        <v>2459994.48</v>
      </c>
      <c r="W16" s="286">
        <v>877917.99</v>
      </c>
    </row>
    <row r="17" spans="1:23" x14ac:dyDescent="0.2">
      <c r="A17" s="278"/>
      <c r="B17" s="279"/>
      <c r="C17" s="455"/>
      <c r="E17" s="279"/>
      <c r="F17" s="455"/>
      <c r="K17" s="271">
        <f>'Rate Class Energy Model'!A17</f>
        <v>2022</v>
      </c>
      <c r="L17" s="289"/>
      <c r="M17" s="289">
        <v>612632779.70626986</v>
      </c>
      <c r="N17" s="289"/>
      <c r="O17" s="289"/>
      <c r="P17" s="289"/>
      <c r="Q17" s="289">
        <v>585579028.58561444</v>
      </c>
      <c r="R17" s="289"/>
      <c r="S17" s="289"/>
      <c r="T17" s="289"/>
      <c r="U17" s="289"/>
      <c r="V17" s="289"/>
      <c r="W17" s="289"/>
    </row>
    <row r="18" spans="1:23" ht="13.5" thickBot="1" x14ac:dyDescent="0.25">
      <c r="A18" s="310" t="s">
        <v>378</v>
      </c>
      <c r="K18" s="271">
        <f>'Rate Class Energy Model'!A18</f>
        <v>2023</v>
      </c>
      <c r="L18" s="289"/>
      <c r="M18" s="289">
        <v>599757491.39137805</v>
      </c>
      <c r="N18" s="289"/>
      <c r="O18" s="289"/>
      <c r="P18" s="289"/>
      <c r="Q18" s="289">
        <v>573272310.63981843</v>
      </c>
      <c r="R18" s="289"/>
      <c r="S18" s="289"/>
      <c r="T18" s="289"/>
      <c r="U18" s="289"/>
      <c r="V18" s="289"/>
      <c r="W18" s="289"/>
    </row>
    <row r="19" spans="1:23" ht="38.25" x14ac:dyDescent="0.2">
      <c r="A19" s="262" t="s">
        <v>115</v>
      </c>
      <c r="B19" s="299" t="s">
        <v>194</v>
      </c>
      <c r="C19" s="299" t="s">
        <v>335</v>
      </c>
      <c r="D19" s="299" t="s">
        <v>334</v>
      </c>
      <c r="E19" s="299" t="s">
        <v>208</v>
      </c>
      <c r="F19" s="299" t="s">
        <v>335</v>
      </c>
      <c r="G19" s="300" t="s">
        <v>334</v>
      </c>
    </row>
    <row r="20" spans="1:23" x14ac:dyDescent="0.2">
      <c r="A20" s="265">
        <v>2011</v>
      </c>
      <c r="B20" s="266">
        <v>3366</v>
      </c>
      <c r="C20" s="266"/>
      <c r="D20" s="266"/>
      <c r="E20" s="266">
        <v>403</v>
      </c>
      <c r="F20" s="277"/>
      <c r="G20" s="301"/>
    </row>
    <row r="21" spans="1:23" x14ac:dyDescent="0.2">
      <c r="A21" s="265">
        <v>2012</v>
      </c>
      <c r="B21" s="266">
        <v>3448</v>
      </c>
      <c r="C21" s="556">
        <f>(B21-B20)/B20</f>
        <v>2.4361259655377301E-2</v>
      </c>
      <c r="D21" s="556"/>
      <c r="E21" s="266">
        <v>366</v>
      </c>
      <c r="F21" s="559">
        <f>(E21-E20)/E20</f>
        <v>-9.1811414392059559E-2</v>
      </c>
      <c r="G21" s="561"/>
    </row>
    <row r="22" spans="1:23" ht="12" customHeight="1" x14ac:dyDescent="0.2">
      <c r="A22" s="265">
        <v>2013</v>
      </c>
      <c r="B22" s="266">
        <v>3474</v>
      </c>
      <c r="C22" s="556">
        <f t="shared" ref="C22" si="1">(B22-B21)/B21</f>
        <v>7.5406032482598605E-3</v>
      </c>
      <c r="D22" s="556"/>
      <c r="E22" s="266">
        <v>373</v>
      </c>
      <c r="F22" s="556">
        <f t="shared" ref="F22" si="2">(E22-E21)/E21</f>
        <v>1.912568306010929E-2</v>
      </c>
      <c r="G22" s="561"/>
      <c r="L22" s="272" t="str">
        <f t="shared" ref="L22:W22" si="3">L2</f>
        <v>Purchases</v>
      </c>
      <c r="M22" s="272" t="str">
        <f t="shared" si="3"/>
        <v>Modeled Purchases</v>
      </c>
      <c r="N22" s="272" t="str">
        <f t="shared" si="3"/>
        <v>Difference</v>
      </c>
      <c r="O22" s="272" t="str">
        <f t="shared" si="3"/>
        <v>% Difference</v>
      </c>
      <c r="P22" s="272" t="str">
        <f t="shared" si="3"/>
        <v>Loss Factor</v>
      </c>
      <c r="Q22" s="273" t="str">
        <f t="shared" si="3"/>
        <v>Total Billed</v>
      </c>
      <c r="R22" s="274" t="str">
        <f t="shared" si="3"/>
        <v>Residential</v>
      </c>
      <c r="S22" s="275" t="str">
        <f t="shared" si="3"/>
        <v>General Service &lt;50 kW</v>
      </c>
      <c r="T22" s="275" t="str">
        <f t="shared" si="3"/>
        <v>General Service 50 to 4,999 kW</v>
      </c>
      <c r="U22" s="276" t="str">
        <f t="shared" si="3"/>
        <v>Sentinel Lights</v>
      </c>
      <c r="V22" s="275" t="str">
        <f t="shared" si="3"/>
        <v>Street Lights</v>
      </c>
      <c r="W22" s="275" t="str">
        <f t="shared" si="3"/>
        <v>USL</v>
      </c>
    </row>
    <row r="23" spans="1:23" ht="12" customHeight="1" x14ac:dyDescent="0.2">
      <c r="A23" s="265">
        <v>2014</v>
      </c>
      <c r="B23" s="266">
        <v>3464</v>
      </c>
      <c r="C23" s="559">
        <f t="shared" ref="C23" si="4">(B23-B22)/B22</f>
        <v>-2.8785261945883708E-3</v>
      </c>
      <c r="D23" s="556"/>
      <c r="E23" s="266">
        <v>370</v>
      </c>
      <c r="F23" s="559">
        <f t="shared" ref="F23" si="5">(E23-E22)/E22</f>
        <v>-8.0428954423592495E-3</v>
      </c>
      <c r="G23" s="561"/>
      <c r="L23" s="278"/>
      <c r="M23" s="278"/>
      <c r="N23" s="278"/>
      <c r="O23" s="278"/>
      <c r="P23" s="278"/>
      <c r="Q23" s="279"/>
      <c r="R23" s="279"/>
      <c r="S23" s="279"/>
      <c r="T23" s="279"/>
      <c r="U23" s="279"/>
      <c r="V23" s="279"/>
      <c r="W23" s="279"/>
    </row>
    <row r="24" spans="1:23" x14ac:dyDescent="0.2">
      <c r="A24" s="265">
        <v>2015</v>
      </c>
      <c r="B24" s="266">
        <v>3431</v>
      </c>
      <c r="C24" s="559">
        <f t="shared" ref="C24" si="6">(B24-B23)/B23</f>
        <v>-9.5265588914549646E-3</v>
      </c>
      <c r="D24" s="556"/>
      <c r="E24" s="266">
        <v>373</v>
      </c>
      <c r="F24" s="556">
        <f t="shared" ref="F24" si="7">(E24-E23)/E23</f>
        <v>8.1081081081081086E-3</v>
      </c>
      <c r="G24" s="561"/>
      <c r="K24" s="280"/>
      <c r="L24" s="281" t="str">
        <f>L4</f>
        <v>Weather Normal Projection</v>
      </c>
      <c r="M24" s="278"/>
      <c r="N24" s="278"/>
      <c r="O24" s="278"/>
      <c r="P24" s="278"/>
      <c r="Q24" s="279"/>
      <c r="R24" s="279"/>
      <c r="S24" s="279"/>
      <c r="T24" s="279"/>
      <c r="U24" s="279"/>
      <c r="V24" s="279"/>
      <c r="W24" s="279"/>
    </row>
    <row r="25" spans="1:23" x14ac:dyDescent="0.2">
      <c r="A25" s="265">
        <v>2016</v>
      </c>
      <c r="B25" s="266">
        <v>3414</v>
      </c>
      <c r="C25" s="559">
        <f t="shared" ref="C25" si="8">(B25-B24)/B24</f>
        <v>-4.9548236665695137E-3</v>
      </c>
      <c r="D25" s="556">
        <f>AVERAGE(C21:C25)</f>
        <v>2.9083908302048626E-3</v>
      </c>
      <c r="E25" s="266">
        <v>361</v>
      </c>
      <c r="F25" s="559">
        <f t="shared" ref="F25" si="9">(E25-E24)/E24</f>
        <v>-3.2171581769436998E-2</v>
      </c>
      <c r="G25" s="562">
        <f>AVERAGE(F21:F25)</f>
        <v>-2.0958420087127682E-2</v>
      </c>
    </row>
    <row r="26" spans="1:23" x14ac:dyDescent="0.2">
      <c r="A26" s="265">
        <v>2017</v>
      </c>
      <c r="B26" s="266">
        <v>3417</v>
      </c>
      <c r="C26" s="556">
        <f t="shared" ref="C26" si="10">(B26-B25)/B25</f>
        <v>8.7873462214411243E-4</v>
      </c>
      <c r="D26" s="559">
        <f>AVERAGE(C22:C26)</f>
        <v>-1.7881141764417752E-3</v>
      </c>
      <c r="E26" s="266">
        <v>361</v>
      </c>
      <c r="F26" s="556">
        <f t="shared" ref="F26" si="11">(E26-E25)/E25</f>
        <v>0</v>
      </c>
      <c r="G26" s="562">
        <f>AVERAGE(F22:F26)</f>
        <v>-2.5961372087157696E-3</v>
      </c>
      <c r="K26" s="271">
        <f t="shared" ref="K26:K36" si="12">K6</f>
        <v>2011</v>
      </c>
      <c r="L26" s="279">
        <v>745049194</v>
      </c>
      <c r="M26" s="279">
        <v>737170212.74824703</v>
      </c>
      <c r="N26" s="282">
        <v>-7878981.2517529726</v>
      </c>
      <c r="O26" s="283">
        <v>-1.0575115462446863E-2</v>
      </c>
      <c r="P26" s="284">
        <v>1.0465217405234657</v>
      </c>
      <c r="Q26" s="279">
        <v>711929017</v>
      </c>
      <c r="R26" s="285">
        <v>345282279</v>
      </c>
      <c r="S26" s="285">
        <v>101728299</v>
      </c>
      <c r="T26" s="285">
        <v>255968368</v>
      </c>
      <c r="U26" s="285">
        <v>260362</v>
      </c>
      <c r="V26" s="285">
        <v>7814836</v>
      </c>
      <c r="W26" s="285">
        <v>874873</v>
      </c>
    </row>
    <row r="27" spans="1:23" x14ac:dyDescent="0.2">
      <c r="A27" s="265">
        <v>2018</v>
      </c>
      <c r="B27" s="266">
        <v>3414</v>
      </c>
      <c r="C27" s="559">
        <f t="shared" ref="C27" si="13">(B27-B26)/B26</f>
        <v>-8.7796312554872696E-4</v>
      </c>
      <c r="D27" s="559">
        <f>AVERAGE(C23:C27)</f>
        <v>-3.4718274512034923E-3</v>
      </c>
      <c r="E27" s="266">
        <v>362</v>
      </c>
      <c r="F27" s="556">
        <f t="shared" ref="F27" si="14">(E27-E26)/E26</f>
        <v>2.7700831024930748E-3</v>
      </c>
      <c r="G27" s="562">
        <f>AVERAGE(F23:F27)</f>
        <v>-5.8672572002390119E-3</v>
      </c>
      <c r="K27" s="271">
        <f t="shared" si="12"/>
        <v>2012</v>
      </c>
      <c r="L27" s="279">
        <v>706953513</v>
      </c>
      <c r="M27" s="279">
        <v>709718027.27605438</v>
      </c>
      <c r="N27" s="282">
        <v>2764514.2760543823</v>
      </c>
      <c r="O27" s="283">
        <v>3.9104611904720562E-3</v>
      </c>
      <c r="P27" s="284">
        <v>1.0446059893380324</v>
      </c>
      <c r="Q27" s="279">
        <v>676765709</v>
      </c>
      <c r="R27" s="286">
        <v>316127645</v>
      </c>
      <c r="S27" s="286">
        <v>97479014</v>
      </c>
      <c r="T27" s="286">
        <v>254314087</v>
      </c>
      <c r="U27" s="286">
        <v>246512</v>
      </c>
      <c r="V27" s="286">
        <v>7736459</v>
      </c>
      <c r="W27" s="286">
        <v>861992</v>
      </c>
    </row>
    <row r="28" spans="1:23" x14ac:dyDescent="0.2">
      <c r="A28" s="265">
        <v>2019</v>
      </c>
      <c r="B28" s="266">
        <v>3388</v>
      </c>
      <c r="C28" s="559">
        <f t="shared" ref="C28" si="15">(B28-B27)/B27</f>
        <v>-7.6157000585823078E-3</v>
      </c>
      <c r="D28" s="559">
        <f>AVERAGE(C24:C28)</f>
        <v>-4.4192622240022805E-3</v>
      </c>
      <c r="E28" s="266">
        <v>362</v>
      </c>
      <c r="F28" s="556">
        <f t="shared" ref="F28" si="16">(E28-E27)/E27</f>
        <v>0</v>
      </c>
      <c r="G28" s="562">
        <f>AVERAGE(F24:F28)</f>
        <v>-4.2586781117671625E-3</v>
      </c>
      <c r="K28" s="271">
        <f t="shared" si="12"/>
        <v>2013</v>
      </c>
      <c r="L28" s="279">
        <v>730568311</v>
      </c>
      <c r="M28" s="279">
        <v>723841492.66581452</v>
      </c>
      <c r="N28" s="282">
        <v>-6726818.3341854811</v>
      </c>
      <c r="O28" s="283">
        <v>-9.2076514035735139E-3</v>
      </c>
      <c r="P28" s="284">
        <v>1.0614958266693164</v>
      </c>
      <c r="Q28" s="279">
        <v>688244167</v>
      </c>
      <c r="R28" s="286">
        <v>324185392</v>
      </c>
      <c r="S28" s="286">
        <v>95827695</v>
      </c>
      <c r="T28" s="286">
        <v>259048750</v>
      </c>
      <c r="U28" s="286">
        <v>237315</v>
      </c>
      <c r="V28" s="286">
        <v>8087592</v>
      </c>
      <c r="W28" s="286">
        <v>857423</v>
      </c>
    </row>
    <row r="29" spans="1:23" x14ac:dyDescent="0.2">
      <c r="A29" s="265">
        <v>2020</v>
      </c>
      <c r="B29" s="266">
        <v>3355</v>
      </c>
      <c r="C29" s="559">
        <f t="shared" ref="C29" si="17">(B29-B28)/B28</f>
        <v>-9.74025974025974E-3</v>
      </c>
      <c r="D29" s="556"/>
      <c r="E29" s="266">
        <v>370</v>
      </c>
      <c r="F29" s="556">
        <f t="shared" ref="F29" si="18">(E29-E28)/E28</f>
        <v>2.2099447513812154E-2</v>
      </c>
      <c r="G29" s="561"/>
      <c r="K29" s="271">
        <f t="shared" si="12"/>
        <v>2014</v>
      </c>
      <c r="L29" s="279">
        <v>730490284.99000001</v>
      </c>
      <c r="M29" s="279">
        <v>723410374.04617715</v>
      </c>
      <c r="N29" s="282">
        <v>-7079910.9438228607</v>
      </c>
      <c r="O29" s="283">
        <v>-9.6919987702776648E-3</v>
      </c>
      <c r="P29" s="284">
        <v>1.0408170385773401</v>
      </c>
      <c r="Q29" s="279">
        <v>701843127</v>
      </c>
      <c r="R29" s="286">
        <v>334950383</v>
      </c>
      <c r="S29" s="286">
        <v>99153426</v>
      </c>
      <c r="T29" s="286">
        <v>258807830</v>
      </c>
      <c r="U29" s="286">
        <v>243349</v>
      </c>
      <c r="V29" s="286">
        <v>7812115</v>
      </c>
      <c r="W29" s="286">
        <v>876024</v>
      </c>
    </row>
    <row r="30" spans="1:23" ht="13.5" thickBot="1" x14ac:dyDescent="0.25">
      <c r="A30" s="268">
        <v>2021</v>
      </c>
      <c r="B30" s="269">
        <v>3423</v>
      </c>
      <c r="C30" s="557">
        <f t="shared" ref="C30" si="19">(B30-B29)/B29</f>
        <v>2.0268256333830104E-2</v>
      </c>
      <c r="D30" s="557"/>
      <c r="E30" s="269">
        <v>308</v>
      </c>
      <c r="F30" s="560">
        <f t="shared" ref="F30" si="20">(E30-E29)/E29</f>
        <v>-0.16756756756756758</v>
      </c>
      <c r="G30" s="563"/>
      <c r="K30" s="271">
        <f t="shared" si="12"/>
        <v>2015</v>
      </c>
      <c r="L30" s="279">
        <v>698517377.1099999</v>
      </c>
      <c r="M30" s="279">
        <v>702629951.37761641</v>
      </c>
      <c r="N30" s="282">
        <v>4112574.2676165104</v>
      </c>
      <c r="O30" s="283">
        <v>5.8875761754583773E-3</v>
      </c>
      <c r="P30" s="284">
        <v>1.0435171705156632</v>
      </c>
      <c r="Q30" s="279">
        <v>669387526</v>
      </c>
      <c r="R30" s="286">
        <v>310458240</v>
      </c>
      <c r="S30" s="286">
        <v>95701162</v>
      </c>
      <c r="T30" s="286">
        <v>254784565</v>
      </c>
      <c r="U30" s="286">
        <v>235238</v>
      </c>
      <c r="V30" s="286">
        <v>7295612</v>
      </c>
      <c r="W30" s="286">
        <v>912709</v>
      </c>
    </row>
    <row r="31" spans="1:23" x14ac:dyDescent="0.2">
      <c r="A31" s="302" t="s">
        <v>341</v>
      </c>
      <c r="B31" s="287"/>
      <c r="C31" s="556">
        <f>AVERAGE(C21:C28)</f>
        <v>8.6587819862967385E-4</v>
      </c>
      <c r="D31" s="558"/>
      <c r="E31" s="287"/>
      <c r="F31" s="559">
        <f>AVERAGE(F21:F28)</f>
        <v>-1.2752752166643167E-2</v>
      </c>
      <c r="G31" s="564"/>
      <c r="K31" s="271">
        <f t="shared" si="12"/>
        <v>2016</v>
      </c>
      <c r="L31" s="279">
        <v>669958461.73000014</v>
      </c>
      <c r="M31" s="279">
        <v>677694498.44916785</v>
      </c>
      <c r="N31" s="282">
        <v>7736036.7191677094</v>
      </c>
      <c r="O31" s="283">
        <v>1.154703934806843E-2</v>
      </c>
      <c r="P31" s="284">
        <v>1.0519444996030285</v>
      </c>
      <c r="Q31" s="279">
        <v>636876243.92999995</v>
      </c>
      <c r="R31" s="286">
        <v>288746486.39999998</v>
      </c>
      <c r="S31" s="286">
        <v>92174996</v>
      </c>
      <c r="T31" s="286">
        <v>249955178</v>
      </c>
      <c r="U31" s="286">
        <v>227055.8</v>
      </c>
      <c r="V31" s="286">
        <v>4869277.0999999996</v>
      </c>
      <c r="W31" s="286">
        <v>903250.63</v>
      </c>
    </row>
    <row r="32" spans="1:23" x14ac:dyDescent="0.2">
      <c r="A32" s="265" t="s">
        <v>338</v>
      </c>
      <c r="B32" s="266">
        <f>B28*(1+C31)</f>
        <v>3390.9335953369573</v>
      </c>
      <c r="C32" s="288"/>
      <c r="D32" s="277"/>
      <c r="E32" s="266">
        <f>E28*(1+F31)</f>
        <v>357.38350371567515</v>
      </c>
      <c r="F32" s="288"/>
      <c r="G32" s="301"/>
      <c r="K32" s="271">
        <f t="shared" si="12"/>
        <v>2017</v>
      </c>
      <c r="L32" s="279">
        <v>652970473</v>
      </c>
      <c r="M32" s="279">
        <v>662927873.49024105</v>
      </c>
      <c r="N32" s="282">
        <v>9957400.4902410507</v>
      </c>
      <c r="O32" s="283">
        <v>1.5249388604806102E-2</v>
      </c>
      <c r="P32" s="284">
        <v>1.0488769185235338</v>
      </c>
      <c r="Q32" s="279">
        <v>622542513.29999995</v>
      </c>
      <c r="R32" s="286">
        <v>282820546.89999998</v>
      </c>
      <c r="S32" s="286">
        <v>91035995.200000003</v>
      </c>
      <c r="T32" s="286">
        <v>245166375.80000001</v>
      </c>
      <c r="U32" s="286">
        <v>213661.2</v>
      </c>
      <c r="V32" s="286">
        <v>2398221.2999999998</v>
      </c>
      <c r="W32" s="286">
        <v>907712.9</v>
      </c>
    </row>
    <row r="33" spans="1:23" ht="13.5" thickBot="1" x14ac:dyDescent="0.25">
      <c r="A33" s="268" t="s">
        <v>339</v>
      </c>
      <c r="B33" s="269">
        <f>B32*(1+C31)</f>
        <v>3393.8697308101605</v>
      </c>
      <c r="C33" s="303"/>
      <c r="D33" s="304"/>
      <c r="E33" s="269">
        <f>E32*(1+F31)</f>
        <v>352.82588046434256</v>
      </c>
      <c r="F33" s="303"/>
      <c r="G33" s="305"/>
      <c r="K33" s="271">
        <f t="shared" si="12"/>
        <v>2018</v>
      </c>
      <c r="L33" s="279">
        <v>666736298.38999999</v>
      </c>
      <c r="M33" s="279">
        <v>676324898.26833963</v>
      </c>
      <c r="N33" s="282">
        <v>9588599.8783396482</v>
      </c>
      <c r="O33" s="283">
        <v>1.438139771524919E-2</v>
      </c>
      <c r="P33" s="284">
        <v>1.052135836655417</v>
      </c>
      <c r="Q33" s="279">
        <v>633697926.79000008</v>
      </c>
      <c r="R33" s="286">
        <v>295617650.5</v>
      </c>
      <c r="S33" s="286">
        <v>92759999.25</v>
      </c>
      <c r="T33" s="286">
        <v>241817728.50999999</v>
      </c>
      <c r="U33" s="286">
        <v>209110.61</v>
      </c>
      <c r="V33" s="286">
        <v>2398220.96</v>
      </c>
      <c r="W33" s="286">
        <v>895216.96</v>
      </c>
    </row>
    <row r="34" spans="1:23" x14ac:dyDescent="0.2">
      <c r="K34" s="271">
        <f t="shared" si="12"/>
        <v>2019</v>
      </c>
      <c r="L34" s="279">
        <v>660639513.94000006</v>
      </c>
      <c r="M34" s="279">
        <v>663488511.1668942</v>
      </c>
      <c r="N34" s="282">
        <v>2848997.2268941402</v>
      </c>
      <c r="O34" s="283">
        <v>4.3124838384294541E-3</v>
      </c>
      <c r="P34" s="284">
        <v>1.0454053168372408</v>
      </c>
      <c r="Q34" s="279">
        <v>631945814.02999985</v>
      </c>
      <c r="R34" s="286">
        <v>296035265.68000001</v>
      </c>
      <c r="S34" s="286">
        <v>91718380.409999996</v>
      </c>
      <c r="T34" s="286">
        <v>240708315.94</v>
      </c>
      <c r="U34" s="286">
        <v>206826.03</v>
      </c>
      <c r="V34" s="286">
        <v>2410545.9300000002</v>
      </c>
      <c r="W34" s="286">
        <v>866480.04</v>
      </c>
    </row>
    <row r="35" spans="1:23" x14ac:dyDescent="0.2">
      <c r="K35" s="271">
        <f t="shared" si="12"/>
        <v>2020</v>
      </c>
      <c r="L35" s="279">
        <v>659068595.5301255</v>
      </c>
      <c r="M35" s="279">
        <v>636345661.91370499</v>
      </c>
      <c r="N35" s="282">
        <v>-22722933.616420507</v>
      </c>
      <c r="O35" s="283">
        <v>-6.867134262165832E-3</v>
      </c>
      <c r="P35" s="284">
        <v>1.0441853436415351</v>
      </c>
      <c r="Q35" s="279">
        <v>631179703.43431795</v>
      </c>
      <c r="R35" s="286">
        <v>298184962.97000003</v>
      </c>
      <c r="S35" s="286">
        <v>90568262.279671848</v>
      </c>
      <c r="T35" s="286">
        <v>238882520.75464615</v>
      </c>
      <c r="U35" s="286">
        <v>204139.6</v>
      </c>
      <c r="V35" s="286">
        <v>2468996.65</v>
      </c>
      <c r="W35" s="286">
        <v>870821.18</v>
      </c>
    </row>
    <row r="36" spans="1:23" x14ac:dyDescent="0.2">
      <c r="K36" s="271">
        <f t="shared" si="12"/>
        <v>2021</v>
      </c>
      <c r="L36" s="279">
        <v>647740936.70370305</v>
      </c>
      <c r="M36" s="279">
        <v>612657338.90982246</v>
      </c>
      <c r="N36" s="282">
        <v>-35083597.793880582</v>
      </c>
      <c r="O36" s="283">
        <v>-2.5648945301039339E-2</v>
      </c>
      <c r="P36" s="284">
        <v>1.0404860989125184</v>
      </c>
      <c r="Q36" s="279">
        <v>622536848.28725767</v>
      </c>
      <c r="R36" s="286">
        <v>292492184.38</v>
      </c>
      <c r="S36" s="286">
        <v>89432566.249993503</v>
      </c>
      <c r="T36" s="286">
        <v>237070574.39726424</v>
      </c>
      <c r="U36" s="286">
        <v>203610.79</v>
      </c>
      <c r="V36" s="286">
        <v>2459994.48</v>
      </c>
      <c r="W36" s="286">
        <v>877917.99</v>
      </c>
    </row>
    <row r="37" spans="1:23" x14ac:dyDescent="0.2">
      <c r="K37" s="271">
        <f t="shared" ref="K37" si="21">K17</f>
        <v>2022</v>
      </c>
      <c r="L37" s="289">
        <v>0</v>
      </c>
      <c r="M37" s="289">
        <v>612632779.70626986</v>
      </c>
      <c r="N37" s="289">
        <v>0</v>
      </c>
      <c r="O37" s="289">
        <v>0</v>
      </c>
      <c r="P37" s="289">
        <v>0</v>
      </c>
      <c r="Q37" s="289">
        <v>585579028.58561444</v>
      </c>
      <c r="R37" s="289">
        <v>0</v>
      </c>
      <c r="S37" s="289">
        <v>0</v>
      </c>
      <c r="T37" s="289">
        <v>0</v>
      </c>
      <c r="U37" s="289">
        <v>0</v>
      </c>
      <c r="V37" s="289">
        <v>0</v>
      </c>
      <c r="W37" s="289">
        <v>0</v>
      </c>
    </row>
    <row r="38" spans="1:23" x14ac:dyDescent="0.2">
      <c r="K38" s="271">
        <f t="shared" ref="K38" si="22">K18</f>
        <v>2023</v>
      </c>
      <c r="L38" s="289">
        <v>0</v>
      </c>
      <c r="M38" s="289">
        <v>599757491.39137805</v>
      </c>
      <c r="N38" s="289">
        <v>0</v>
      </c>
      <c r="O38" s="289">
        <v>0</v>
      </c>
      <c r="P38" s="289">
        <v>0</v>
      </c>
      <c r="Q38" s="289">
        <v>573272310.63981843</v>
      </c>
      <c r="R38" s="289">
        <v>0</v>
      </c>
      <c r="S38" s="289">
        <v>0</v>
      </c>
      <c r="T38" s="289">
        <v>0</v>
      </c>
      <c r="U38" s="289">
        <v>0</v>
      </c>
      <c r="V38" s="289">
        <v>0</v>
      </c>
      <c r="W38" s="289">
        <v>0</v>
      </c>
    </row>
    <row r="41" spans="1:23" ht="13.5" thickBot="1" x14ac:dyDescent="0.25">
      <c r="A41" s="310" t="s">
        <v>368</v>
      </c>
    </row>
    <row r="42" spans="1:23" x14ac:dyDescent="0.2">
      <c r="A42" s="311"/>
      <c r="B42" s="312" t="s">
        <v>342</v>
      </c>
      <c r="C42" s="312" t="s">
        <v>343</v>
      </c>
      <c r="D42" s="313" t="s">
        <v>12</v>
      </c>
      <c r="L42" s="291"/>
      <c r="M42" s="292"/>
    </row>
    <row r="43" spans="1:23" x14ac:dyDescent="0.2">
      <c r="A43" s="306" t="s">
        <v>251</v>
      </c>
      <c r="B43" s="290">
        <f>B12</f>
        <v>84774527.650000006</v>
      </c>
      <c r="C43" s="290">
        <f>E12</f>
        <v>227128751.34999999</v>
      </c>
      <c r="D43" s="301"/>
      <c r="L43" s="291"/>
      <c r="M43" s="292"/>
    </row>
    <row r="44" spans="1:23" x14ac:dyDescent="0.2">
      <c r="A44" s="306" t="s">
        <v>344</v>
      </c>
      <c r="B44" s="290">
        <f>B15-B12</f>
        <v>5793734.6296718419</v>
      </c>
      <c r="C44" s="290">
        <f>E15-E12</f>
        <v>11753769.404646158</v>
      </c>
      <c r="D44" s="307">
        <f>C44+B44</f>
        <v>17547504.034318</v>
      </c>
    </row>
    <row r="45" spans="1:23" x14ac:dyDescent="0.2">
      <c r="A45" s="306" t="s">
        <v>338</v>
      </c>
      <c r="B45" s="290">
        <f>B43+B44</f>
        <v>90568262.279671848</v>
      </c>
      <c r="C45" s="290">
        <f>C44+C43</f>
        <v>238882520.75464615</v>
      </c>
      <c r="D45" s="301"/>
      <c r="L45" s="294"/>
      <c r="N45" s="295"/>
    </row>
    <row r="46" spans="1:23" x14ac:dyDescent="0.2">
      <c r="A46" s="306"/>
      <c r="B46" s="277"/>
      <c r="C46" s="277"/>
      <c r="D46" s="301"/>
      <c r="L46" s="294"/>
      <c r="N46" s="295"/>
    </row>
    <row r="47" spans="1:23" x14ac:dyDescent="0.2">
      <c r="A47" s="306" t="s">
        <v>252</v>
      </c>
      <c r="B47" s="290">
        <f>B13</f>
        <v>88569433.439999998</v>
      </c>
      <c r="C47" s="290">
        <f>E13</f>
        <v>219715371.13</v>
      </c>
      <c r="D47" s="301"/>
      <c r="L47" s="294"/>
      <c r="N47" s="295"/>
    </row>
    <row r="48" spans="1:23" x14ac:dyDescent="0.2">
      <c r="A48" s="306" t="s">
        <v>344</v>
      </c>
      <c r="B48" s="290">
        <f>B16-B13</f>
        <v>863132.80999350548</v>
      </c>
      <c r="C48" s="290">
        <f>E16-E13</f>
        <v>17355203.267264247</v>
      </c>
      <c r="D48" s="307">
        <f>C48+B48</f>
        <v>18218336.077257752</v>
      </c>
      <c r="L48" s="294"/>
      <c r="N48" s="295"/>
    </row>
    <row r="49" spans="1:14" ht="13.5" thickBot="1" x14ac:dyDescent="0.25">
      <c r="A49" s="308" t="s">
        <v>339</v>
      </c>
      <c r="B49" s="314">
        <f>B48+B47</f>
        <v>89432566.249993503</v>
      </c>
      <c r="C49" s="314">
        <f>C48+C47</f>
        <v>237070574.39726424</v>
      </c>
      <c r="D49" s="305"/>
      <c r="L49" s="294"/>
      <c r="N49" s="295"/>
    </row>
    <row r="50" spans="1:14" x14ac:dyDescent="0.2">
      <c r="L50" s="294"/>
      <c r="N50" s="295"/>
    </row>
    <row r="51" spans="1:14" ht="13.5" thickBot="1" x14ac:dyDescent="0.25">
      <c r="A51" s="310" t="s">
        <v>369</v>
      </c>
      <c r="L51" s="294"/>
      <c r="N51" s="295"/>
    </row>
    <row r="52" spans="1:14" ht="38.25" x14ac:dyDescent="0.2">
      <c r="A52" s="262" t="s">
        <v>115</v>
      </c>
      <c r="B52" s="315" t="s">
        <v>345</v>
      </c>
      <c r="C52" s="315" t="s">
        <v>346</v>
      </c>
      <c r="D52" s="315" t="s">
        <v>347</v>
      </c>
      <c r="E52" s="315" t="s">
        <v>348</v>
      </c>
      <c r="F52" s="316" t="s">
        <v>349</v>
      </c>
      <c r="L52" s="294"/>
      <c r="N52" s="295"/>
    </row>
    <row r="53" spans="1:14" x14ac:dyDescent="0.2">
      <c r="A53" s="265">
        <v>2020</v>
      </c>
      <c r="B53" s="293">
        <f>B44+C44</f>
        <v>17547504.034318</v>
      </c>
      <c r="C53" s="290">
        <f>Q15</f>
        <v>613632199.39999998</v>
      </c>
      <c r="D53" s="296">
        <f>C53+B53</f>
        <v>631179703.43431795</v>
      </c>
      <c r="E53" s="320">
        <f>P15</f>
        <v>1.0441853436415351</v>
      </c>
      <c r="F53" s="317">
        <f>D53*E53</f>
        <v>659068595.5301255</v>
      </c>
      <c r="L53" s="294"/>
      <c r="N53" s="295"/>
    </row>
    <row r="54" spans="1:14" ht="13.5" thickBot="1" x14ac:dyDescent="0.25">
      <c r="A54" s="268">
        <v>2021</v>
      </c>
      <c r="B54" s="309">
        <f>C48+B48</f>
        <v>18218336.077257752</v>
      </c>
      <c r="C54" s="314">
        <f>Q16</f>
        <v>604318512.21000004</v>
      </c>
      <c r="D54" s="319">
        <f>C54+B54</f>
        <v>622536848.28725779</v>
      </c>
      <c r="E54" s="321">
        <f>P16</f>
        <v>1.0404860989125184</v>
      </c>
      <c r="F54" s="318">
        <f>E54*D54</f>
        <v>647740936.70370317</v>
      </c>
      <c r="L54" s="294"/>
      <c r="N54" s="295"/>
    </row>
    <row r="55" spans="1:14" x14ac:dyDescent="0.2">
      <c r="L55" s="294"/>
      <c r="N55" s="295"/>
    </row>
    <row r="56" spans="1:14" ht="13.5" thickBot="1" x14ac:dyDescent="0.25">
      <c r="A56" s="310" t="s">
        <v>370</v>
      </c>
      <c r="L56" s="294"/>
      <c r="N56" s="295"/>
    </row>
    <row r="57" spans="1:14" x14ac:dyDescent="0.2">
      <c r="A57" s="311"/>
      <c r="B57" s="312" t="s">
        <v>342</v>
      </c>
      <c r="C57" s="312" t="s">
        <v>343</v>
      </c>
      <c r="D57" s="313" t="s">
        <v>12</v>
      </c>
      <c r="L57" s="294"/>
      <c r="N57" s="295"/>
    </row>
    <row r="58" spans="1:14" x14ac:dyDescent="0.2">
      <c r="A58" s="306" t="s">
        <v>251</v>
      </c>
      <c r="B58" s="290">
        <f>B29</f>
        <v>3355</v>
      </c>
      <c r="C58" s="290">
        <f>E29</f>
        <v>370</v>
      </c>
      <c r="D58" s="301"/>
      <c r="L58" s="294"/>
      <c r="N58" s="295"/>
    </row>
    <row r="59" spans="1:14" x14ac:dyDescent="0.2">
      <c r="A59" s="306" t="s">
        <v>344</v>
      </c>
      <c r="B59" s="290">
        <f>B32-B29</f>
        <v>35.933595336957296</v>
      </c>
      <c r="C59" s="293">
        <f>E32-E29</f>
        <v>-12.616496284324853</v>
      </c>
      <c r="D59" s="322">
        <f>C59+B59</f>
        <v>23.317099052632443</v>
      </c>
      <c r="L59" s="294"/>
      <c r="N59" s="295"/>
    </row>
    <row r="60" spans="1:14" x14ac:dyDescent="0.2">
      <c r="A60" s="306" t="s">
        <v>338</v>
      </c>
      <c r="B60" s="290">
        <f>B58+B59</f>
        <v>3390.9335953369573</v>
      </c>
      <c r="C60" s="290">
        <f>C59+C58</f>
        <v>357.38350371567515</v>
      </c>
      <c r="D60" s="301"/>
      <c r="L60" s="294"/>
      <c r="N60" s="295"/>
    </row>
    <row r="61" spans="1:14" x14ac:dyDescent="0.2">
      <c r="A61" s="306"/>
      <c r="B61" s="277"/>
      <c r="C61" s="277"/>
      <c r="D61" s="301"/>
      <c r="L61" s="294"/>
      <c r="N61" s="295"/>
    </row>
    <row r="62" spans="1:14" x14ac:dyDescent="0.2">
      <c r="A62" s="306" t="s">
        <v>252</v>
      </c>
      <c r="B62" s="290">
        <f>B30</f>
        <v>3423</v>
      </c>
      <c r="C62" s="290">
        <f>E30</f>
        <v>308</v>
      </c>
      <c r="D62" s="301"/>
      <c r="L62" s="294"/>
      <c r="N62" s="295"/>
    </row>
    <row r="63" spans="1:14" x14ac:dyDescent="0.2">
      <c r="A63" s="306" t="s">
        <v>344</v>
      </c>
      <c r="B63" s="293">
        <f>B33-B30</f>
        <v>-29.13026918983951</v>
      </c>
      <c r="C63" s="290">
        <f>E33-E30</f>
        <v>44.825880464342561</v>
      </c>
      <c r="D63" s="322">
        <f>C63+B63</f>
        <v>15.695611274503051</v>
      </c>
      <c r="L63" s="294"/>
      <c r="N63" s="295"/>
    </row>
    <row r="64" spans="1:14" ht="13.5" thickBot="1" x14ac:dyDescent="0.25">
      <c r="A64" s="308" t="s">
        <v>339</v>
      </c>
      <c r="B64" s="314">
        <f>B63+B62</f>
        <v>3393.8697308101605</v>
      </c>
      <c r="C64" s="314">
        <f>C63+C62</f>
        <v>352.82588046434256</v>
      </c>
      <c r="D64" s="305"/>
      <c r="L64" s="294"/>
      <c r="N64" s="295"/>
    </row>
    <row r="65" spans="1:14" x14ac:dyDescent="0.2">
      <c r="B65" s="291"/>
      <c r="C65" s="291"/>
      <c r="L65" s="294"/>
      <c r="N65" s="295"/>
    </row>
    <row r="66" spans="1:14" ht="13.5" thickBot="1" x14ac:dyDescent="0.25">
      <c r="A66" s="310" t="s">
        <v>371</v>
      </c>
      <c r="E66" s="297"/>
      <c r="F66" s="297"/>
      <c r="L66" s="294"/>
      <c r="N66" s="295"/>
    </row>
    <row r="67" spans="1:14" ht="37.5" customHeight="1" x14ac:dyDescent="0.2">
      <c r="A67" s="262" t="s">
        <v>115</v>
      </c>
      <c r="B67" s="315" t="s">
        <v>350</v>
      </c>
      <c r="C67" s="315" t="s">
        <v>414</v>
      </c>
      <c r="D67" s="316" t="s">
        <v>415</v>
      </c>
      <c r="E67" s="298"/>
      <c r="F67" s="295"/>
      <c r="L67" s="294"/>
      <c r="N67" s="295"/>
    </row>
    <row r="68" spans="1:14" x14ac:dyDescent="0.2">
      <c r="A68" s="306">
        <v>2020</v>
      </c>
      <c r="B68" s="293">
        <f>D59</f>
        <v>23.317099052632443</v>
      </c>
      <c r="C68" s="290">
        <v>33775</v>
      </c>
      <c r="D68" s="317">
        <f>C68+B68</f>
        <v>33798.317099052634</v>
      </c>
      <c r="E68" s="298"/>
      <c r="F68" s="295"/>
      <c r="L68" s="294"/>
      <c r="N68" s="295"/>
    </row>
    <row r="69" spans="1:14" ht="13.5" thickBot="1" x14ac:dyDescent="0.25">
      <c r="A69" s="308">
        <v>2021</v>
      </c>
      <c r="B69" s="309">
        <f>D63</f>
        <v>15.695611274503051</v>
      </c>
      <c r="C69" s="314">
        <v>33889</v>
      </c>
      <c r="D69" s="318">
        <f>C69+B69</f>
        <v>33904.695611274503</v>
      </c>
    </row>
    <row r="71" spans="1:14" ht="13.5" thickBot="1" x14ac:dyDescent="0.25">
      <c r="A71" s="310" t="s">
        <v>372</v>
      </c>
    </row>
    <row r="72" spans="1:14" ht="38.25" x14ac:dyDescent="0.2">
      <c r="A72" s="262" t="s">
        <v>115</v>
      </c>
      <c r="B72" s="315" t="s">
        <v>373</v>
      </c>
      <c r="C72" s="315" t="s">
        <v>374</v>
      </c>
      <c r="D72" s="316" t="s">
        <v>134</v>
      </c>
    </row>
    <row r="73" spans="1:14" x14ac:dyDescent="0.2">
      <c r="A73" s="306">
        <v>2020</v>
      </c>
      <c r="B73" s="293">
        <v>558517707</v>
      </c>
      <c r="C73" s="290">
        <v>578772961</v>
      </c>
      <c r="D73" s="317">
        <f>C73-B73</f>
        <v>20255254</v>
      </c>
    </row>
    <row r="74" spans="1:14" ht="13.5" thickBot="1" x14ac:dyDescent="0.25">
      <c r="A74" s="308">
        <v>2021</v>
      </c>
      <c r="B74" s="309">
        <v>42460</v>
      </c>
      <c r="C74" s="314">
        <v>42463</v>
      </c>
      <c r="D74" s="318">
        <f>C74-B74</f>
        <v>3</v>
      </c>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FF00"/>
    <pageSetUpPr fitToPage="1"/>
  </sheetPr>
  <dimension ref="A2:M104"/>
  <sheetViews>
    <sheetView zoomScaleNormal="100" workbookViewId="0">
      <pane xSplit="1" ySplit="2" topLeftCell="B3" activePane="bottomRight" state="frozen"/>
      <selection activeCell="M35" sqref="M35"/>
      <selection pane="topRight" activeCell="M35" sqref="M35"/>
      <selection pane="bottomLeft" activeCell="M35" sqref="M35"/>
      <selection pane="bottomRight" activeCell="K34" sqref="K34"/>
    </sheetView>
  </sheetViews>
  <sheetFormatPr defaultRowHeight="12.75" x14ac:dyDescent="0.2"/>
  <cols>
    <col min="1" max="1" width="33.5703125" bestFit="1" customWidth="1"/>
    <col min="2" max="2" width="15" style="6" customWidth="1"/>
    <col min="3" max="3" width="14.140625" style="6" bestFit="1" customWidth="1"/>
    <col min="4" max="4" width="17.85546875" style="6" bestFit="1" customWidth="1"/>
    <col min="5" max="5" width="17.5703125" style="6" customWidth="1"/>
    <col min="6" max="7" width="12.5703125" style="6" customWidth="1"/>
    <col min="8" max="8" width="12.7109375" style="6" bestFit="1" customWidth="1"/>
    <col min="9" max="9" width="11.7109375" style="6" bestFit="1" customWidth="1"/>
    <col min="10" max="10" width="10.7109375" style="6" bestFit="1" customWidth="1"/>
    <col min="11" max="11" width="9.140625" style="6" customWidth="1"/>
  </cols>
  <sheetData>
    <row r="2" spans="1:8" ht="25.5" x14ac:dyDescent="0.2">
      <c r="B2" s="9" t="str">
        <f>'Rate Class Energy Model'!H2</f>
        <v>Residential</v>
      </c>
      <c r="C2" s="9" t="str">
        <f>'Rate Class Energy Model'!I2</f>
        <v>General Service &lt;50 kW</v>
      </c>
      <c r="D2" s="9" t="str">
        <f>'Rate Class Energy Model'!J2</f>
        <v>General Service 50 to 4,999 kW</v>
      </c>
      <c r="E2" s="9" t="str">
        <f>'Rate Class Energy Model'!K2</f>
        <v>Sentinel Lights</v>
      </c>
      <c r="F2" s="9" t="str">
        <f>'Rate Class Energy Model'!L2</f>
        <v>Street Lights</v>
      </c>
      <c r="G2" s="9" t="str">
        <f>'Rate Class Energy Model'!M2</f>
        <v>USL</v>
      </c>
      <c r="H2" s="6" t="s">
        <v>12</v>
      </c>
    </row>
    <row r="3" spans="1:8" x14ac:dyDescent="0.2">
      <c r="A3" s="4"/>
      <c r="B3" s="29"/>
      <c r="C3" s="29"/>
      <c r="D3" s="29"/>
      <c r="E3" s="29"/>
      <c r="F3" s="29"/>
      <c r="G3" s="29"/>
      <c r="H3" s="28"/>
    </row>
    <row r="4" spans="1:8" x14ac:dyDescent="0.2">
      <c r="A4" s="4">
        <v>2011</v>
      </c>
      <c r="B4" s="29">
        <v>29124</v>
      </c>
      <c r="C4" s="29">
        <v>3366</v>
      </c>
      <c r="D4" s="29">
        <v>403</v>
      </c>
      <c r="E4" s="29">
        <v>402</v>
      </c>
      <c r="F4" s="29">
        <v>8846</v>
      </c>
      <c r="G4" s="29">
        <v>19</v>
      </c>
      <c r="H4" s="28">
        <f>SUM(B4:G4)</f>
        <v>42160</v>
      </c>
    </row>
    <row r="5" spans="1:8" x14ac:dyDescent="0.2">
      <c r="A5" s="4">
        <v>2012</v>
      </c>
      <c r="B5" s="29">
        <v>29327</v>
      </c>
      <c r="C5" s="29">
        <v>3448</v>
      </c>
      <c r="D5" s="29">
        <v>366</v>
      </c>
      <c r="E5" s="29">
        <v>392</v>
      </c>
      <c r="F5" s="29">
        <v>8846</v>
      </c>
      <c r="G5" s="29">
        <v>21</v>
      </c>
      <c r="H5" s="28">
        <f>SUM(B5:G5)</f>
        <v>42400</v>
      </c>
    </row>
    <row r="6" spans="1:8" x14ac:dyDescent="0.2">
      <c r="A6" s="4">
        <v>2013</v>
      </c>
      <c r="B6" s="29">
        <v>29504</v>
      </c>
      <c r="C6" s="29">
        <v>3474</v>
      </c>
      <c r="D6" s="29">
        <v>373</v>
      </c>
      <c r="E6" s="29">
        <v>374</v>
      </c>
      <c r="F6" s="29">
        <v>8846</v>
      </c>
      <c r="G6" s="29">
        <v>21</v>
      </c>
      <c r="H6" s="28">
        <f>SUM(B6:G6)</f>
        <v>42592</v>
      </c>
    </row>
    <row r="7" spans="1:8" x14ac:dyDescent="0.2">
      <c r="A7" s="4">
        <v>2014</v>
      </c>
      <c r="B7" s="29">
        <v>29514</v>
      </c>
      <c r="C7" s="29">
        <v>3464</v>
      </c>
      <c r="D7" s="29">
        <v>370</v>
      </c>
      <c r="E7" s="29">
        <v>362</v>
      </c>
      <c r="F7" s="29">
        <v>8846</v>
      </c>
      <c r="G7" s="29">
        <v>21</v>
      </c>
      <c r="H7" s="28">
        <f>SUM(B7:G7)</f>
        <v>42577</v>
      </c>
    </row>
    <row r="8" spans="1:8" x14ac:dyDescent="0.2">
      <c r="A8" s="4">
        <v>2015</v>
      </c>
      <c r="B8" s="48">
        <v>29566</v>
      </c>
      <c r="C8" s="48">
        <v>3431</v>
      </c>
      <c r="D8" s="48">
        <v>373</v>
      </c>
      <c r="E8" s="48">
        <v>360</v>
      </c>
      <c r="F8" s="48">
        <v>8839</v>
      </c>
      <c r="G8" s="48">
        <v>21</v>
      </c>
      <c r="H8" s="48">
        <f>SUM(B8:G8)</f>
        <v>42590</v>
      </c>
    </row>
    <row r="9" spans="1:8" x14ac:dyDescent="0.2">
      <c r="A9" s="4">
        <v>2016</v>
      </c>
      <c r="B9" s="48">
        <v>29620</v>
      </c>
      <c r="C9" s="48">
        <v>3414</v>
      </c>
      <c r="D9" s="48">
        <v>361</v>
      </c>
      <c r="E9" s="48">
        <v>362</v>
      </c>
      <c r="F9" s="48">
        <v>8872</v>
      </c>
      <c r="G9" s="48">
        <v>21</v>
      </c>
      <c r="H9" s="48">
        <f t="shared" ref="H9:H10" si="0">SUM(B9:G9)</f>
        <v>42650</v>
      </c>
    </row>
    <row r="10" spans="1:8" x14ac:dyDescent="0.2">
      <c r="A10" s="4">
        <v>2017</v>
      </c>
      <c r="B10" s="48">
        <v>29729</v>
      </c>
      <c r="C10" s="48">
        <v>3417</v>
      </c>
      <c r="D10" s="48">
        <v>361</v>
      </c>
      <c r="E10" s="48">
        <v>361</v>
      </c>
      <c r="F10" s="48">
        <v>8070</v>
      </c>
      <c r="G10" s="48">
        <v>21</v>
      </c>
      <c r="H10" s="48">
        <f t="shared" si="0"/>
        <v>41959</v>
      </c>
    </row>
    <row r="11" spans="1:8" x14ac:dyDescent="0.2">
      <c r="A11" s="4">
        <v>2018</v>
      </c>
      <c r="B11" s="48">
        <v>29837</v>
      </c>
      <c r="C11" s="48">
        <v>3414</v>
      </c>
      <c r="D11" s="48">
        <v>362</v>
      </c>
      <c r="E11" s="48">
        <v>355</v>
      </c>
      <c r="F11" s="48">
        <v>8070</v>
      </c>
      <c r="G11" s="48">
        <v>23</v>
      </c>
      <c r="H11" s="48">
        <f t="shared" ref="H11" si="1">SUM(B11:G11)</f>
        <v>42061</v>
      </c>
    </row>
    <row r="12" spans="1:8" x14ac:dyDescent="0.2">
      <c r="A12" s="4">
        <v>2019</v>
      </c>
      <c r="B12" s="29">
        <v>29897</v>
      </c>
      <c r="C12" s="29">
        <v>3388</v>
      </c>
      <c r="D12" s="29">
        <v>362</v>
      </c>
      <c r="E12" s="29">
        <v>350</v>
      </c>
      <c r="F12" s="29">
        <v>8037</v>
      </c>
      <c r="G12" s="29">
        <v>23</v>
      </c>
      <c r="H12" s="28">
        <f t="shared" ref="H12:H16" si="2">SUM(B12:G12)</f>
        <v>42057</v>
      </c>
    </row>
    <row r="13" spans="1:8" x14ac:dyDescent="0.2">
      <c r="A13" s="4">
        <v>2020</v>
      </c>
      <c r="B13" s="29">
        <v>30026</v>
      </c>
      <c r="C13" s="29">
        <v>3391</v>
      </c>
      <c r="D13" s="29">
        <v>357</v>
      </c>
      <c r="E13" s="29">
        <v>348</v>
      </c>
      <c r="F13" s="29">
        <v>8037</v>
      </c>
      <c r="G13" s="29">
        <v>24</v>
      </c>
      <c r="H13" s="28">
        <f t="shared" si="2"/>
        <v>42183</v>
      </c>
    </row>
    <row r="14" spans="1:8" x14ac:dyDescent="0.2">
      <c r="A14" s="4">
        <v>2021</v>
      </c>
      <c r="B14" s="29">
        <v>30134</v>
      </c>
      <c r="C14" s="29">
        <v>3394</v>
      </c>
      <c r="D14" s="29">
        <v>353</v>
      </c>
      <c r="E14" s="29">
        <v>330</v>
      </c>
      <c r="F14" s="29">
        <v>8037</v>
      </c>
      <c r="G14" s="29">
        <v>24</v>
      </c>
      <c r="H14" s="28">
        <f t="shared" si="2"/>
        <v>42272</v>
      </c>
    </row>
    <row r="15" spans="1:8" x14ac:dyDescent="0.2">
      <c r="A15" s="4">
        <v>2022</v>
      </c>
      <c r="B15" s="134">
        <f>B14*B35</f>
        <v>30236.906716667905</v>
      </c>
      <c r="C15" s="134">
        <f t="shared" ref="C15:G15" si="3">C14*C35</f>
        <v>3396.8127786141727</v>
      </c>
      <c r="D15" s="134">
        <f t="shared" si="3"/>
        <v>348.35469751603625</v>
      </c>
      <c r="E15" s="134">
        <f t="shared" si="3"/>
        <v>323.55098668062487</v>
      </c>
      <c r="F15" s="134">
        <f t="shared" si="3"/>
        <v>8037</v>
      </c>
      <c r="G15" s="134">
        <f t="shared" si="3"/>
        <v>24.567276048890488</v>
      </c>
      <c r="H15" s="55">
        <f t="shared" si="2"/>
        <v>42367.192455527627</v>
      </c>
    </row>
    <row r="16" spans="1:8" x14ac:dyDescent="0.2">
      <c r="A16" s="4">
        <v>2023</v>
      </c>
      <c r="B16" s="134">
        <f>B15*B35</f>
        <v>30340.164856722531</v>
      </c>
      <c r="C16" s="134">
        <f t="shared" ref="C16:G16" si="4">C15*C35</f>
        <v>3399.627888319545</v>
      </c>
      <c r="D16" s="134">
        <f t="shared" si="4"/>
        <v>343.77052487673973</v>
      </c>
      <c r="E16" s="134">
        <f t="shared" si="4"/>
        <v>317.22800297577544</v>
      </c>
      <c r="F16" s="134">
        <f t="shared" si="4"/>
        <v>8037</v>
      </c>
      <c r="G16" s="134">
        <f t="shared" si="4"/>
        <v>25.147960519266174</v>
      </c>
      <c r="H16" s="55">
        <f t="shared" si="2"/>
        <v>42462.939233413854</v>
      </c>
    </row>
    <row r="17" spans="1:13" x14ac:dyDescent="0.2">
      <c r="A17" s="4"/>
      <c r="J17" s="19"/>
    </row>
    <row r="18" spans="1:13" x14ac:dyDescent="0.2">
      <c r="A18" s="4"/>
      <c r="J18" s="19"/>
    </row>
    <row r="19" spans="1:13" x14ac:dyDescent="0.2">
      <c r="A19" s="16"/>
      <c r="B19" s="44"/>
      <c r="C19" s="44"/>
      <c r="D19" s="44"/>
      <c r="E19" s="44"/>
      <c r="F19" s="252"/>
      <c r="G19" s="44"/>
    </row>
    <row r="20" spans="1:13" x14ac:dyDescent="0.2">
      <c r="A20" s="16" t="s">
        <v>45</v>
      </c>
      <c r="B20" s="5"/>
      <c r="C20" s="5"/>
      <c r="D20" s="252"/>
      <c r="E20" s="252"/>
      <c r="F20" s="39"/>
      <c r="G20" s="39"/>
    </row>
    <row r="21" spans="1:13" x14ac:dyDescent="0.2">
      <c r="A21" s="4"/>
      <c r="B21" s="18"/>
      <c r="C21" s="18"/>
      <c r="D21" s="18"/>
      <c r="E21" s="18"/>
      <c r="F21" s="18"/>
      <c r="G21" s="18"/>
    </row>
    <row r="22" spans="1:13" x14ac:dyDescent="0.2">
      <c r="A22" s="4">
        <v>2011</v>
      </c>
      <c r="B22" s="18"/>
      <c r="C22" s="18"/>
      <c r="D22" s="18"/>
      <c r="E22" s="18"/>
      <c r="F22" s="18"/>
      <c r="G22" s="18"/>
    </row>
    <row r="23" spans="1:13" x14ac:dyDescent="0.2">
      <c r="A23" s="4">
        <v>2012</v>
      </c>
      <c r="B23" s="18">
        <f t="shared" ref="B23:G28" si="5">B5/B4</f>
        <v>1.0069701964015931</v>
      </c>
      <c r="C23" s="18">
        <f t="shared" si="5"/>
        <v>1.0243612596553773</v>
      </c>
      <c r="D23" s="18">
        <f t="shared" si="5"/>
        <v>0.90818858560794047</v>
      </c>
      <c r="E23" s="18">
        <f t="shared" si="5"/>
        <v>0.97512437810945274</v>
      </c>
      <c r="F23" s="18">
        <f t="shared" si="5"/>
        <v>1</v>
      </c>
      <c r="G23" s="18">
        <f t="shared" si="5"/>
        <v>1.1052631578947369</v>
      </c>
      <c r="M23" s="104"/>
    </row>
    <row r="24" spans="1:13" x14ac:dyDescent="0.2">
      <c r="A24" s="4">
        <v>2013</v>
      </c>
      <c r="B24" s="18">
        <f t="shared" si="5"/>
        <v>1.006035394005524</v>
      </c>
      <c r="C24" s="18">
        <f t="shared" si="5"/>
        <v>1.0075406032482599</v>
      </c>
      <c r="D24" s="18">
        <f t="shared" si="5"/>
        <v>1.0191256830601092</v>
      </c>
      <c r="E24" s="18">
        <f t="shared" si="5"/>
        <v>0.95408163265306123</v>
      </c>
      <c r="F24" s="18">
        <f t="shared" si="5"/>
        <v>1</v>
      </c>
      <c r="G24" s="18">
        <f t="shared" si="5"/>
        <v>1</v>
      </c>
      <c r="M24" s="104"/>
    </row>
    <row r="25" spans="1:13" x14ac:dyDescent="0.2">
      <c r="A25" s="4">
        <v>2014</v>
      </c>
      <c r="B25" s="18">
        <f t="shared" si="5"/>
        <v>1.0003389370932756</v>
      </c>
      <c r="C25" s="18">
        <f t="shared" si="5"/>
        <v>0.99712147380541161</v>
      </c>
      <c r="D25" s="18">
        <f t="shared" si="5"/>
        <v>0.99195710455764075</v>
      </c>
      <c r="E25" s="18">
        <f t="shared" si="5"/>
        <v>0.96791443850267378</v>
      </c>
      <c r="F25" s="18">
        <f t="shared" si="5"/>
        <v>1</v>
      </c>
      <c r="G25" s="18">
        <f t="shared" si="5"/>
        <v>1</v>
      </c>
      <c r="M25" s="104"/>
    </row>
    <row r="26" spans="1:13" x14ac:dyDescent="0.2">
      <c r="A26" s="4">
        <v>2015</v>
      </c>
      <c r="B26" s="18">
        <f t="shared" si="5"/>
        <v>1.0017618757199973</v>
      </c>
      <c r="C26" s="18">
        <f t="shared" si="5"/>
        <v>0.99047344110854507</v>
      </c>
      <c r="D26" s="18">
        <f t="shared" si="5"/>
        <v>1.008108108108108</v>
      </c>
      <c r="E26" s="18">
        <f t="shared" si="5"/>
        <v>0.99447513812154698</v>
      </c>
      <c r="F26" s="18">
        <f t="shared" si="5"/>
        <v>0.9992086818901198</v>
      </c>
      <c r="G26" s="18">
        <f t="shared" si="5"/>
        <v>1</v>
      </c>
      <c r="M26" s="104"/>
    </row>
    <row r="27" spans="1:13" x14ac:dyDescent="0.2">
      <c r="A27" s="4">
        <v>2016</v>
      </c>
      <c r="B27" s="18">
        <f t="shared" si="5"/>
        <v>1.0018264222417641</v>
      </c>
      <c r="C27" s="18">
        <f t="shared" si="5"/>
        <v>0.99504517633343048</v>
      </c>
      <c r="D27" s="18">
        <f t="shared" si="5"/>
        <v>0.96782841823056298</v>
      </c>
      <c r="E27" s="18">
        <f t="shared" si="5"/>
        <v>1.0055555555555555</v>
      </c>
      <c r="F27" s="18">
        <f t="shared" si="5"/>
        <v>1.0037334540106346</v>
      </c>
      <c r="G27" s="18">
        <f t="shared" si="5"/>
        <v>1</v>
      </c>
      <c r="M27" s="104"/>
    </row>
    <row r="28" spans="1:13" x14ac:dyDescent="0.2">
      <c r="A28" s="4">
        <v>2017</v>
      </c>
      <c r="B28" s="18">
        <f t="shared" si="5"/>
        <v>1.0036799459824444</v>
      </c>
      <c r="C28" s="18">
        <f t="shared" si="5"/>
        <v>1.0008787346221442</v>
      </c>
      <c r="D28" s="18">
        <f t="shared" si="5"/>
        <v>1</v>
      </c>
      <c r="E28" s="18">
        <f t="shared" si="5"/>
        <v>0.99723756906077343</v>
      </c>
      <c r="F28" s="18">
        <f t="shared" si="5"/>
        <v>0.9096032461677187</v>
      </c>
      <c r="G28" s="18">
        <f t="shared" si="5"/>
        <v>1</v>
      </c>
      <c r="M28" s="104"/>
    </row>
    <row r="29" spans="1:13" x14ac:dyDescent="0.2">
      <c r="A29" s="4">
        <v>2018</v>
      </c>
      <c r="B29" s="18">
        <f t="shared" ref="B29:G32" si="6">B11/B10</f>
        <v>1.0036328164418582</v>
      </c>
      <c r="C29" s="18">
        <f t="shared" si="6"/>
        <v>0.99912203687445122</v>
      </c>
      <c r="D29" s="18">
        <f t="shared" si="6"/>
        <v>1.002770083102493</v>
      </c>
      <c r="E29" s="18">
        <f t="shared" si="6"/>
        <v>0.9833795013850416</v>
      </c>
      <c r="F29" s="18">
        <f t="shared" si="6"/>
        <v>1</v>
      </c>
      <c r="G29" s="18">
        <f t="shared" si="6"/>
        <v>1.0952380952380953</v>
      </c>
      <c r="M29" s="104"/>
    </row>
    <row r="30" spans="1:13" x14ac:dyDescent="0.2">
      <c r="A30" s="4">
        <v>2019</v>
      </c>
      <c r="B30" s="18">
        <f t="shared" si="6"/>
        <v>1.0020109260314374</v>
      </c>
      <c r="C30" s="18">
        <f t="shared" si="6"/>
        <v>0.99238429994141775</v>
      </c>
      <c r="D30" s="18">
        <f t="shared" si="6"/>
        <v>1</v>
      </c>
      <c r="E30" s="18">
        <f t="shared" si="6"/>
        <v>0.9859154929577465</v>
      </c>
      <c r="F30" s="18">
        <f t="shared" si="6"/>
        <v>0.99591078066914496</v>
      </c>
      <c r="G30" s="18">
        <f t="shared" si="6"/>
        <v>1</v>
      </c>
      <c r="M30" s="104"/>
    </row>
    <row r="31" spans="1:13" x14ac:dyDescent="0.2">
      <c r="A31" s="4">
        <v>2020</v>
      </c>
      <c r="B31" s="18">
        <f t="shared" si="6"/>
        <v>1.0043148141954041</v>
      </c>
      <c r="C31" s="18">
        <f t="shared" si="6"/>
        <v>1.0008854781582055</v>
      </c>
      <c r="D31" s="18">
        <f t="shared" si="6"/>
        <v>0.98618784530386738</v>
      </c>
      <c r="E31" s="18">
        <f t="shared" si="6"/>
        <v>0.99428571428571433</v>
      </c>
      <c r="F31" s="18">
        <f t="shared" si="6"/>
        <v>1</v>
      </c>
      <c r="G31" s="18">
        <f t="shared" si="6"/>
        <v>1.0434782608695652</v>
      </c>
      <c r="M31" s="104"/>
    </row>
    <row r="32" spans="1:13" x14ac:dyDescent="0.2">
      <c r="A32" s="4">
        <v>2021</v>
      </c>
      <c r="B32" s="18">
        <f t="shared" si="6"/>
        <v>1.0035968827016586</v>
      </c>
      <c r="C32" s="18">
        <f t="shared" si="6"/>
        <v>1.0008846947803007</v>
      </c>
      <c r="D32" s="18">
        <f t="shared" si="6"/>
        <v>0.98879551820728295</v>
      </c>
      <c r="E32" s="18">
        <f t="shared" si="6"/>
        <v>0.94827586206896552</v>
      </c>
      <c r="F32" s="18">
        <f t="shared" si="6"/>
        <v>1</v>
      </c>
      <c r="G32" s="18">
        <f t="shared" si="6"/>
        <v>1</v>
      </c>
      <c r="M32" s="104"/>
    </row>
    <row r="33" spans="1:13" ht="13.5" thickBot="1" x14ac:dyDescent="0.25">
      <c r="A33" s="4"/>
      <c r="B33" s="18"/>
      <c r="C33" s="18"/>
      <c r="D33" s="18"/>
      <c r="E33" s="18"/>
      <c r="F33" s="18"/>
      <c r="G33" s="18"/>
      <c r="M33" s="104"/>
    </row>
    <row r="34" spans="1:13" ht="38.25" x14ac:dyDescent="0.2">
      <c r="A34" s="566"/>
      <c r="B34" s="567" t="str">
        <f>B2</f>
        <v>Residential</v>
      </c>
      <c r="C34" s="567" t="str">
        <f t="shared" ref="C34:G34" si="7">C2</f>
        <v>General Service &lt;50 kW</v>
      </c>
      <c r="D34" s="567" t="str">
        <f t="shared" si="7"/>
        <v>General Service 50 to 4,999 kW</v>
      </c>
      <c r="E34" s="567" t="str">
        <f t="shared" si="7"/>
        <v>Sentinel Lights</v>
      </c>
      <c r="F34" s="567" t="str">
        <f t="shared" si="7"/>
        <v>Street Lights</v>
      </c>
      <c r="G34" s="568" t="str">
        <f t="shared" si="7"/>
        <v>USL</v>
      </c>
      <c r="M34" s="104"/>
    </row>
    <row r="35" spans="1:13" x14ac:dyDescent="0.2">
      <c r="A35" s="569" t="s">
        <v>58</v>
      </c>
      <c r="B35" s="259">
        <f>B37</f>
        <v>1.0034149703546793</v>
      </c>
      <c r="C35" s="259">
        <f>C37</f>
        <v>1.0008287503282771</v>
      </c>
      <c r="D35" s="259">
        <f>D37</f>
        <v>0.98684050287828973</v>
      </c>
      <c r="E35" s="259">
        <f>E37</f>
        <v>0.98045753539583291</v>
      </c>
      <c r="F35" s="259">
        <v>1</v>
      </c>
      <c r="G35" s="570">
        <f t="shared" ref="G35" si="8">G37</f>
        <v>1.0236365020371037</v>
      </c>
    </row>
    <row r="36" spans="1:13" x14ac:dyDescent="0.2">
      <c r="A36" s="569"/>
      <c r="B36" s="259"/>
      <c r="C36" s="259"/>
      <c r="D36" s="259"/>
      <c r="E36" s="259"/>
      <c r="F36" s="259"/>
      <c r="G36" s="570"/>
    </row>
    <row r="37" spans="1:13" x14ac:dyDescent="0.2">
      <c r="A37" s="571" t="s">
        <v>222</v>
      </c>
      <c r="B37" s="259">
        <f t="shared" ref="B37:G37" si="9">GEOMEAN(B23:B32)</f>
        <v>1.0034149703546793</v>
      </c>
      <c r="C37" s="259">
        <f t="shared" si="9"/>
        <v>1.0008287503282771</v>
      </c>
      <c r="D37" s="259">
        <f t="shared" si="9"/>
        <v>0.98684050287828973</v>
      </c>
      <c r="E37" s="259">
        <f t="shared" si="9"/>
        <v>0.98045753539583291</v>
      </c>
      <c r="F37" s="259">
        <f t="shared" si="9"/>
        <v>0.99045489645211926</v>
      </c>
      <c r="G37" s="570">
        <f t="shared" si="9"/>
        <v>1.0236365020371037</v>
      </c>
    </row>
    <row r="38" spans="1:13" ht="13.5" thickBot="1" x14ac:dyDescent="0.25">
      <c r="A38" s="572" t="s">
        <v>223</v>
      </c>
      <c r="B38" s="573">
        <f t="shared" ref="B38:G38" si="10">AVERAGE(B28:B32)</f>
        <v>1.0034470770705606</v>
      </c>
      <c r="C38" s="573">
        <f t="shared" si="10"/>
        <v>0.99883104887530405</v>
      </c>
      <c r="D38" s="573">
        <f t="shared" si="10"/>
        <v>0.99555068932272872</v>
      </c>
      <c r="E38" s="573">
        <f t="shared" si="10"/>
        <v>0.98181882795164821</v>
      </c>
      <c r="F38" s="573">
        <f t="shared" si="10"/>
        <v>0.98110280536737271</v>
      </c>
      <c r="G38" s="574">
        <f t="shared" si="10"/>
        <v>1.027743271221532</v>
      </c>
    </row>
    <row r="39" spans="1:13" x14ac:dyDescent="0.2">
      <c r="A39" s="258"/>
      <c r="B39" s="19"/>
      <c r="C39" s="19"/>
      <c r="D39" s="19"/>
      <c r="E39" s="19"/>
      <c r="F39" s="19"/>
      <c r="G39" s="19"/>
    </row>
    <row r="40" spans="1:13" x14ac:dyDescent="0.2">
      <c r="A40" s="4"/>
      <c r="B40" s="19"/>
      <c r="C40" s="19"/>
      <c r="D40" s="19"/>
      <c r="E40" s="19"/>
      <c r="F40" s="19"/>
      <c r="G40" s="19"/>
    </row>
    <row r="41" spans="1:13" x14ac:dyDescent="0.2">
      <c r="A41" s="4"/>
      <c r="B41" s="45"/>
      <c r="C41" s="19"/>
      <c r="D41" s="19"/>
    </row>
    <row r="42" spans="1:13" x14ac:dyDescent="0.2">
      <c r="A42" s="4"/>
      <c r="B42" s="19"/>
      <c r="C42" s="19"/>
      <c r="D42" s="19"/>
      <c r="E42" s="19"/>
      <c r="F42" s="19"/>
      <c r="G42" s="19"/>
    </row>
    <row r="43" spans="1:13" x14ac:dyDescent="0.2">
      <c r="A43" s="4"/>
      <c r="B43" s="19"/>
      <c r="C43" s="19"/>
      <c r="D43" s="19"/>
      <c r="E43" s="19"/>
      <c r="F43" s="19"/>
      <c r="G43" s="19"/>
    </row>
    <row r="44" spans="1:13" x14ac:dyDescent="0.2">
      <c r="B44"/>
      <c r="C44"/>
      <c r="D44"/>
      <c r="E44"/>
      <c r="F44"/>
      <c r="G44"/>
    </row>
    <row r="45" spans="1:13" x14ac:dyDescent="0.2">
      <c r="B45"/>
      <c r="C45"/>
      <c r="D45"/>
      <c r="E45"/>
      <c r="F45"/>
      <c r="G45"/>
    </row>
    <row r="46" spans="1:13" x14ac:dyDescent="0.2">
      <c r="B46"/>
      <c r="C46"/>
      <c r="D46"/>
      <c r="E46"/>
      <c r="F46"/>
      <c r="G46"/>
    </row>
    <row r="47" spans="1:13" x14ac:dyDescent="0.2">
      <c r="B47"/>
      <c r="C47"/>
      <c r="D47"/>
      <c r="E47"/>
      <c r="F47"/>
      <c r="G47"/>
    </row>
    <row r="48" spans="1:13" x14ac:dyDescent="0.2">
      <c r="B48"/>
      <c r="C48"/>
      <c r="D48"/>
      <c r="E48"/>
      <c r="F48"/>
      <c r="G48"/>
    </row>
    <row r="49" spans="2:7" x14ac:dyDescent="0.2">
      <c r="B49"/>
      <c r="C49"/>
      <c r="D49"/>
      <c r="E49"/>
      <c r="F49"/>
      <c r="G49"/>
    </row>
    <row r="50" spans="2:7" x14ac:dyDescent="0.2">
      <c r="B50"/>
      <c r="C50"/>
      <c r="D50"/>
      <c r="E50"/>
      <c r="F50"/>
      <c r="G50"/>
    </row>
    <row r="51" spans="2:7" x14ac:dyDescent="0.2">
      <c r="B51"/>
      <c r="C51"/>
      <c r="D51"/>
      <c r="E51"/>
      <c r="F51"/>
      <c r="G51"/>
    </row>
    <row r="52" spans="2:7" x14ac:dyDescent="0.2">
      <c r="B52"/>
      <c r="C52"/>
      <c r="D52"/>
      <c r="E52"/>
      <c r="F52"/>
      <c r="G52"/>
    </row>
    <row r="53" spans="2:7" x14ac:dyDescent="0.2">
      <c r="B53"/>
      <c r="C53"/>
      <c r="D53"/>
      <c r="E53"/>
      <c r="F53"/>
      <c r="G53"/>
    </row>
    <row r="54" spans="2:7" x14ac:dyDescent="0.2">
      <c r="B54"/>
      <c r="C54"/>
      <c r="D54"/>
      <c r="E54"/>
      <c r="F54"/>
      <c r="G54"/>
    </row>
    <row r="55" spans="2:7" x14ac:dyDescent="0.2">
      <c r="B55"/>
      <c r="C55"/>
      <c r="D55"/>
      <c r="E55"/>
      <c r="F55"/>
      <c r="G55"/>
    </row>
    <row r="56" spans="2:7" x14ac:dyDescent="0.2">
      <c r="B56"/>
      <c r="C56"/>
      <c r="D56"/>
      <c r="E56"/>
      <c r="F56"/>
      <c r="G56"/>
    </row>
    <row r="57" spans="2:7" x14ac:dyDescent="0.2">
      <c r="B57"/>
      <c r="C57"/>
      <c r="D57"/>
      <c r="E57"/>
      <c r="F57"/>
      <c r="G57"/>
    </row>
    <row r="58" spans="2:7" x14ac:dyDescent="0.2">
      <c r="B58"/>
      <c r="C58"/>
      <c r="D58"/>
      <c r="E58"/>
      <c r="F58"/>
      <c r="G58"/>
    </row>
    <row r="59" spans="2:7" x14ac:dyDescent="0.2">
      <c r="B59"/>
      <c r="C59"/>
      <c r="D59"/>
      <c r="E59"/>
      <c r="F59"/>
      <c r="G59"/>
    </row>
    <row r="60" spans="2:7" x14ac:dyDescent="0.2">
      <c r="B60"/>
      <c r="C60"/>
      <c r="D60"/>
      <c r="E60"/>
      <c r="F60"/>
      <c r="G60"/>
    </row>
    <row r="61" spans="2:7" x14ac:dyDescent="0.2">
      <c r="B61"/>
      <c r="C61"/>
      <c r="D61"/>
      <c r="E61"/>
      <c r="F61"/>
      <c r="G61"/>
    </row>
    <row r="62" spans="2:7" x14ac:dyDescent="0.2">
      <c r="B62"/>
      <c r="C62"/>
      <c r="D62"/>
      <c r="E62"/>
      <c r="F62"/>
      <c r="G62"/>
    </row>
    <row r="63" spans="2:7" x14ac:dyDescent="0.2">
      <c r="B63"/>
      <c r="C63"/>
      <c r="D63"/>
      <c r="E63"/>
      <c r="F63"/>
      <c r="G63"/>
    </row>
    <row r="64" spans="2:7" x14ac:dyDescent="0.2">
      <c r="B64" s="19"/>
      <c r="C64" s="19"/>
      <c r="D64" s="19"/>
      <c r="E64" s="19"/>
      <c r="F64" s="19"/>
      <c r="G64" s="19"/>
    </row>
    <row r="65" spans="2:11" x14ac:dyDescent="0.2">
      <c r="B65" s="19"/>
      <c r="C65" s="19"/>
      <c r="D65" s="19"/>
      <c r="E65" s="19"/>
      <c r="F65" s="19"/>
      <c r="G65" s="19"/>
    </row>
    <row r="66" spans="2:11" x14ac:dyDescent="0.2">
      <c r="B66" s="19"/>
      <c r="C66" s="19"/>
      <c r="D66" s="19"/>
      <c r="E66" s="19"/>
      <c r="F66" s="19"/>
      <c r="G66" s="19"/>
    </row>
    <row r="67" spans="2:11" x14ac:dyDescent="0.2">
      <c r="B67" s="19"/>
      <c r="C67" s="19"/>
      <c r="D67" s="19"/>
      <c r="E67" s="19"/>
      <c r="F67" s="19"/>
      <c r="G67" s="19"/>
    </row>
    <row r="68" spans="2:11" x14ac:dyDescent="0.2">
      <c r="B68" s="19"/>
      <c r="C68" s="19"/>
      <c r="D68" s="19"/>
      <c r="E68" s="19"/>
      <c r="F68" s="19"/>
      <c r="G68" s="19"/>
    </row>
    <row r="69" spans="2:11" x14ac:dyDescent="0.2">
      <c r="B69" s="19"/>
      <c r="C69" s="19"/>
      <c r="D69" s="19"/>
      <c r="E69" s="19"/>
      <c r="F69" s="19"/>
      <c r="G69" s="19"/>
    </row>
    <row r="70" spans="2:11" x14ac:dyDescent="0.2">
      <c r="B70" s="19"/>
      <c r="C70" s="19"/>
      <c r="E70" s="19"/>
      <c r="F70" s="19"/>
      <c r="G70" s="19"/>
    </row>
    <row r="71" spans="2:11" x14ac:dyDescent="0.2">
      <c r="B71"/>
      <c r="C71"/>
      <c r="D71"/>
      <c r="E71"/>
      <c r="F71"/>
      <c r="G71"/>
      <c r="H71"/>
      <c r="I71"/>
      <c r="J71"/>
      <c r="K71"/>
    </row>
    <row r="72" spans="2:11" x14ac:dyDescent="0.2">
      <c r="B72"/>
      <c r="C72"/>
      <c r="D72"/>
      <c r="E72"/>
      <c r="F72"/>
      <c r="G72"/>
      <c r="H72"/>
      <c r="I72"/>
      <c r="J72"/>
      <c r="K72"/>
    </row>
    <row r="73" spans="2:11" x14ac:dyDescent="0.2">
      <c r="B73"/>
      <c r="C73"/>
      <c r="D73"/>
      <c r="E73"/>
      <c r="F73"/>
      <c r="G73"/>
      <c r="H73"/>
      <c r="I73"/>
      <c r="J73"/>
      <c r="K73"/>
    </row>
    <row r="74" spans="2:11" x14ac:dyDescent="0.2">
      <c r="B74"/>
      <c r="C74"/>
      <c r="D74"/>
      <c r="E74"/>
      <c r="F74"/>
      <c r="G74"/>
      <c r="H74"/>
      <c r="I74"/>
      <c r="J74"/>
      <c r="K74"/>
    </row>
    <row r="75" spans="2:11" x14ac:dyDescent="0.2">
      <c r="B75"/>
      <c r="C75"/>
      <c r="D75"/>
      <c r="E75"/>
      <c r="F75"/>
      <c r="G75"/>
      <c r="H75"/>
      <c r="I75"/>
      <c r="J75"/>
      <c r="K75"/>
    </row>
    <row r="76" spans="2:11" x14ac:dyDescent="0.2">
      <c r="B76"/>
      <c r="C76"/>
      <c r="D76"/>
      <c r="E76"/>
      <c r="F76"/>
      <c r="G76"/>
      <c r="H76"/>
      <c r="I76"/>
      <c r="J76"/>
      <c r="K76"/>
    </row>
    <row r="77" spans="2:11" x14ac:dyDescent="0.2">
      <c r="B77"/>
      <c r="C77"/>
      <c r="D77"/>
      <c r="E77"/>
      <c r="F77"/>
      <c r="G77"/>
      <c r="H77"/>
      <c r="I77"/>
      <c r="J77"/>
      <c r="K77"/>
    </row>
    <row r="78" spans="2:11" x14ac:dyDescent="0.2">
      <c r="B78"/>
      <c r="C78"/>
      <c r="D78"/>
      <c r="E78"/>
      <c r="F78"/>
      <c r="G78"/>
      <c r="H78"/>
      <c r="I78"/>
      <c r="J78"/>
      <c r="K78"/>
    </row>
    <row r="79" spans="2:11" x14ac:dyDescent="0.2">
      <c r="B79"/>
      <c r="C79"/>
      <c r="D79"/>
      <c r="E79"/>
      <c r="F79"/>
      <c r="G79"/>
      <c r="H79"/>
      <c r="I79"/>
      <c r="J79"/>
      <c r="K79"/>
    </row>
    <row r="80" spans="2:11" x14ac:dyDescent="0.2">
      <c r="B80"/>
      <c r="C80"/>
      <c r="D80"/>
      <c r="E80"/>
      <c r="F80"/>
      <c r="G80"/>
      <c r="H80"/>
      <c r="I80"/>
      <c r="J80"/>
      <c r="K80"/>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honeticPr fontId="0" type="noConversion"/>
  <pageMargins left="0.38" right="0.75" top="0.73" bottom="0.74" header="0.5" footer="0.5"/>
  <pageSetup scale="40" orientation="landscape" r:id="rId1"/>
  <headerFooter alignWithMargins="0">
    <oddFooter>&amp;L&amp;Z&amp;F</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FF00"/>
    <pageSetUpPr fitToPage="1"/>
  </sheetPr>
  <dimension ref="A1:I57"/>
  <sheetViews>
    <sheetView zoomScaleNormal="100" workbookViewId="0">
      <selection activeCell="B14" sqref="B14"/>
    </sheetView>
  </sheetViews>
  <sheetFormatPr defaultRowHeight="12.75" x14ac:dyDescent="0.2"/>
  <cols>
    <col min="1" max="1" width="11" customWidth="1"/>
    <col min="2" max="2" width="14.140625" style="6" bestFit="1" customWidth="1"/>
    <col min="3" max="3" width="17.7109375" style="6" customWidth="1"/>
    <col min="4" max="4" width="12.5703125" style="6" customWidth="1"/>
    <col min="5" max="5" width="12.7109375" style="6" bestFit="1" customWidth="1"/>
    <col min="6" max="6" width="12.28515625" style="6" bestFit="1" customWidth="1"/>
    <col min="7" max="7" width="10.7109375" style="6" bestFit="1" customWidth="1"/>
    <col min="8" max="9" width="9.140625" style="6" customWidth="1"/>
  </cols>
  <sheetData>
    <row r="1" spans="1:6" ht="42" customHeight="1" x14ac:dyDescent="0.2">
      <c r="B1" s="8" t="str">
        <f>'Rate Class Customer Model'!D2</f>
        <v>General Service 50 to 4,999 kW</v>
      </c>
      <c r="C1" s="8" t="str">
        <f>'Rate Class Customer Model'!E2</f>
        <v>Sentinel Lights</v>
      </c>
      <c r="D1" s="8" t="str">
        <f>'Rate Class Customer Model'!F2</f>
        <v>Street Lights</v>
      </c>
      <c r="E1" s="6" t="s">
        <v>12</v>
      </c>
    </row>
    <row r="2" spans="1:6" x14ac:dyDescent="0.2">
      <c r="A2" s="22">
        <v>2011</v>
      </c>
      <c r="B2" s="53">
        <v>629024</v>
      </c>
      <c r="C2" s="53">
        <v>703</v>
      </c>
      <c r="D2" s="53">
        <v>21619</v>
      </c>
      <c r="E2" s="6">
        <f t="shared" ref="E2:E14" si="0">SUM(B2:D2)</f>
        <v>651346</v>
      </c>
    </row>
    <row r="3" spans="1:6" x14ac:dyDescent="0.2">
      <c r="A3" s="22">
        <v>2012</v>
      </c>
      <c r="B3" s="53">
        <v>627836</v>
      </c>
      <c r="C3" s="53">
        <v>687</v>
      </c>
      <c r="D3" s="53">
        <v>21596</v>
      </c>
      <c r="E3" s="6">
        <f t="shared" si="0"/>
        <v>650119</v>
      </c>
    </row>
    <row r="4" spans="1:6" x14ac:dyDescent="0.2">
      <c r="A4" s="22">
        <v>2013</v>
      </c>
      <c r="B4" s="53">
        <v>656137</v>
      </c>
      <c r="C4" s="53">
        <v>660</v>
      </c>
      <c r="D4" s="53">
        <v>21588</v>
      </c>
      <c r="E4" s="6">
        <f t="shared" si="0"/>
        <v>678385</v>
      </c>
    </row>
    <row r="5" spans="1:6" x14ac:dyDescent="0.2">
      <c r="A5" s="22">
        <v>2014</v>
      </c>
      <c r="B5" s="53">
        <v>634289</v>
      </c>
      <c r="C5" s="53">
        <v>676</v>
      </c>
      <c r="D5" s="53">
        <v>21876</v>
      </c>
      <c r="E5" s="6">
        <f t="shared" si="0"/>
        <v>656841</v>
      </c>
      <c r="F5" s="56"/>
    </row>
    <row r="6" spans="1:6" x14ac:dyDescent="0.2">
      <c r="A6" s="22">
        <v>2015</v>
      </c>
      <c r="B6" s="53">
        <v>711311</v>
      </c>
      <c r="C6" s="53">
        <v>752</v>
      </c>
      <c r="D6" s="53">
        <v>21794</v>
      </c>
      <c r="E6" s="6">
        <f t="shared" si="0"/>
        <v>733857</v>
      </c>
    </row>
    <row r="7" spans="1:6" x14ac:dyDescent="0.2">
      <c r="A7" s="22">
        <v>2016</v>
      </c>
      <c r="B7" s="53">
        <v>622066.30000000005</v>
      </c>
      <c r="C7" s="53">
        <v>630</v>
      </c>
      <c r="D7" s="53">
        <v>14262.4</v>
      </c>
      <c r="E7" s="6">
        <f t="shared" si="0"/>
        <v>636958.70000000007</v>
      </c>
    </row>
    <row r="8" spans="1:6" x14ac:dyDescent="0.2">
      <c r="A8" s="22">
        <v>2017</v>
      </c>
      <c r="B8" s="53">
        <v>610764.1</v>
      </c>
      <c r="C8" s="53">
        <v>619.20000000000005</v>
      </c>
      <c r="D8" s="53">
        <v>7030.1</v>
      </c>
      <c r="E8" s="6">
        <f t="shared" si="0"/>
        <v>618413.39999999991</v>
      </c>
    </row>
    <row r="9" spans="1:6" x14ac:dyDescent="0.2">
      <c r="A9" s="22">
        <v>2018</v>
      </c>
      <c r="B9" s="53">
        <v>604548.71</v>
      </c>
      <c r="C9" s="53">
        <v>611.82000000000005</v>
      </c>
      <c r="D9" s="53">
        <v>7030.14</v>
      </c>
      <c r="E9" s="6">
        <f t="shared" si="0"/>
        <v>612190.66999999993</v>
      </c>
    </row>
    <row r="10" spans="1:6" x14ac:dyDescent="0.2">
      <c r="A10" s="22">
        <v>2019</v>
      </c>
      <c r="B10" s="53">
        <v>594559.68999999994</v>
      </c>
      <c r="C10" s="53">
        <v>605.16</v>
      </c>
      <c r="D10" s="53">
        <v>7055.84</v>
      </c>
      <c r="E10" s="6">
        <f t="shared" si="0"/>
        <v>602220.68999999994</v>
      </c>
    </row>
    <row r="11" spans="1:6" x14ac:dyDescent="0.2">
      <c r="A11" s="22">
        <v>2020</v>
      </c>
      <c r="B11" s="53">
        <v>546907.62</v>
      </c>
      <c r="C11" s="53">
        <v>597.52</v>
      </c>
      <c r="D11" s="53">
        <v>7201.8</v>
      </c>
      <c r="E11" s="6">
        <f t="shared" si="0"/>
        <v>554706.94000000006</v>
      </c>
    </row>
    <row r="12" spans="1:6" x14ac:dyDescent="0.2">
      <c r="A12" s="22">
        <v>2021</v>
      </c>
      <c r="B12" s="53">
        <v>536707</v>
      </c>
      <c r="C12" s="53">
        <v>596.41</v>
      </c>
      <c r="D12" s="53">
        <v>7201.8</v>
      </c>
      <c r="E12" s="6">
        <f t="shared" si="0"/>
        <v>544505.21000000008</v>
      </c>
    </row>
    <row r="13" spans="1:6" x14ac:dyDescent="0.2">
      <c r="A13" s="22">
        <v>2022</v>
      </c>
      <c r="B13" s="23">
        <f>B29*'Rate Class Energy Model'!J63</f>
        <v>570894.43770666083</v>
      </c>
      <c r="C13" s="23">
        <f>C30*'Rate Class Energy Model'!K63</f>
        <v>580.3420126565635</v>
      </c>
      <c r="D13" s="23">
        <f>D30*'Rate Class Energy Model'!L63</f>
        <v>7200.0649104265394</v>
      </c>
      <c r="E13" s="6">
        <f t="shared" si="0"/>
        <v>578674.84462974395</v>
      </c>
    </row>
    <row r="14" spans="1:6" x14ac:dyDescent="0.2">
      <c r="A14" s="22">
        <v>2023</v>
      </c>
      <c r="B14" s="23">
        <f>B29*'Rate Class Energy Model'!J64</f>
        <v>542042.50976088888</v>
      </c>
      <c r="C14" s="23">
        <f>C30*'Rate Class Energy Model'!K64</f>
        <v>566.24754295926414</v>
      </c>
      <c r="D14" s="23">
        <f>D30*'Rate Class Energy Model'!L64</f>
        <v>7200.0649104265394</v>
      </c>
      <c r="E14" s="6">
        <f t="shared" si="0"/>
        <v>549808.82221427467</v>
      </c>
    </row>
    <row r="15" spans="1:6" x14ac:dyDescent="0.2">
      <c r="A15" s="16"/>
    </row>
    <row r="16" spans="1:6" x14ac:dyDescent="0.2">
      <c r="A16" s="16" t="s">
        <v>59</v>
      </c>
      <c r="B16" s="5"/>
      <c r="C16" s="5"/>
      <c r="D16" s="5"/>
      <c r="E16" s="44"/>
    </row>
    <row r="17" spans="1:6" x14ac:dyDescent="0.2">
      <c r="A17" s="4">
        <v>2011</v>
      </c>
      <c r="B17" s="21">
        <f>B2/'Rate Class Energy Model'!J6</f>
        <v>2.4574286460270749E-3</v>
      </c>
      <c r="C17" s="21">
        <f>C2/'Rate Class Energy Model'!K6</f>
        <v>2.7000868022215223E-3</v>
      </c>
      <c r="D17" s="21">
        <f>D2/'Rate Class Energy Model'!L6</f>
        <v>2.7664048228267361E-3</v>
      </c>
      <c r="F17" s="21"/>
    </row>
    <row r="18" spans="1:6" x14ac:dyDescent="0.2">
      <c r="A18" s="4">
        <v>2012</v>
      </c>
      <c r="B18" s="21">
        <f>B3/'Rate Class Energy Model'!J7</f>
        <v>2.4687425199532891E-3</v>
      </c>
      <c r="C18" s="21">
        <f>C3/'Rate Class Energy Model'!K7</f>
        <v>2.7868825858376064E-3</v>
      </c>
      <c r="D18" s="21">
        <f>D3/'Rate Class Energy Model'!L7</f>
        <v>2.7914579525335818E-3</v>
      </c>
      <c r="F18" s="21"/>
    </row>
    <row r="19" spans="1:6" x14ac:dyDescent="0.2">
      <c r="A19" s="4">
        <v>2013</v>
      </c>
      <c r="B19" s="21">
        <f>B4/'Rate Class Energy Model'!J8</f>
        <v>2.5328707434411476E-3</v>
      </c>
      <c r="C19" s="21">
        <f>C4/'Rate Class Energy Model'!K8</f>
        <v>2.7811137096264457E-3</v>
      </c>
      <c r="D19" s="21">
        <f>D4/'Rate Class Energy Model'!L8</f>
        <v>2.6692741176854618E-3</v>
      </c>
      <c r="F19" s="21"/>
    </row>
    <row r="20" spans="1:6" x14ac:dyDescent="0.2">
      <c r="A20" s="4">
        <v>2014</v>
      </c>
      <c r="B20" s="21">
        <f>B5/'Rate Class Energy Model'!J9</f>
        <v>2.4508107038338058E-3</v>
      </c>
      <c r="C20" s="21">
        <f>C5/'Rate Class Energy Model'!K9</f>
        <v>2.7779033404698602E-3</v>
      </c>
      <c r="D20" s="21">
        <f>D5/'Rate Class Energy Model'!L9</f>
        <v>2.8002659971083374E-3</v>
      </c>
      <c r="F20" s="21"/>
    </row>
    <row r="21" spans="1:6" x14ac:dyDescent="0.2">
      <c r="A21" s="4">
        <v>2015</v>
      </c>
      <c r="B21" s="21">
        <f>B6/'Rate Class Energy Model'!J10</f>
        <v>2.79181354647602E-3</v>
      </c>
      <c r="C21" s="21">
        <f>C6/'Rate Class Energy Model'!K10</f>
        <v>3.1967624278390395E-3</v>
      </c>
      <c r="D21" s="21">
        <f>D6/'Rate Class Energy Model'!L10</f>
        <v>2.9872750908354227E-3</v>
      </c>
    </row>
    <row r="22" spans="1:6" x14ac:dyDescent="0.2">
      <c r="A22" s="4">
        <v>2016</v>
      </c>
      <c r="B22" s="21">
        <f>B7/'Rate Class Energy Model'!J11</f>
        <v>2.4887113960887822E-3</v>
      </c>
      <c r="C22" s="21">
        <f>C7/'Rate Class Energy Model'!K11</f>
        <v>2.7746483463536279E-3</v>
      </c>
      <c r="D22" s="21">
        <f>D7/'Rate Class Energy Model'!L11</f>
        <v>2.9290590178160125E-3</v>
      </c>
    </row>
    <row r="23" spans="1:6" x14ac:dyDescent="0.2">
      <c r="A23" s="4">
        <v>2017</v>
      </c>
      <c r="B23" s="21">
        <f>B8/'Rate Class Energy Model'!J12</f>
        <v>2.4912229420001892E-3</v>
      </c>
      <c r="C23" s="21">
        <f>C8/'Rate Class Energy Model'!K12</f>
        <v>2.8980460654531568E-3</v>
      </c>
      <c r="D23" s="21">
        <f>D8/'Rate Class Energy Model'!L12</f>
        <v>2.9313808529679896E-3</v>
      </c>
    </row>
    <row r="24" spans="1:6" x14ac:dyDescent="0.2">
      <c r="A24" s="4">
        <v>2018</v>
      </c>
      <c r="B24" s="21">
        <f>B9/'Rate Class Energy Model'!J13</f>
        <v>2.5000181488968034E-3</v>
      </c>
      <c r="C24" s="21">
        <f>C9/'Rate Class Energy Model'!K13</f>
        <v>2.9258199763273615E-3</v>
      </c>
      <c r="D24" s="21">
        <f>D9/'Rate Class Energy Model'!L13</f>
        <v>2.9313979475852803E-3</v>
      </c>
    </row>
    <row r="25" spans="1:6" x14ac:dyDescent="0.2">
      <c r="A25" s="4">
        <v>2019</v>
      </c>
      <c r="B25" s="21">
        <f>B10/'Rate Class Energy Model'!J14</f>
        <v>2.4700421656732559E-3</v>
      </c>
      <c r="C25" s="21">
        <f>C10/'Rate Class Energy Model'!K14</f>
        <v>2.9259373203653332E-3</v>
      </c>
      <c r="D25" s="21">
        <f>D10/'Rate Class Energy Model'!L14</f>
        <v>2.9270713792207228E-3</v>
      </c>
    </row>
    <row r="26" spans="1:6" x14ac:dyDescent="0.2">
      <c r="A26" s="4">
        <v>2020</v>
      </c>
      <c r="B26" s="21">
        <f>B11/'Rate Class Energy Model'!J15</f>
        <v>2.2894417628822662E-3</v>
      </c>
      <c r="C26" s="21">
        <f>C11/'Rate Class Energy Model'!K15</f>
        <v>2.9270166102020379E-3</v>
      </c>
      <c r="D26" s="21">
        <f>D11/'Rate Class Energy Model'!L15</f>
        <v>2.9168933866313674E-3</v>
      </c>
    </row>
    <row r="27" spans="1:6" x14ac:dyDescent="0.2">
      <c r="A27" s="4">
        <v>2021</v>
      </c>
      <c r="B27" s="21">
        <f>B12/'Rate Class Energy Model'!J16</f>
        <v>2.263912348733757E-3</v>
      </c>
      <c r="C27" s="21">
        <f>C12/'Rate Class Energy Model'!K16</f>
        <v>2.9291669660532231E-3</v>
      </c>
      <c r="D27" s="21">
        <f>D12/'Rate Class Energy Model'!L16</f>
        <v>2.9275675447857103E-3</v>
      </c>
    </row>
    <row r="28" spans="1:6" x14ac:dyDescent="0.2">
      <c r="A28" s="4"/>
      <c r="B28" s="21"/>
      <c r="C28" s="21"/>
      <c r="D28" s="21"/>
    </row>
    <row r="29" spans="1:6" x14ac:dyDescent="0.2">
      <c r="A29" s="60" t="s">
        <v>90</v>
      </c>
      <c r="B29" s="21">
        <f>AVERAGE(B17:B27)</f>
        <v>2.4731831749096721E-3</v>
      </c>
      <c r="C29" s="21">
        <f>AVERAGE(C17:C27)</f>
        <v>2.8748531046135649E-3</v>
      </c>
      <c r="D29" s="21">
        <f>AVERAGE(D17:D27)</f>
        <v>2.8707316463633292E-3</v>
      </c>
      <c r="F29" s="21"/>
    </row>
    <row r="30" spans="1:6" x14ac:dyDescent="0.2">
      <c r="A30" s="60" t="s">
        <v>326</v>
      </c>
      <c r="B30" s="21">
        <f>AVERAGE(B23:B27)</f>
        <v>2.4029274736372544E-3</v>
      </c>
      <c r="C30" s="21">
        <f>AVERAGE(C23:C27)</f>
        <v>2.9211973876802225E-3</v>
      </c>
      <c r="D30" s="21">
        <f>AVERAGE(D23:D27)</f>
        <v>2.9268622222382141E-3</v>
      </c>
    </row>
    <row r="31" spans="1:6" x14ac:dyDescent="0.2">
      <c r="B31" s="21"/>
    </row>
    <row r="36" spans="2:4" x14ac:dyDescent="0.2">
      <c r="B36" s="20"/>
      <c r="C36" s="20"/>
      <c r="D36" s="20"/>
    </row>
    <row r="37" spans="2:4" x14ac:dyDescent="0.2">
      <c r="B37" s="20"/>
      <c r="C37" s="20"/>
      <c r="D37" s="20"/>
    </row>
    <row r="56" spans="2:4" x14ac:dyDescent="0.2">
      <c r="B56" s="14"/>
      <c r="C56" s="14"/>
      <c r="D56" s="14"/>
    </row>
    <row r="57" spans="2:4" x14ac:dyDescent="0.2">
      <c r="B57" s="14"/>
      <c r="C57" s="14"/>
      <c r="D57" s="14"/>
    </row>
  </sheetData>
  <phoneticPr fontId="0" type="noConversion"/>
  <pageMargins left="0.38" right="0.75" top="0.73" bottom="0.74" header="0.5" footer="0.5"/>
  <pageSetup orientation="landscape" r:id="rId1"/>
  <headerFooter alignWithMargins="0">
    <oddFooter>&amp;L&amp;Z&amp;F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A5A56BC5DF3C48BFAA38DBB0663FF1" ma:contentTypeVersion="3" ma:contentTypeDescription="Create a new document." ma:contentTypeScope="" ma:versionID="f998fb52abaafa7b03061b7a50575b63">
  <xsd:schema xmlns:xsd="http://www.w3.org/2001/XMLSchema" xmlns:xs="http://www.w3.org/2001/XMLSchema" xmlns:p="http://schemas.microsoft.com/office/2006/metadata/properties" xmlns:ns1="http://schemas.microsoft.com/sharepoint/v3" xmlns:ns2="22864ac6-7c2c-4d2c-8917-2490334d657a" targetNamespace="http://schemas.microsoft.com/office/2006/metadata/properties" ma:root="true" ma:fieldsID="93a81205d4f4a790b0a30e91b3c2e984" ns1:_="" ns2:_="">
    <xsd:import namespace="http://schemas.microsoft.com/sharepoint/v3"/>
    <xsd:import namespace="22864ac6-7c2c-4d2c-8917-2490334d657a"/>
    <xsd:element name="properties">
      <xsd:complexType>
        <xsd:sequence>
          <xsd:element name="documentManagement">
            <xsd:complexType>
              <xsd:all>
                <xsd:element ref="ns1:PublishingStartDate" minOccurs="0"/>
                <xsd:element ref="ns1:PublishingExpirationDate" minOccurs="0"/>
                <xsd:element ref="ns1:RoutingRuleDescrip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RoutingRuleDescription" ma:index="10" nillable="true" ma:displayName="Note" ma: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864ac6-7c2c-4d2c-8917-2490334d657a" elementFormDefault="qualified">
    <xsd:import namespace="http://schemas.microsoft.com/office/2006/documentManagement/types"/>
    <xsd:import namespace="http://schemas.microsoft.com/office/infopath/2007/PartnerControls"/>
    <xsd:element name="Note" ma:index="11" nillable="true" ma:displayName="Description" ma:internalName="Not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 xmlns="22864ac6-7c2c-4d2c-8917-2490334d657a" xsi:nil="true"/>
    <PublishingExpirationDate xmlns="http://schemas.microsoft.com/sharepoint/v3" xsi:nil="true"/>
    <RoutingRuleDescription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7DD6D1-0FB0-4196-98DD-9C0D600F8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864ac6-7c2c-4d2c-8917-2490334d6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61D077-B133-4101-8448-EDAC51E0F5AD}">
  <ds:schemaRefs>
    <ds:schemaRef ds:uri="http://purl.org/dc/elements/1.1/"/>
    <ds:schemaRef ds:uri="http://schemas.microsoft.com/sharepoint/v3"/>
    <ds:schemaRef ds:uri="http://schemas.microsoft.com/office/2006/documentManagement/types"/>
    <ds:schemaRef ds:uri="http://purl.org/dc/terms/"/>
    <ds:schemaRef ds:uri="http://www.w3.org/XML/1998/namespace"/>
    <ds:schemaRef ds:uri="22864ac6-7c2c-4d2c-8917-2490334d657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F45DBFC-9396-4528-B69B-6FF609EE5A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Exhibit 3 Tables</vt:lpstr>
      <vt:lpstr>Summary</vt:lpstr>
      <vt:lpstr>Regressions</vt:lpstr>
      <vt:lpstr>Purchased Power Model</vt:lpstr>
      <vt:lpstr>Purchased Power Model WN tk</vt:lpstr>
      <vt:lpstr>Rate Class Energy Model</vt:lpstr>
      <vt:lpstr>COVID analysis</vt:lpstr>
      <vt:lpstr>Rate Class Customer Model</vt:lpstr>
      <vt:lpstr>Rate Class Load Model</vt:lpstr>
      <vt:lpstr>Weather Analysis </vt:lpstr>
      <vt:lpstr>2022 COP Forecast</vt:lpstr>
      <vt:lpstr>2023 COP Forecast</vt:lpstr>
      <vt:lpstr>'Purchased Power Model'!Print_Area</vt:lpstr>
      <vt:lpstr>'Purchased Power Model WN tk'!Print_Area</vt:lpstr>
      <vt:lpstr>'Rate Class Customer Model'!Print_Area</vt:lpstr>
      <vt:lpstr>'Rate Class Energy Model'!Print_Area</vt:lpstr>
      <vt:lpstr>'Rate Class Load Model'!Print_Area</vt:lpstr>
      <vt:lpstr>'Purchased Power Model'!Print_Titles</vt:lpstr>
      <vt:lpstr>'Purchased Power Model WN tk'!Print_Titles</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Bruce Bacon</dc:creator>
  <cp:lastModifiedBy>Pina Pacione</cp:lastModifiedBy>
  <cp:lastPrinted>2017-12-19T21:34:33Z</cp:lastPrinted>
  <dcterms:created xsi:type="dcterms:W3CDTF">2008-02-06T18:24:44Z</dcterms:created>
  <dcterms:modified xsi:type="dcterms:W3CDTF">2022-11-28T18:56:16Z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0x01010016A5A56BC5DF3C48BFAA38DBB0663FF1</vt:lpwstr>
  </property>
</Properties>
</file>