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F:\Accounting\Terry Debbie (FINANCE MGT)\1 regulatory affairs\2 Rate Applications\2023 PUC COS Application\Interrogatories\Models\Models for Filing\Various Versions of OEB Models for filing\"/>
    </mc:Choice>
  </mc:AlternateContent>
  <xr:revisionPtr revIDLastSave="0" documentId="8_{9DEA70B9-B709-4516-8C82-B1081717A6E7}" xr6:coauthVersionLast="47" xr6:coauthVersionMax="47" xr10:uidLastSave="{00000000-0000-0000-0000-000000000000}"/>
  <bookViews>
    <workbookView xWindow="-120" yWindow="-120" windowWidth="29040" windowHeight="15840" xr2:uid="{DF57E46C-2FD3-40F7-B6D5-AD0229B92FD6}"/>
  </bookViews>
  <sheets>
    <sheet name="VVO Link to ROE Method B 72M"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58" i="1" l="1"/>
  <c r="I58" i="1"/>
  <c r="H58" i="1"/>
  <c r="G58" i="1"/>
  <c r="G38" i="1" l="1"/>
  <c r="J57" i="1" l="1"/>
  <c r="H57" i="1"/>
  <c r="I57" i="1"/>
  <c r="E58" i="1"/>
  <c r="F58" i="1"/>
  <c r="G57" i="1"/>
  <c r="E10" i="1"/>
  <c r="F50" i="1"/>
  <c r="G50" i="1"/>
  <c r="H50" i="1"/>
  <c r="I50" i="1"/>
  <c r="J50" i="1"/>
  <c r="J37" i="1" l="1"/>
  <c r="J47" i="1" s="1"/>
  <c r="J22" i="1"/>
  <c r="J6" i="1"/>
  <c r="J20" i="1" s="1"/>
  <c r="J5" i="1"/>
  <c r="I37" i="1"/>
  <c r="I47" i="1" s="1"/>
  <c r="I22" i="1"/>
  <c r="I6" i="1"/>
  <c r="I20" i="1" s="1"/>
  <c r="I5" i="1"/>
  <c r="F6" i="1" l="1"/>
  <c r="G6" i="1"/>
  <c r="H6" i="1"/>
  <c r="F5" i="1"/>
  <c r="G5" i="1"/>
  <c r="H5" i="1"/>
  <c r="E6" i="1"/>
  <c r="E5" i="1"/>
  <c r="G13" i="1" l="1"/>
  <c r="H13" i="1" s="1"/>
  <c r="I13" i="1" s="1"/>
  <c r="F37" i="1"/>
  <c r="F47" i="1" s="1"/>
  <c r="E37" i="1"/>
  <c r="E47" i="1" s="1"/>
  <c r="E50" i="1"/>
  <c r="E51" i="1" s="1"/>
  <c r="E54" i="1" s="1"/>
  <c r="E55" i="1" s="1"/>
  <c r="G37" i="1"/>
  <c r="H37" i="1"/>
  <c r="H47" i="1" s="1"/>
  <c r="H20" i="1"/>
  <c r="J13" i="1" l="1"/>
  <c r="F51" i="1"/>
  <c r="F54" i="1" s="1"/>
  <c r="F55" i="1" s="1"/>
  <c r="E8" i="1"/>
  <c r="F8" i="1" s="1"/>
  <c r="G47" i="1"/>
  <c r="B30" i="1"/>
  <c r="E29" i="1"/>
  <c r="E28" i="1"/>
  <c r="F28" i="1" s="1"/>
  <c r="G28" i="1" s="1"/>
  <c r="F25" i="1"/>
  <c r="G25" i="1" s="1"/>
  <c r="H25" i="1" s="1"/>
  <c r="I25" i="1" s="1"/>
  <c r="B21" i="1"/>
  <c r="B23" i="1" s="1"/>
  <c r="G20" i="1"/>
  <c r="F20" i="1"/>
  <c r="F14" i="1"/>
  <c r="G14" i="1" s="1"/>
  <c r="H14" i="1" s="1"/>
  <c r="H15" i="1" l="1"/>
  <c r="I14" i="1"/>
  <c r="M19" i="1"/>
  <c r="G8" i="1"/>
  <c r="J25" i="1"/>
  <c r="G15" i="1"/>
  <c r="G30" i="1"/>
  <c r="H28" i="1"/>
  <c r="I28" i="1" s="1"/>
  <c r="J28" i="1" s="1"/>
  <c r="E30" i="1"/>
  <c r="B32" i="1"/>
  <c r="F15" i="1"/>
  <c r="F9" i="1"/>
  <c r="F10" i="1" s="1"/>
  <c r="F11" i="1" s="1"/>
  <c r="F29" i="1"/>
  <c r="G29" i="1" s="1"/>
  <c r="J14" i="1" l="1"/>
  <c r="J15" i="1" s="1"/>
  <c r="I15" i="1"/>
  <c r="H8" i="1"/>
  <c r="G9" i="1"/>
  <c r="G10" i="1" s="1"/>
  <c r="G11" i="1" s="1"/>
  <c r="G23" i="1" s="1"/>
  <c r="F21" i="1"/>
  <c r="F23" i="1"/>
  <c r="H30" i="1"/>
  <c r="G21" i="1"/>
  <c r="F22" i="1"/>
  <c r="F30" i="1"/>
  <c r="H29" i="1"/>
  <c r="I29" i="1" s="1"/>
  <c r="J29" i="1" s="1"/>
  <c r="J30" i="1" s="1"/>
  <c r="I30" i="1" l="1"/>
  <c r="I8" i="1"/>
  <c r="H9" i="1"/>
  <c r="H10" i="1" s="1"/>
  <c r="H11" i="1" s="1"/>
  <c r="G22" i="1"/>
  <c r="H22" i="1"/>
  <c r="F32" i="1"/>
  <c r="I9" i="1" l="1"/>
  <c r="I10" i="1" s="1"/>
  <c r="I11" i="1" s="1"/>
  <c r="J8" i="1"/>
  <c r="J9" i="1" s="1"/>
  <c r="J10" i="1" s="1"/>
  <c r="J11" i="1" s="1"/>
  <c r="H23" i="1"/>
  <c r="H21" i="1"/>
  <c r="H32" i="1"/>
  <c r="G32" i="1"/>
  <c r="G39" i="1" s="1"/>
  <c r="F35" i="1"/>
  <c r="J21" i="1" l="1"/>
  <c r="J23" i="1"/>
  <c r="J32" i="1" s="1"/>
  <c r="I23" i="1"/>
  <c r="I32" i="1" s="1"/>
  <c r="I38" i="1" s="1"/>
  <c r="I39" i="1" s="1"/>
  <c r="I51" i="1" s="1"/>
  <c r="I54" i="1" s="1"/>
  <c r="I55" i="1" s="1"/>
  <c r="I21" i="1"/>
  <c r="G51" i="1"/>
  <c r="G54" i="1" s="1"/>
  <c r="G55" i="1" s="1"/>
  <c r="E20" i="1" l="1"/>
  <c r="E9" i="1" l="1"/>
  <c r="E11" i="1" s="1"/>
  <c r="E15" i="1"/>
  <c r="E22" i="1" s="1"/>
  <c r="E21" i="1" l="1"/>
  <c r="E23" i="1"/>
  <c r="E32" i="1"/>
  <c r="H42" i="1" l="1"/>
  <c r="H34" i="1" s="1"/>
  <c r="J42" i="1"/>
  <c r="H43" i="1"/>
  <c r="H51" i="1"/>
  <c r="H54" i="1" s="1"/>
  <c r="H55" i="1" s="1"/>
  <c r="J51" i="1" l="1"/>
  <c r="J54" i="1" s="1"/>
  <c r="J55" i="1" s="1"/>
  <c r="J4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Tyler Kasubeck</author>
  </authors>
  <commentList>
    <comment ref="A3" authorId="0" shapeId="0" xr:uid="{2B26826A-49A2-49B1-B3EA-A56ABC722A2B}">
      <text>
        <r>
          <rPr>
            <b/>
            <sz val="9"/>
            <color indexed="81"/>
            <rFont val="Tahoma"/>
            <family val="2"/>
          </rPr>
          <t>Tyler Kasubeck:</t>
        </r>
        <r>
          <rPr>
            <sz val="9"/>
            <color indexed="81"/>
            <rFont val="Tahoma"/>
            <family val="2"/>
          </rPr>
          <t xml:space="preserve">
an input from the systems engineer operator</t>
        </r>
      </text>
    </comment>
    <comment ref="A8" authorId="0" shapeId="0" xr:uid="{1D70C498-8520-4F65-8CC9-77EF114B8483}">
      <text>
        <r>
          <rPr>
            <b/>
            <sz val="9"/>
            <color indexed="81"/>
            <rFont val="Tahoma"/>
            <family val="2"/>
          </rPr>
          <t>Tyler Kasubeck:</t>
        </r>
        <r>
          <rPr>
            <sz val="9"/>
            <color indexed="81"/>
            <rFont val="Tahoma"/>
            <family val="2"/>
          </rPr>
          <t xml:space="preserve">
do we use COP before or after GL adjustments? Wht about HST? Can we just plug in the total rate class COP into bill impacts?</t>
        </r>
      </text>
    </comment>
    <comment ref="B25" authorId="0" shapeId="0" xr:uid="{0A928D0B-5991-4940-8966-276F628FFBC4}">
      <text>
        <r>
          <rPr>
            <b/>
            <sz val="9"/>
            <color indexed="81"/>
            <rFont val="Tahoma"/>
            <family val="2"/>
          </rPr>
          <t>Tyler Kasubeck:</t>
        </r>
        <r>
          <rPr>
            <sz val="9"/>
            <color indexed="81"/>
            <rFont val="Tahoma"/>
            <family val="2"/>
          </rPr>
          <t xml:space="preserve">
this number revised from 1754862. noticed an error in the ICM model. did not update that project costs based on new cwip rates released by OEB. The half year rev req was accurate in original submission at 875,610</t>
        </r>
      </text>
    </comment>
    <comment ref="A26" authorId="0" shapeId="0" xr:uid="{21A98BD1-B3C1-4194-BEAB-4B5C2E986C5F}">
      <text>
        <r>
          <rPr>
            <b/>
            <sz val="9"/>
            <color indexed="81"/>
            <rFont val="Tahoma"/>
            <family val="2"/>
          </rPr>
          <t>Tyler Kasubeck:</t>
        </r>
        <r>
          <rPr>
            <sz val="9"/>
            <color indexed="81"/>
            <rFont val="Tahoma"/>
            <family val="2"/>
          </rPr>
          <t xml:space="preserve">
do we leave at 304390. need to conifrm with kevin</t>
        </r>
      </text>
    </comment>
    <comment ref="F35" authorId="0" shapeId="0" xr:uid="{FDCF82DB-402D-4914-8EEC-94EA75A65376}">
      <text>
        <r>
          <rPr>
            <b/>
            <sz val="9"/>
            <color indexed="81"/>
            <rFont val="Tahoma"/>
            <family val="2"/>
          </rPr>
          <t>Tyler Kasubeck:</t>
        </r>
        <r>
          <rPr>
            <sz val="9"/>
            <color indexed="81"/>
            <rFont val="Tahoma"/>
            <family val="2"/>
          </rPr>
          <t xml:space="preserve">
</t>
        </r>
      </text>
    </comment>
    <comment ref="G35" authorId="0" shapeId="0" xr:uid="{6C6D2F66-2A2C-4034-ACA3-2AA45B289E3E}">
      <text>
        <r>
          <rPr>
            <b/>
            <sz val="9"/>
            <color indexed="81"/>
            <rFont val="Tahoma"/>
            <family val="2"/>
          </rPr>
          <t>Tyler Kasubeck:</t>
        </r>
        <r>
          <rPr>
            <sz val="9"/>
            <color indexed="81"/>
            <rFont val="Tahoma"/>
            <family val="2"/>
          </rPr>
          <t xml:space="preserve">
falls within the band of $0 to 616,897
</t>
        </r>
      </text>
    </comment>
    <comment ref="H35" authorId="0" shapeId="0" xr:uid="{0FC897E4-3A9D-49B1-BF56-0E264FB0856F}">
      <text>
        <r>
          <rPr>
            <b/>
            <sz val="9"/>
            <color indexed="81"/>
            <rFont val="Tahoma"/>
            <family val="2"/>
          </rPr>
          <t>Tyler Kasubeck:</t>
        </r>
        <r>
          <rPr>
            <sz val="9"/>
            <color indexed="81"/>
            <rFont val="Tahoma"/>
            <family val="2"/>
          </rPr>
          <t xml:space="preserve">
falls within the band of $0 to 616,897
</t>
        </r>
      </text>
    </comment>
    <comment ref="I35" authorId="0" shapeId="0" xr:uid="{42ADEF9A-1D82-4A12-84A3-832F689BB3BF}">
      <text>
        <r>
          <rPr>
            <b/>
            <sz val="9"/>
            <color indexed="81"/>
            <rFont val="Tahoma"/>
            <family val="2"/>
          </rPr>
          <t>Tyler Kasubeck:</t>
        </r>
        <r>
          <rPr>
            <sz val="9"/>
            <color indexed="81"/>
            <rFont val="Tahoma"/>
            <family val="2"/>
          </rPr>
          <t xml:space="preserve">
falls within the band of $0 to 616,897
</t>
        </r>
      </text>
    </comment>
    <comment ref="J35" authorId="0" shapeId="0" xr:uid="{7BF16409-EC0F-4948-A15D-CEC350557688}">
      <text>
        <r>
          <rPr>
            <b/>
            <sz val="9"/>
            <color indexed="81"/>
            <rFont val="Tahoma"/>
            <family val="2"/>
          </rPr>
          <t>Tyler Kasubeck:</t>
        </r>
        <r>
          <rPr>
            <sz val="9"/>
            <color indexed="81"/>
            <rFont val="Tahoma"/>
            <family val="2"/>
          </rPr>
          <t xml:space="preserve">
falls within the band of $0 to 616,897
</t>
        </r>
      </text>
    </comment>
  </commentList>
</comments>
</file>

<file path=xl/sharedStrings.xml><?xml version="1.0" encoding="utf-8"?>
<sst xmlns="http://schemas.openxmlformats.org/spreadsheetml/2006/main" count="69" uniqueCount="67">
  <si>
    <t>Customer Net Benefit Summary</t>
  </si>
  <si>
    <t>SSG ICM Application Argument in Chief</t>
  </si>
  <si>
    <t>PUC Annual Consumption</t>
  </si>
  <si>
    <t>% Savings</t>
  </si>
  <si>
    <t xml:space="preserve">PUC Cost of Power Paid </t>
  </si>
  <si>
    <t>Avg $/kWh</t>
  </si>
  <si>
    <t>PUC Cost of Power Paid without SSG consumption savings</t>
  </si>
  <si>
    <t>Customer Energy Savings ($)</t>
  </si>
  <si>
    <t>PUC Approved loss Factor</t>
  </si>
  <si>
    <t>enbridge merger</t>
  </si>
  <si>
    <t>PUC Actual Loss Factor</t>
  </si>
  <si>
    <t>Consumption Savings from Loss Factor</t>
  </si>
  <si>
    <t>Cost of Power - updated to current estimate (not including GS&gt;50 on 34.5kV)</t>
  </si>
  <si>
    <t>Projected energy savings with SSG implementation</t>
  </si>
  <si>
    <t>Projected customer energy savings through SSG</t>
  </si>
  <si>
    <t>Projected system loss energy savings through SSG</t>
  </si>
  <si>
    <t>Total purchased power savings</t>
  </si>
  <si>
    <t>Additional revenue from increased SSG asset base</t>
  </si>
  <si>
    <t>Benefit of reduced capital expenditures witth SSG</t>
  </si>
  <si>
    <t>OEB Inflationary increase minus stretch</t>
  </si>
  <si>
    <t>Additional O &amp; M expenses due to SSG implementation</t>
  </si>
  <si>
    <t>Operating efficiency benefits due to SSG implementation</t>
  </si>
  <si>
    <t>Change In Revenue Requirement</t>
  </si>
  <si>
    <t>Annual net benefit to customers</t>
  </si>
  <si>
    <t>Collection or Refund (-) from Customer</t>
  </si>
  <si>
    <t>Collection or Refund (-) from Customer (Based on Method A)</t>
  </si>
  <si>
    <t>Journal Entry</t>
  </si>
  <si>
    <t xml:space="preserve">4080 Distribution Revenue </t>
  </si>
  <si>
    <t xml:space="preserve">to record the reduction in savings to PUC customers. </t>
  </si>
  <si>
    <t>VVO Linkage to ROE</t>
  </si>
  <si>
    <t>2023 Board Approved Rate Base</t>
  </si>
  <si>
    <t>2023 Board Approved Net Income</t>
  </si>
  <si>
    <t>2023 VVO linked Net Income</t>
  </si>
  <si>
    <t>2023 Board Approved ROE</t>
  </si>
  <si>
    <t>2023 VVO linked ROE</t>
  </si>
  <si>
    <t>Reduction in ROE</t>
  </si>
  <si>
    <t>PUC Consumption without SSG (projection from LF)</t>
  </si>
  <si>
    <t>Measured (estimate) VVO Consumption Savings</t>
  </si>
  <si>
    <t>Dollar Savings from Loss Factor consumption reduction (Appendix AA14)</t>
  </si>
  <si>
    <t>Top of Dead Band</t>
  </si>
  <si>
    <t>Bottom of Dead Band</t>
  </si>
  <si>
    <t>Scenario 1</t>
  </si>
  <si>
    <t>Scenario 2</t>
  </si>
  <si>
    <t>Scenario 3</t>
  </si>
  <si>
    <t>Scenario 4</t>
  </si>
  <si>
    <t>Formulas</t>
  </si>
  <si>
    <t>D = A+B</t>
  </si>
  <si>
    <t>E = A/B</t>
  </si>
  <si>
    <t>F = C/B</t>
  </si>
  <si>
    <t>G  = D*F</t>
  </si>
  <si>
    <t>H = G-C</t>
  </si>
  <si>
    <t>(I)</t>
  </si>
  <si>
    <t>J = H+I</t>
  </si>
  <si>
    <t xml:space="preserve">K </t>
  </si>
  <si>
    <t>L</t>
  </si>
  <si>
    <t>M</t>
  </si>
  <si>
    <t>N</t>
  </si>
  <si>
    <t>A</t>
  </si>
  <si>
    <t>B</t>
  </si>
  <si>
    <t>C</t>
  </si>
  <si>
    <t>O = K+L+M+N</t>
  </si>
  <si>
    <t>P = J-O</t>
  </si>
  <si>
    <t>Additions to Table</t>
  </si>
  <si>
    <t>2023 VVO Linked to ROE of SSG Assets Only</t>
  </si>
  <si>
    <t>Reduction or Increase in ROE of SSG Asset only</t>
  </si>
  <si>
    <t xml:space="preserve">to record the increase in savings to PUC customers. </t>
  </si>
  <si>
    <t>1508 Other Regulatory Assets, Sub-account Incremental VVO Costs or Savings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</si>
</sst>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44" formatCode="_(&quot;$&quot;* #,##0.00_);_(&quot;$&quot;* \(#,##0.00\);_(&quot;$&quot;* &quot;-&quot;??_);_(@_)"/>
    <numFmt numFmtId="43" formatCode="_(* #,##0.00_);_(* \(#,##0.00\);_(* &quot;-&quot;??_);_(@_)"/>
    <numFmt numFmtId="164" formatCode="_-&quot;$&quot;* #,##0.00_-;\-&quot;$&quot;* #,##0.00_-;_-&quot;$&quot;* &quot;-&quot;??_-;_-@_-"/>
    <numFmt numFmtId="165" formatCode="_(* #,##0_);_(* \(#,##0\);_(* &quot;-&quot;??_);_(@_)"/>
    <numFmt numFmtId="166" formatCode="_-&quot;$&quot;* #,##0_-;\-&quot;$&quot;* #,##0_-;_-&quot;$&quot;* &quot;-&quot;??_-;_-@_-"/>
    <numFmt numFmtId="167" formatCode="0.0000"/>
    <numFmt numFmtId="168" formatCode="0.0%"/>
    <numFmt numFmtId="169" formatCode="&quot;$&quot;#,##0"/>
    <numFmt numFmtId="170" formatCode="0.00000%"/>
    <numFmt numFmtId="171" formatCode="0.0000000"/>
  </numFmts>
  <fonts count="9"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i/>
      <sz val="10"/>
      <color theme="1"/>
      <name val="Calibri"/>
      <family val="2"/>
      <scheme val="minor"/>
    </font>
    <font>
      <b/>
      <sz val="9"/>
      <color indexed="81"/>
      <name val="Tahoma"/>
      <family val="2"/>
    </font>
    <font>
      <sz val="9"/>
      <color indexed="81"/>
      <name val="Tahoma"/>
      <family val="2"/>
    </font>
    <font>
      <b/>
      <sz val="11"/>
      <color theme="0"/>
      <name val="Calibri"/>
      <family val="2"/>
      <scheme val="minor"/>
    </font>
    <font>
      <sz val="11"/>
      <color theme="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rgb="FF100B6F"/>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auto="1"/>
      </top>
      <bottom style="thin">
        <color auto="1"/>
      </bottom>
      <diagonal/>
    </border>
    <border>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thin">
        <color auto="1"/>
      </left>
      <right style="medium">
        <color indexed="64"/>
      </right>
      <top style="medium">
        <color indexed="64"/>
      </top>
      <bottom style="thin">
        <color auto="1"/>
      </bottom>
      <diagonal/>
    </border>
    <border>
      <left style="medium">
        <color indexed="64"/>
      </left>
      <right style="thin">
        <color auto="1"/>
      </right>
      <top/>
      <bottom/>
      <diagonal/>
    </border>
    <border>
      <left style="thin">
        <color auto="1"/>
      </left>
      <right style="medium">
        <color indexed="64"/>
      </right>
      <top/>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121">
    <xf numFmtId="0" fontId="0" fillId="0" borderId="0" xfId="0"/>
    <xf numFmtId="0" fontId="3" fillId="0" borderId="4" xfId="0" applyFont="1" applyBorder="1" applyAlignment="1">
      <alignment horizontal="center" wrapText="1"/>
    </xf>
    <xf numFmtId="165" fontId="1" fillId="2" borderId="4" xfId="1" applyNumberFormat="1" applyFont="1" applyFill="1" applyBorder="1" applyAlignment="1">
      <alignment horizontal="center"/>
    </xf>
    <xf numFmtId="0" fontId="3" fillId="0" borderId="1" xfId="0" applyFont="1" applyBorder="1" applyAlignment="1">
      <alignment horizontal="center" wrapText="1"/>
    </xf>
    <xf numFmtId="165" fontId="1" fillId="2" borderId="1" xfId="1" applyNumberFormat="1" applyFont="1" applyFill="1" applyBorder="1" applyAlignment="1">
      <alignment horizontal="center"/>
    </xf>
    <xf numFmtId="165" fontId="1" fillId="0" borderId="1" xfId="1" applyNumberFormat="1" applyFont="1" applyBorder="1" applyAlignment="1">
      <alignment horizontal="center"/>
    </xf>
    <xf numFmtId="0" fontId="3" fillId="0" borderId="7" xfId="0" applyFont="1" applyBorder="1" applyAlignment="1">
      <alignment horizontal="center" wrapText="1"/>
    </xf>
    <xf numFmtId="10" fontId="1" fillId="0" borderId="7" xfId="3" applyNumberFormat="1" applyFont="1" applyBorder="1" applyAlignment="1">
      <alignment horizontal="center"/>
    </xf>
    <xf numFmtId="0" fontId="3" fillId="0" borderId="8" xfId="0" applyFont="1" applyBorder="1" applyAlignment="1">
      <alignment horizontal="center" wrapText="1"/>
    </xf>
    <xf numFmtId="43" fontId="3" fillId="0" borderId="8" xfId="0" applyNumberFormat="1" applyFont="1" applyBorder="1" applyAlignment="1">
      <alignment horizontal="center"/>
    </xf>
    <xf numFmtId="0" fontId="3" fillId="0" borderId="8" xfId="0" applyFont="1" applyBorder="1" applyAlignment="1">
      <alignment horizontal="center"/>
    </xf>
    <xf numFmtId="167" fontId="1" fillId="0" borderId="1" xfId="2" applyNumberFormat="1" applyFont="1" applyBorder="1" applyAlignment="1">
      <alignment horizontal="right"/>
    </xf>
    <xf numFmtId="166" fontId="1" fillId="0" borderId="1" xfId="2" applyNumberFormat="1" applyFont="1" applyBorder="1" applyAlignment="1">
      <alignment horizontal="center"/>
    </xf>
    <xf numFmtId="166" fontId="1" fillId="3" borderId="7" xfId="2" applyNumberFormat="1" applyFont="1" applyFill="1" applyBorder="1" applyAlignment="1">
      <alignment horizontal="center"/>
    </xf>
    <xf numFmtId="166" fontId="1" fillId="0" borderId="8" xfId="2" applyNumberFormat="1" applyFont="1" applyFill="1" applyBorder="1" applyAlignment="1">
      <alignment horizontal="center"/>
    </xf>
    <xf numFmtId="167" fontId="1" fillId="0" borderId="4" xfId="2" applyNumberFormat="1" applyFont="1" applyFill="1" applyBorder="1" applyAlignment="1">
      <alignment horizontal="center"/>
    </xf>
    <xf numFmtId="167" fontId="1" fillId="2" borderId="1" xfId="2" applyNumberFormat="1" applyFont="1" applyFill="1" applyBorder="1" applyAlignment="1">
      <alignment horizontal="center"/>
    </xf>
    <xf numFmtId="0" fontId="3" fillId="0" borderId="9" xfId="0" applyFont="1" applyBorder="1" applyAlignment="1">
      <alignment horizontal="center" wrapText="1"/>
    </xf>
    <xf numFmtId="165" fontId="1" fillId="0" borderId="9" xfId="1" applyNumberFormat="1" applyFont="1" applyFill="1" applyBorder="1" applyAlignment="1">
      <alignment horizontal="center"/>
    </xf>
    <xf numFmtId="0" fontId="3" fillId="0" borderId="9" xfId="0" applyFont="1" applyBorder="1" applyAlignment="1">
      <alignment horizontal="center"/>
    </xf>
    <xf numFmtId="166" fontId="0" fillId="0" borderId="1" xfId="2" applyNumberFormat="1" applyFont="1" applyBorder="1" applyAlignment="1">
      <alignment vertical="center"/>
    </xf>
    <xf numFmtId="0" fontId="0" fillId="0" borderId="1" xfId="0" applyBorder="1"/>
    <xf numFmtId="166" fontId="0" fillId="0" borderId="1" xfId="2" applyNumberFormat="1" applyFont="1" applyFill="1" applyBorder="1" applyAlignment="1">
      <alignment vertical="center"/>
    </xf>
    <xf numFmtId="6" fontId="2" fillId="0" borderId="1" xfId="2" applyNumberFormat="1" applyFont="1" applyBorder="1" applyAlignment="1">
      <alignment vertical="center"/>
    </xf>
    <xf numFmtId="168" fontId="1" fillId="2" borderId="1" xfId="3" applyNumberFormat="1" applyFont="1" applyFill="1" applyBorder="1" applyAlignment="1">
      <alignment vertical="center"/>
    </xf>
    <xf numFmtId="168" fontId="1" fillId="2" borderId="1" xfId="2" applyNumberFormat="1" applyFont="1" applyFill="1" applyBorder="1" applyAlignment="1">
      <alignment vertical="center"/>
    </xf>
    <xf numFmtId="0" fontId="0" fillId="3" borderId="0" xfId="0" applyFill="1"/>
    <xf numFmtId="0" fontId="0" fillId="0" borderId="0" xfId="0" applyAlignment="1">
      <alignment vertical="center"/>
    </xf>
    <xf numFmtId="166" fontId="0" fillId="0" borderId="0" xfId="2" applyNumberFormat="1" applyFont="1" applyFill="1" applyBorder="1" applyAlignment="1">
      <alignment vertical="center"/>
    </xf>
    <xf numFmtId="37" fontId="0" fillId="0" borderId="0" xfId="2" applyNumberFormat="1" applyFont="1" applyFill="1" applyBorder="1" applyAlignment="1">
      <alignment vertical="center"/>
    </xf>
    <xf numFmtId="166" fontId="3" fillId="0" borderId="1" xfId="2" applyNumberFormat="1" applyFont="1" applyFill="1" applyBorder="1" applyAlignment="1">
      <alignment vertical="center"/>
    </xf>
    <xf numFmtId="169" fontId="0" fillId="0" borderId="1" xfId="2" applyNumberFormat="1" applyFont="1" applyFill="1" applyBorder="1" applyAlignment="1">
      <alignment horizontal="left" vertical="center"/>
    </xf>
    <xf numFmtId="169" fontId="0" fillId="0" borderId="1" xfId="2" applyNumberFormat="1" applyFont="1" applyFill="1" applyBorder="1" applyAlignment="1">
      <alignment horizontal="left" vertical="center" indent="4"/>
    </xf>
    <xf numFmtId="0" fontId="4" fillId="0" borderId="0" xfId="0" applyFont="1" applyAlignment="1">
      <alignment vertical="center"/>
    </xf>
    <xf numFmtId="166" fontId="3" fillId="0" borderId="0" xfId="2" applyNumberFormat="1" applyFont="1" applyFill="1" applyBorder="1" applyAlignment="1">
      <alignment vertical="center"/>
    </xf>
    <xf numFmtId="9" fontId="3" fillId="0" borderId="1" xfId="3" applyFont="1" applyFill="1" applyBorder="1" applyAlignment="1">
      <alignment vertical="center"/>
    </xf>
    <xf numFmtId="10" fontId="0" fillId="0" borderId="1" xfId="3" applyNumberFormat="1" applyFont="1" applyFill="1" applyBorder="1" applyAlignment="1">
      <alignment vertical="center"/>
    </xf>
    <xf numFmtId="170" fontId="0" fillId="0" borderId="0" xfId="3" applyNumberFormat="1" applyFont="1" applyAlignment="1">
      <alignment vertical="center"/>
    </xf>
    <xf numFmtId="0" fontId="3" fillId="0" borderId="0" xfId="0" applyFont="1"/>
    <xf numFmtId="169" fontId="0" fillId="0" borderId="0" xfId="0" applyNumberFormat="1"/>
    <xf numFmtId="169" fontId="3" fillId="0" borderId="0" xfId="0" applyNumberFormat="1" applyFont="1"/>
    <xf numFmtId="0" fontId="0" fillId="0" borderId="5" xfId="0" applyBorder="1" applyAlignment="1">
      <alignment horizontal="left" vertical="center"/>
    </xf>
    <xf numFmtId="169" fontId="0" fillId="0" borderId="10" xfId="2" applyNumberFormat="1" applyFont="1" applyFill="1" applyBorder="1" applyAlignment="1">
      <alignment horizontal="left" vertical="center"/>
    </xf>
    <xf numFmtId="0" fontId="0" fillId="0" borderId="5" xfId="0" applyBorder="1" applyAlignment="1">
      <alignment horizontal="left" vertical="center" indent="5"/>
    </xf>
    <xf numFmtId="169" fontId="0" fillId="0" borderId="10" xfId="2" applyNumberFormat="1" applyFont="1" applyFill="1" applyBorder="1" applyAlignment="1">
      <alignment horizontal="left" vertical="center" indent="4"/>
    </xf>
    <xf numFmtId="166" fontId="0" fillId="0" borderId="10" xfId="2" applyNumberFormat="1" applyFont="1" applyFill="1" applyBorder="1" applyAlignment="1">
      <alignment vertical="center"/>
    </xf>
    <xf numFmtId="166" fontId="3" fillId="0" borderId="7" xfId="2" applyNumberFormat="1" applyFont="1" applyFill="1" applyBorder="1" applyAlignment="1">
      <alignment vertical="center"/>
    </xf>
    <xf numFmtId="0" fontId="0" fillId="0" borderId="5" xfId="0" applyBorder="1" applyAlignment="1">
      <alignment vertical="center"/>
    </xf>
    <xf numFmtId="10" fontId="0" fillId="0" borderId="10" xfId="3" applyNumberFormat="1" applyFont="1" applyFill="1" applyBorder="1" applyAlignment="1">
      <alignment vertical="center"/>
    </xf>
    <xf numFmtId="0" fontId="0" fillId="0" borderId="6" xfId="0" applyBorder="1" applyAlignment="1">
      <alignment vertical="center"/>
    </xf>
    <xf numFmtId="10" fontId="0" fillId="0" borderId="7" xfId="3" applyNumberFormat="1" applyFont="1" applyFill="1" applyBorder="1" applyAlignment="1">
      <alignment vertical="center"/>
    </xf>
    <xf numFmtId="10" fontId="0" fillId="0" borderId="11" xfId="3" applyNumberFormat="1" applyFont="1" applyFill="1" applyBorder="1" applyAlignment="1">
      <alignment vertical="center"/>
    </xf>
    <xf numFmtId="10" fontId="0" fillId="0" borderId="9" xfId="0" applyNumberFormat="1" applyBorder="1" applyAlignment="1">
      <alignment vertical="center"/>
    </xf>
    <xf numFmtId="166" fontId="0" fillId="0" borderId="7" xfId="2" applyNumberFormat="1" applyFont="1" applyBorder="1" applyAlignment="1">
      <alignment vertical="center"/>
    </xf>
    <xf numFmtId="166" fontId="3" fillId="0" borderId="1" xfId="2" applyNumberFormat="1" applyFont="1" applyBorder="1" applyAlignment="1">
      <alignment vertical="center"/>
    </xf>
    <xf numFmtId="166" fontId="3" fillId="3" borderId="1" xfId="2" applyNumberFormat="1" applyFont="1" applyFill="1" applyBorder="1" applyAlignment="1">
      <alignment vertical="center"/>
    </xf>
    <xf numFmtId="166" fontId="0" fillId="0" borderId="9" xfId="2" applyNumberFormat="1" applyFont="1" applyBorder="1" applyAlignment="1">
      <alignment vertical="center"/>
    </xf>
    <xf numFmtId="6" fontId="2" fillId="0" borderId="7" xfId="2" applyNumberFormat="1" applyFont="1" applyBorder="1" applyAlignment="1">
      <alignment vertical="center"/>
    </xf>
    <xf numFmtId="44" fontId="0" fillId="0" borderId="0" xfId="0" applyNumberFormat="1"/>
    <xf numFmtId="171" fontId="0" fillId="0" borderId="0" xfId="0" applyNumberFormat="1"/>
    <xf numFmtId="0" fontId="0" fillId="0" borderId="5" xfId="0" applyBorder="1" applyAlignment="1">
      <alignment horizontal="left" vertical="center" wrapText="1"/>
    </xf>
    <xf numFmtId="0" fontId="0" fillId="0" borderId="5" xfId="0" applyBorder="1" applyAlignment="1">
      <alignment horizontal="left" vertical="center" wrapText="1" indent="5"/>
    </xf>
    <xf numFmtId="166" fontId="3" fillId="4" borderId="0" xfId="2" applyNumberFormat="1" applyFont="1" applyFill="1" applyBorder="1" applyAlignment="1">
      <alignment vertical="center"/>
    </xf>
    <xf numFmtId="166" fontId="0" fillId="4" borderId="0" xfId="2" applyNumberFormat="1" applyFont="1" applyFill="1" applyBorder="1" applyAlignment="1">
      <alignment vertical="center"/>
    </xf>
    <xf numFmtId="0" fontId="4" fillId="4" borderId="12" xfId="0" applyFont="1" applyFill="1" applyBorder="1" applyAlignment="1">
      <alignment vertical="center"/>
    </xf>
    <xf numFmtId="166" fontId="0" fillId="4" borderId="13" xfId="2" applyNumberFormat="1" applyFont="1" applyFill="1" applyBorder="1" applyAlignment="1">
      <alignment vertical="center"/>
    </xf>
    <xf numFmtId="166" fontId="3" fillId="0" borderId="1" xfId="2" applyNumberFormat="1" applyFont="1" applyBorder="1" applyAlignment="1">
      <alignment horizontal="center" vertical="center"/>
    </xf>
    <xf numFmtId="0" fontId="0" fillId="0" borderId="6" xfId="0" applyBorder="1" applyAlignment="1">
      <alignment wrapText="1"/>
    </xf>
    <xf numFmtId="166" fontId="3" fillId="0" borderId="1" xfId="2" applyNumberFormat="1" applyFont="1" applyFill="1" applyBorder="1" applyAlignment="1">
      <alignment horizontal="center" vertical="center"/>
    </xf>
    <xf numFmtId="166" fontId="3" fillId="0" borderId="9" xfId="2" applyNumberFormat="1" applyFont="1" applyBorder="1" applyAlignment="1">
      <alignment horizontal="center" vertical="center"/>
    </xf>
    <xf numFmtId="0" fontId="8" fillId="5" borderId="20" xfId="0" applyFont="1" applyFill="1" applyBorder="1" applyAlignment="1">
      <alignment horizontal="center" vertical="center"/>
    </xf>
    <xf numFmtId="0" fontId="7" fillId="5" borderId="21" xfId="0" applyFont="1" applyFill="1" applyBorder="1" applyAlignment="1">
      <alignment horizontal="center" vertical="center" wrapText="1"/>
    </xf>
    <xf numFmtId="0" fontId="7" fillId="5" borderId="22" xfId="0" applyFont="1" applyFill="1" applyBorder="1" applyAlignment="1">
      <alignment horizontal="center" vertical="center" wrapText="1"/>
    </xf>
    <xf numFmtId="165" fontId="1" fillId="2" borderId="23" xfId="1" applyNumberFormat="1" applyFont="1" applyFill="1" applyBorder="1" applyAlignment="1">
      <alignment horizontal="center"/>
    </xf>
    <xf numFmtId="165" fontId="1" fillId="2" borderId="10" xfId="1" applyNumberFormat="1" applyFont="1" applyFill="1" applyBorder="1" applyAlignment="1">
      <alignment horizontal="center"/>
    </xf>
    <xf numFmtId="165" fontId="1" fillId="0" borderId="10" xfId="1" applyNumberFormat="1" applyFont="1" applyBorder="1" applyAlignment="1">
      <alignment horizontal="center"/>
    </xf>
    <xf numFmtId="10" fontId="1" fillId="0" borderId="11" xfId="3" applyNumberFormat="1" applyFont="1" applyBorder="1" applyAlignment="1">
      <alignment horizontal="center"/>
    </xf>
    <xf numFmtId="0" fontId="3" fillId="0" borderId="25" xfId="0" applyFont="1" applyBorder="1" applyAlignment="1">
      <alignment horizontal="center"/>
    </xf>
    <xf numFmtId="167" fontId="1" fillId="0" borderId="10" xfId="2" applyNumberFormat="1" applyFont="1" applyBorder="1" applyAlignment="1">
      <alignment horizontal="right"/>
    </xf>
    <xf numFmtId="166" fontId="1" fillId="0" borderId="10" xfId="2" applyNumberFormat="1" applyFont="1" applyBorder="1" applyAlignment="1">
      <alignment horizontal="center"/>
    </xf>
    <xf numFmtId="166" fontId="1" fillId="3" borderId="11" xfId="2" applyNumberFormat="1" applyFont="1" applyFill="1" applyBorder="1" applyAlignment="1">
      <alignment horizontal="center"/>
    </xf>
    <xf numFmtId="167" fontId="1" fillId="0" borderId="23" xfId="2" applyNumberFormat="1" applyFont="1" applyFill="1" applyBorder="1" applyAlignment="1">
      <alignment horizontal="center"/>
    </xf>
    <xf numFmtId="167" fontId="1" fillId="2" borderId="10" xfId="2" applyNumberFormat="1" applyFont="1" applyFill="1" applyBorder="1" applyAlignment="1">
      <alignment horizontal="center"/>
    </xf>
    <xf numFmtId="0" fontId="3" fillId="0" borderId="27" xfId="0" applyFont="1" applyBorder="1" applyAlignment="1">
      <alignment horizontal="center"/>
    </xf>
    <xf numFmtId="166" fontId="0" fillId="0" borderId="10" xfId="2" applyNumberFormat="1" applyFont="1" applyBorder="1" applyAlignment="1">
      <alignment vertical="center"/>
    </xf>
    <xf numFmtId="166" fontId="0" fillId="0" borderId="11" xfId="2" applyNumberFormat="1" applyFont="1" applyBorder="1" applyAlignment="1">
      <alignment vertical="center"/>
    </xf>
    <xf numFmtId="10" fontId="0" fillId="0" borderId="27" xfId="0" applyNumberFormat="1" applyBorder="1" applyAlignment="1">
      <alignment vertical="center"/>
    </xf>
    <xf numFmtId="166" fontId="3" fillId="3" borderId="10" xfId="2" applyNumberFormat="1" applyFont="1" applyFill="1" applyBorder="1" applyAlignment="1">
      <alignment vertical="center"/>
    </xf>
    <xf numFmtId="6" fontId="2" fillId="0" borderId="10" xfId="2" applyNumberFormat="1" applyFont="1" applyBorder="1" applyAlignment="1">
      <alignment vertical="center"/>
    </xf>
    <xf numFmtId="168" fontId="1" fillId="2" borderId="10" xfId="2" applyNumberFormat="1" applyFont="1" applyFill="1" applyBorder="1" applyAlignment="1">
      <alignment vertical="center"/>
    </xf>
    <xf numFmtId="6" fontId="2" fillId="0" borderId="11" xfId="2" applyNumberFormat="1" applyFont="1" applyBorder="1" applyAlignment="1">
      <alignment vertical="center"/>
    </xf>
    <xf numFmtId="166" fontId="0" fillId="0" borderId="27" xfId="2" applyNumberFormat="1" applyFont="1" applyBorder="1" applyAlignment="1">
      <alignment vertical="center"/>
    </xf>
    <xf numFmtId="166" fontId="0" fillId="3" borderId="7" xfId="2" applyNumberFormat="1" applyFont="1" applyFill="1" applyBorder="1" applyAlignment="1">
      <alignment vertical="center"/>
    </xf>
    <xf numFmtId="166" fontId="3" fillId="3" borderId="7" xfId="2" applyNumberFormat="1" applyFont="1" applyFill="1" applyBorder="1" applyAlignment="1">
      <alignment horizontal="center" vertical="center"/>
    </xf>
    <xf numFmtId="166" fontId="0" fillId="3" borderId="11" xfId="2" applyNumberFormat="1" applyFont="1" applyFill="1" applyBorder="1" applyAlignment="1">
      <alignment vertical="center"/>
    </xf>
    <xf numFmtId="0" fontId="0" fillId="0" borderId="3" xfId="0" applyBorder="1" applyAlignment="1">
      <alignment wrapText="1"/>
    </xf>
    <xf numFmtId="0" fontId="0" fillId="0" borderId="5" xfId="0" applyBorder="1" applyAlignment="1">
      <alignment wrapText="1"/>
    </xf>
    <xf numFmtId="0" fontId="0" fillId="0" borderId="24" xfId="0" applyBorder="1" applyAlignment="1">
      <alignment wrapText="1"/>
    </xf>
    <xf numFmtId="0" fontId="0" fillId="0" borderId="26" xfId="0" applyBorder="1" applyAlignment="1">
      <alignment wrapText="1"/>
    </xf>
    <xf numFmtId="0" fontId="0" fillId="0" borderId="5" xfId="0" applyBorder="1" applyAlignment="1">
      <alignment vertical="center" wrapText="1"/>
    </xf>
    <xf numFmtId="0" fontId="0" fillId="0" borderId="6" xfId="0" applyBorder="1" applyAlignment="1">
      <alignment vertical="center" wrapText="1"/>
    </xf>
    <xf numFmtId="0" fontId="0" fillId="0" borderId="26" xfId="0" applyBorder="1" applyAlignment="1">
      <alignment vertical="center" wrapText="1"/>
    </xf>
    <xf numFmtId="0" fontId="3" fillId="0" borderId="5" xfId="0" applyFont="1" applyBorder="1" applyAlignment="1">
      <alignment vertical="center" wrapText="1"/>
    </xf>
    <xf numFmtId="0" fontId="0" fillId="3" borderId="6" xfId="0" applyFill="1" applyBorder="1" applyAlignment="1">
      <alignment vertical="center" wrapText="1"/>
    </xf>
    <xf numFmtId="0" fontId="3" fillId="0" borderId="24" xfId="0" applyFont="1" applyBorder="1" applyAlignment="1">
      <alignment horizontal="center" vertical="center"/>
    </xf>
    <xf numFmtId="0" fontId="0" fillId="0" borderId="1" xfId="0" applyBorder="1" applyAlignment="1">
      <alignment vertical="center"/>
    </xf>
    <xf numFmtId="10" fontId="0" fillId="0" borderId="1" xfId="3" applyNumberFormat="1" applyFont="1" applyBorder="1"/>
    <xf numFmtId="10" fontId="0" fillId="0" borderId="1" xfId="0" applyNumberFormat="1" applyBorder="1"/>
    <xf numFmtId="166" fontId="1" fillId="0" borderId="4" xfId="2" applyNumberFormat="1" applyFont="1" applyFill="1" applyBorder="1" applyAlignment="1">
      <alignment horizontal="center"/>
    </xf>
    <xf numFmtId="166" fontId="0" fillId="0" borderId="4" xfId="0" applyNumberFormat="1" applyBorder="1" applyAlignment="1">
      <alignment horizontal="center"/>
    </xf>
    <xf numFmtId="166" fontId="0" fillId="0" borderId="23" xfId="0" applyNumberFormat="1" applyBorder="1" applyAlignment="1">
      <alignment horizontal="center"/>
    </xf>
    <xf numFmtId="0" fontId="3" fillId="0" borderId="2" xfId="0" applyFont="1" applyBorder="1" applyAlignment="1">
      <alignment horizontal="center"/>
    </xf>
    <xf numFmtId="0" fontId="8" fillId="5" borderId="28" xfId="0" applyFont="1" applyFill="1" applyBorder="1" applyAlignment="1">
      <alignment horizontal="center" vertical="center"/>
    </xf>
    <xf numFmtId="0" fontId="8" fillId="5" borderId="29" xfId="0" applyFont="1" applyFill="1" applyBorder="1" applyAlignment="1">
      <alignment horizontal="center" vertical="center"/>
    </xf>
    <xf numFmtId="0" fontId="8" fillId="5" borderId="30" xfId="0" applyFont="1" applyFill="1" applyBorder="1" applyAlignment="1">
      <alignment horizontal="center"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18" xfId="0" applyFont="1" applyBorder="1" applyAlignment="1">
      <alignment horizontal="left" vertical="center"/>
    </xf>
    <xf numFmtId="0" fontId="4" fillId="0" borderId="19" xfId="0" applyFont="1" applyBorder="1" applyAlignment="1">
      <alignment horizontal="left" vertical="center"/>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colors>
    <mruColors>
      <color rgb="FF100B6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DB69E-B07B-4790-A58B-44E535E2270E}">
  <sheetPr>
    <pageSetUpPr fitToPage="1"/>
  </sheetPr>
  <dimension ref="A1:M73"/>
  <sheetViews>
    <sheetView tabSelected="1" topLeftCell="A2" zoomScaleNormal="100" workbookViewId="0">
      <pane xSplit="2" ySplit="5" topLeftCell="C28" activePane="bottomRight" state="frozen"/>
      <selection activeCell="A2" sqref="A2"/>
      <selection pane="topRight" activeCell="C2" sqref="C2"/>
      <selection pane="bottomLeft" activeCell="A7" sqref="A7"/>
      <selection pane="bottomRight" activeCell="K32" sqref="K32"/>
    </sheetView>
  </sheetViews>
  <sheetFormatPr defaultRowHeight="15" x14ac:dyDescent="0.25"/>
  <cols>
    <col min="1" max="1" width="46.140625" customWidth="1"/>
    <col min="2" max="3" width="18.28515625" customWidth="1"/>
    <col min="4" max="4" width="15.28515625" customWidth="1"/>
    <col min="5" max="10" width="15.5703125" customWidth="1"/>
    <col min="12" max="12" width="9.5703125" bestFit="1" customWidth="1"/>
    <col min="13" max="13" width="14.28515625" bestFit="1" customWidth="1"/>
  </cols>
  <sheetData>
    <row r="1" spans="1:12" ht="15.75" thickBot="1" x14ac:dyDescent="0.3">
      <c r="A1" s="111" t="s">
        <v>0</v>
      </c>
      <c r="B1" s="111"/>
      <c r="C1" s="111"/>
      <c r="D1" s="111"/>
      <c r="E1" s="111"/>
      <c r="F1" s="111"/>
    </row>
    <row r="2" spans="1:12" ht="45.75" thickBot="1" x14ac:dyDescent="0.3">
      <c r="A2" s="70"/>
      <c r="B2" s="71" t="s">
        <v>1</v>
      </c>
      <c r="C2" s="71"/>
      <c r="D2" s="71" t="s">
        <v>45</v>
      </c>
      <c r="E2" s="71" t="s">
        <v>39</v>
      </c>
      <c r="F2" s="71" t="s">
        <v>40</v>
      </c>
      <c r="G2" s="71" t="s">
        <v>41</v>
      </c>
      <c r="H2" s="71" t="s">
        <v>42</v>
      </c>
      <c r="I2" s="71" t="s">
        <v>43</v>
      </c>
      <c r="J2" s="72" t="s">
        <v>44</v>
      </c>
    </row>
    <row r="3" spans="1:12" x14ac:dyDescent="0.25">
      <c r="A3" s="95" t="s">
        <v>37</v>
      </c>
      <c r="B3" s="1"/>
      <c r="C3" s="1"/>
      <c r="D3" s="1" t="s">
        <v>57</v>
      </c>
      <c r="E3" s="2">
        <v>16324838.235001409</v>
      </c>
      <c r="F3" s="2">
        <v>14327651.760318551</v>
      </c>
      <c r="G3" s="2">
        <v>13350393.631499998</v>
      </c>
      <c r="H3" s="2">
        <v>16822310.324552577</v>
      </c>
      <c r="I3" s="2">
        <v>782550.64185089525</v>
      </c>
      <c r="J3" s="73">
        <v>29750109.925646231</v>
      </c>
    </row>
    <row r="4" spans="1:12" x14ac:dyDescent="0.25">
      <c r="A4" s="96" t="s">
        <v>2</v>
      </c>
      <c r="B4" s="3"/>
      <c r="C4" s="3"/>
      <c r="D4" s="3" t="s">
        <v>58</v>
      </c>
      <c r="E4" s="4">
        <v>604623538</v>
      </c>
      <c r="F4" s="4">
        <v>606565655.01846993</v>
      </c>
      <c r="G4" s="4">
        <v>607598147.36849999</v>
      </c>
      <c r="H4" s="4">
        <v>603161980.61923862</v>
      </c>
      <c r="I4" s="4">
        <v>603161980.61923862</v>
      </c>
      <c r="J4" s="74">
        <v>603161980.61923862</v>
      </c>
      <c r="L4" s="59"/>
    </row>
    <row r="5" spans="1:12" ht="30" x14ac:dyDescent="0.25">
      <c r="A5" s="96" t="s">
        <v>36</v>
      </c>
      <c r="B5" s="3"/>
      <c r="C5" s="3"/>
      <c r="D5" s="3" t="s">
        <v>46</v>
      </c>
      <c r="E5" s="5">
        <f>E4+E3</f>
        <v>620948376.23500144</v>
      </c>
      <c r="F5" s="5">
        <f t="shared" ref="F5:J5" si="0">F4+F3</f>
        <v>620893306.77878845</v>
      </c>
      <c r="G5" s="5">
        <f t="shared" si="0"/>
        <v>620948541</v>
      </c>
      <c r="H5" s="5">
        <f t="shared" si="0"/>
        <v>619984290.94379115</v>
      </c>
      <c r="I5" s="5">
        <f t="shared" si="0"/>
        <v>603944531.26108956</v>
      </c>
      <c r="J5" s="75">
        <f t="shared" si="0"/>
        <v>632912090.5448848</v>
      </c>
    </row>
    <row r="6" spans="1:12" ht="15.75" thickBot="1" x14ac:dyDescent="0.3">
      <c r="A6" s="67" t="s">
        <v>3</v>
      </c>
      <c r="B6" s="6"/>
      <c r="C6" s="6"/>
      <c r="D6" s="6" t="s">
        <v>47</v>
      </c>
      <c r="E6" s="7">
        <f>E3/E4</f>
        <v>2.7000004480476261E-2</v>
      </c>
      <c r="F6" s="7">
        <f t="shared" ref="F6:H6" si="1">F3/F4</f>
        <v>2.3620941347037318E-2</v>
      </c>
      <c r="G6" s="7">
        <f t="shared" si="1"/>
        <v>2.1972406745017881E-2</v>
      </c>
      <c r="H6" s="7">
        <f t="shared" si="1"/>
        <v>2.7890203403208347E-2</v>
      </c>
      <c r="I6" s="7">
        <f t="shared" ref="I6:J6" si="2">I3/I4</f>
        <v>1.2974137412432505E-3</v>
      </c>
      <c r="J6" s="76">
        <f t="shared" si="2"/>
        <v>4.9323582854315789E-2</v>
      </c>
    </row>
    <row r="7" spans="1:12" ht="15.75" thickBot="1" x14ac:dyDescent="0.3">
      <c r="A7" s="97"/>
      <c r="B7" s="8"/>
      <c r="C7" s="8"/>
      <c r="D7" s="8"/>
      <c r="E7" s="10"/>
      <c r="F7" s="9"/>
      <c r="G7" s="10"/>
      <c r="H7" s="10"/>
      <c r="I7" s="10"/>
      <c r="J7" s="77"/>
    </row>
    <row r="8" spans="1:12" x14ac:dyDescent="0.25">
      <c r="A8" s="95" t="s">
        <v>4</v>
      </c>
      <c r="B8" s="1"/>
      <c r="C8" s="1"/>
      <c r="D8" s="1" t="s">
        <v>59</v>
      </c>
      <c r="E8" s="108">
        <f>61481412.87+7821074.95</f>
        <v>69302487.819999993</v>
      </c>
      <c r="F8" s="109">
        <f>E8</f>
        <v>69302487.819999993</v>
      </c>
      <c r="G8" s="109">
        <f t="shared" ref="G8:H8" si="3">F8</f>
        <v>69302487.819999993</v>
      </c>
      <c r="H8" s="109">
        <f t="shared" si="3"/>
        <v>69302487.819999993</v>
      </c>
      <c r="I8" s="109">
        <f t="shared" ref="I8:J8" si="4">H8</f>
        <v>69302487.819999993</v>
      </c>
      <c r="J8" s="110">
        <f t="shared" si="4"/>
        <v>69302487.819999993</v>
      </c>
    </row>
    <row r="9" spans="1:12" x14ac:dyDescent="0.25">
      <c r="A9" s="96" t="s">
        <v>5</v>
      </c>
      <c r="B9" s="3"/>
      <c r="C9" s="3"/>
      <c r="D9" s="3" t="s">
        <v>48</v>
      </c>
      <c r="E9" s="11">
        <f>E8/E4</f>
        <v>0.11462088963529567</v>
      </c>
      <c r="F9" s="11">
        <f t="shared" ref="F9" si="5">F8/F4</f>
        <v>0.11425389361666007</v>
      </c>
      <c r="G9" s="11">
        <f t="shared" ref="G9:H9" si="6">G8/G4</f>
        <v>0.11405974182138014</v>
      </c>
      <c r="H9" s="11">
        <f t="shared" si="6"/>
        <v>0.11489863427540695</v>
      </c>
      <c r="I9" s="11">
        <f t="shared" ref="I9:J9" si="7">I8/I4</f>
        <v>0.11489863427540695</v>
      </c>
      <c r="J9" s="78">
        <f t="shared" si="7"/>
        <v>0.11489863427540695</v>
      </c>
    </row>
    <row r="10" spans="1:12" ht="30" x14ac:dyDescent="0.25">
      <c r="A10" s="96" t="s">
        <v>6</v>
      </c>
      <c r="B10" s="3"/>
      <c r="C10" s="3"/>
      <c r="D10" s="3" t="s">
        <v>49</v>
      </c>
      <c r="E10" s="12">
        <f>E9*E5</f>
        <v>71173655.301648155</v>
      </c>
      <c r="F10" s="12">
        <f t="shared" ref="F10" si="8">F9*F5</f>
        <v>70939477.819999978</v>
      </c>
      <c r="G10" s="12">
        <f t="shared" ref="G10:H10" si="9">G9*G5</f>
        <v>70825230.270822674</v>
      </c>
      <c r="H10" s="12">
        <f t="shared" si="9"/>
        <v>71235348.301648155</v>
      </c>
      <c r="I10" s="12">
        <f t="shared" ref="I10:J10" si="10">I9*I5</f>
        <v>69392401.820000008</v>
      </c>
      <c r="J10" s="79">
        <f t="shared" si="10"/>
        <v>72720734.819999963</v>
      </c>
    </row>
    <row r="11" spans="1:12" ht="15.75" thickBot="1" x14ac:dyDescent="0.3">
      <c r="A11" s="67" t="s">
        <v>7</v>
      </c>
      <c r="B11" s="6"/>
      <c r="C11" s="6"/>
      <c r="D11" s="6" t="s">
        <v>50</v>
      </c>
      <c r="E11" s="13">
        <f>E10-E8</f>
        <v>1871167.481648162</v>
      </c>
      <c r="F11" s="13">
        <f t="shared" ref="F11" si="11">F10-F8</f>
        <v>1636989.9999999851</v>
      </c>
      <c r="G11" s="13">
        <f t="shared" ref="G11:H11" si="12">G10-G8</f>
        <v>1522742.4508226812</v>
      </c>
      <c r="H11" s="13">
        <f t="shared" si="12"/>
        <v>1932860.481648162</v>
      </c>
      <c r="I11" s="13">
        <f t="shared" ref="I11:J11" si="13">I10-I8</f>
        <v>89914.000000014901</v>
      </c>
      <c r="J11" s="80">
        <f t="shared" si="13"/>
        <v>3418246.9999999702</v>
      </c>
    </row>
    <row r="12" spans="1:12" x14ac:dyDescent="0.25">
      <c r="A12" s="97"/>
      <c r="B12" s="8"/>
      <c r="C12" s="8"/>
      <c r="D12" s="8"/>
      <c r="E12" s="14"/>
      <c r="F12" s="10"/>
      <c r="G12" s="10"/>
      <c r="H12" s="10"/>
      <c r="I12" s="10"/>
      <c r="J12" s="77"/>
    </row>
    <row r="13" spans="1:12" hidden="1" x14ac:dyDescent="0.25">
      <c r="A13" s="95" t="s">
        <v>8</v>
      </c>
      <c r="B13" s="1"/>
      <c r="C13" s="1"/>
      <c r="D13" s="1"/>
      <c r="E13" s="15">
        <v>1.0462</v>
      </c>
      <c r="F13" s="15">
        <v>1.0462</v>
      </c>
      <c r="G13" s="15">
        <f>F13</f>
        <v>1.0462</v>
      </c>
      <c r="H13" s="15">
        <f>G13</f>
        <v>1.0462</v>
      </c>
      <c r="I13" s="15">
        <f>H13</f>
        <v>1.0462</v>
      </c>
      <c r="J13" s="81">
        <f>I13</f>
        <v>1.0462</v>
      </c>
      <c r="K13" t="s">
        <v>9</v>
      </c>
    </row>
    <row r="14" spans="1:12" hidden="1" x14ac:dyDescent="0.25">
      <c r="A14" s="96" t="s">
        <v>10</v>
      </c>
      <c r="B14" s="3"/>
      <c r="C14" s="3"/>
      <c r="D14" s="3"/>
      <c r="E14" s="16">
        <v>1.0459000000000001</v>
      </c>
      <c r="F14" s="16">
        <f>E14</f>
        <v>1.0459000000000001</v>
      </c>
      <c r="G14" s="16">
        <f t="shared" ref="G14:H14" si="14">F14</f>
        <v>1.0459000000000001</v>
      </c>
      <c r="H14" s="16">
        <f t="shared" si="14"/>
        <v>1.0459000000000001</v>
      </c>
      <c r="I14" s="16">
        <f t="shared" ref="I14:J14" si="15">H14</f>
        <v>1.0459000000000001</v>
      </c>
      <c r="J14" s="82">
        <f t="shared" si="15"/>
        <v>1.0459000000000001</v>
      </c>
    </row>
    <row r="15" spans="1:12" hidden="1" x14ac:dyDescent="0.25">
      <c r="A15" s="96" t="s">
        <v>11</v>
      </c>
      <c r="B15" s="3"/>
      <c r="C15" s="3"/>
      <c r="D15" s="3"/>
      <c r="E15" s="5">
        <f>E4/(1-(E13-E14))-E4</f>
        <v>181441.4938480854</v>
      </c>
      <c r="F15" s="5">
        <f t="shared" ref="F15" si="16">F4/(1-(F13-F14))-F4</f>
        <v>182024.30379664898</v>
      </c>
      <c r="G15" s="5">
        <f t="shared" ref="G15:H15" si="17">G4/(1-(G13-G14))-G4</f>
        <v>182334.14445388317</v>
      </c>
      <c r="H15" s="5">
        <f t="shared" si="17"/>
        <v>181002.89505422115</v>
      </c>
      <c r="I15" s="5">
        <f t="shared" ref="I15:J15" si="18">I4/(1-(I13-I14))-I4</f>
        <v>181002.89505422115</v>
      </c>
      <c r="J15" s="75">
        <f t="shared" si="18"/>
        <v>181002.89505422115</v>
      </c>
    </row>
    <row r="16" spans="1:12" ht="30.75" thickBot="1" x14ac:dyDescent="0.3">
      <c r="A16" s="67" t="s">
        <v>38</v>
      </c>
      <c r="B16" s="6"/>
      <c r="C16" s="6"/>
      <c r="D16" s="6" t="s">
        <v>51</v>
      </c>
      <c r="E16" s="13">
        <v>79664</v>
      </c>
      <c r="F16" s="13">
        <v>79664</v>
      </c>
      <c r="G16" s="13">
        <v>79664</v>
      </c>
      <c r="H16" s="13">
        <v>79664</v>
      </c>
      <c r="I16" s="13">
        <v>79664</v>
      </c>
      <c r="J16" s="80">
        <v>79664</v>
      </c>
    </row>
    <row r="17" spans="1:13" x14ac:dyDescent="0.25">
      <c r="A17" s="98"/>
      <c r="B17" s="17"/>
      <c r="C17" s="17"/>
      <c r="D17" s="17"/>
      <c r="E17" s="18"/>
      <c r="F17" s="19"/>
      <c r="G17" s="19"/>
      <c r="H17" s="19"/>
      <c r="I17" s="19"/>
      <c r="J17" s="83"/>
    </row>
    <row r="18" spans="1:13" ht="17.25" hidden="1" customHeight="1" x14ac:dyDescent="0.25">
      <c r="A18" s="99" t="s">
        <v>12</v>
      </c>
      <c r="B18" s="20">
        <v>82512684.684045002</v>
      </c>
      <c r="C18" s="20"/>
      <c r="D18" s="20"/>
      <c r="E18" s="20"/>
      <c r="F18" s="20"/>
      <c r="G18" s="20"/>
      <c r="H18" s="20"/>
      <c r="I18" s="20"/>
      <c r="J18" s="84"/>
    </row>
    <row r="19" spans="1:13" ht="17.25" hidden="1" customHeight="1" thickBot="1" x14ac:dyDescent="0.3">
      <c r="A19" s="100"/>
      <c r="B19" s="53"/>
      <c r="C19" s="53"/>
      <c r="D19" s="53"/>
      <c r="E19" s="53"/>
      <c r="F19" s="53"/>
      <c r="G19" s="53"/>
      <c r="H19" s="53"/>
      <c r="I19" s="53"/>
      <c r="J19" s="85"/>
      <c r="M19" s="58">
        <f>0.027*F8</f>
        <v>1871167.1711399998</v>
      </c>
    </row>
    <row r="20" spans="1:13" ht="17.25" hidden="1" customHeight="1" x14ac:dyDescent="0.25">
      <c r="A20" s="101" t="s">
        <v>13</v>
      </c>
      <c r="B20" s="52">
        <v>2.7E-2</v>
      </c>
      <c r="C20" s="52"/>
      <c r="D20" s="52"/>
      <c r="E20" s="52">
        <f t="shared" ref="E20:J20" si="19">E6</f>
        <v>2.7000004480476261E-2</v>
      </c>
      <c r="F20" s="52">
        <f t="shared" si="19"/>
        <v>2.3620941347037318E-2</v>
      </c>
      <c r="G20" s="52">
        <f t="shared" si="19"/>
        <v>2.1972406745017881E-2</v>
      </c>
      <c r="H20" s="52">
        <f t="shared" si="19"/>
        <v>2.7890203403208347E-2</v>
      </c>
      <c r="I20" s="52">
        <f t="shared" si="19"/>
        <v>1.2974137412432505E-3</v>
      </c>
      <c r="J20" s="86">
        <f t="shared" si="19"/>
        <v>4.9323582854315789E-2</v>
      </c>
    </row>
    <row r="21" spans="1:13" ht="17.25" hidden="1" customHeight="1" x14ac:dyDescent="0.25">
      <c r="A21" s="99" t="s">
        <v>14</v>
      </c>
      <c r="B21" s="20">
        <f>B20*B18</f>
        <v>2227842.4864692152</v>
      </c>
      <c r="C21" s="20"/>
      <c r="D21" s="20"/>
      <c r="E21" s="20">
        <f t="shared" ref="E21:J21" si="20">E11</f>
        <v>1871167.481648162</v>
      </c>
      <c r="F21" s="20">
        <f t="shared" si="20"/>
        <v>1636989.9999999851</v>
      </c>
      <c r="G21" s="20">
        <f t="shared" si="20"/>
        <v>1522742.4508226812</v>
      </c>
      <c r="H21" s="20">
        <f t="shared" si="20"/>
        <v>1932860.481648162</v>
      </c>
      <c r="I21" s="20">
        <f t="shared" si="20"/>
        <v>89914.000000014901</v>
      </c>
      <c r="J21" s="84">
        <f t="shared" si="20"/>
        <v>3418246.9999999702</v>
      </c>
    </row>
    <row r="22" spans="1:13" ht="17.25" hidden="1" customHeight="1" x14ac:dyDescent="0.25">
      <c r="A22" s="99" t="s">
        <v>15</v>
      </c>
      <c r="B22" s="20">
        <v>105111</v>
      </c>
      <c r="C22" s="20"/>
      <c r="D22" s="20"/>
      <c r="E22" s="20">
        <f t="shared" ref="E22:J22" si="21">E16</f>
        <v>79664</v>
      </c>
      <c r="F22" s="20">
        <f t="shared" si="21"/>
        <v>79664</v>
      </c>
      <c r="G22" s="20">
        <f t="shared" si="21"/>
        <v>79664</v>
      </c>
      <c r="H22" s="20">
        <f t="shared" si="21"/>
        <v>79664</v>
      </c>
      <c r="I22" s="20">
        <f t="shared" si="21"/>
        <v>79664</v>
      </c>
      <c r="J22" s="84">
        <f t="shared" si="21"/>
        <v>79664</v>
      </c>
    </row>
    <row r="23" spans="1:13" ht="17.25" customHeight="1" x14ac:dyDescent="0.25">
      <c r="A23" s="102" t="s">
        <v>16</v>
      </c>
      <c r="B23" s="54">
        <f>SUM(B21:B22)</f>
        <v>2332953.4864692152</v>
      </c>
      <c r="C23" s="54"/>
      <c r="D23" s="66" t="s">
        <v>52</v>
      </c>
      <c r="E23" s="55">
        <f>E16+E11</f>
        <v>1950831.481648162</v>
      </c>
      <c r="F23" s="55">
        <f t="shared" ref="F23:H23" si="22">F16+F11</f>
        <v>1716653.9999999851</v>
      </c>
      <c r="G23" s="55">
        <f t="shared" si="22"/>
        <v>1602406.4508226812</v>
      </c>
      <c r="H23" s="55">
        <f t="shared" si="22"/>
        <v>2012524.481648162</v>
      </c>
      <c r="I23" s="55">
        <f t="shared" ref="I23:J23" si="23">I16+I11</f>
        <v>169578.0000000149</v>
      </c>
      <c r="J23" s="87">
        <f t="shared" si="23"/>
        <v>3497910.9999999702</v>
      </c>
    </row>
    <row r="24" spans="1:13" ht="17.25" customHeight="1" x14ac:dyDescent="0.25">
      <c r="A24" s="99"/>
      <c r="B24" s="20"/>
      <c r="C24" s="20"/>
      <c r="D24" s="20"/>
      <c r="E24" s="21"/>
      <c r="F24" s="20"/>
      <c r="G24" s="20"/>
      <c r="H24" s="20"/>
      <c r="I24" s="20"/>
      <c r="J24" s="84"/>
    </row>
    <row r="25" spans="1:13" ht="17.25" customHeight="1" x14ac:dyDescent="0.25">
      <c r="A25" s="99" t="s">
        <v>17</v>
      </c>
      <c r="B25" s="22">
        <v>1754862</v>
      </c>
      <c r="C25" s="22"/>
      <c r="D25" s="68" t="s">
        <v>53</v>
      </c>
      <c r="E25" s="22">
        <v>1755460</v>
      </c>
      <c r="F25" s="22">
        <f>E25</f>
        <v>1755460</v>
      </c>
      <c r="G25" s="22">
        <f t="shared" ref="G25:H25" si="24">F25</f>
        <v>1755460</v>
      </c>
      <c r="H25" s="22">
        <f t="shared" si="24"/>
        <v>1755460</v>
      </c>
      <c r="I25" s="22">
        <f t="shared" ref="I25:J25" si="25">H25</f>
        <v>1755460</v>
      </c>
      <c r="J25" s="45">
        <f t="shared" si="25"/>
        <v>1755460</v>
      </c>
    </row>
    <row r="26" spans="1:13" ht="17.25" customHeight="1" x14ac:dyDescent="0.25">
      <c r="A26" s="99" t="s">
        <v>18</v>
      </c>
      <c r="B26" s="23">
        <v>-304390</v>
      </c>
      <c r="C26" s="23"/>
      <c r="D26" s="68" t="s">
        <v>54</v>
      </c>
      <c r="E26" s="23">
        <v>-304390</v>
      </c>
      <c r="F26" s="23">
        <v>-304390</v>
      </c>
      <c r="G26" s="23">
        <v>-304389</v>
      </c>
      <c r="H26" s="23">
        <v>-304388</v>
      </c>
      <c r="I26" s="23">
        <v>-304388</v>
      </c>
      <c r="J26" s="88">
        <v>-304388</v>
      </c>
    </row>
    <row r="27" spans="1:13" ht="17.25" hidden="1" customHeight="1" x14ac:dyDescent="0.25">
      <c r="A27" s="99" t="s">
        <v>19</v>
      </c>
      <c r="B27" s="23"/>
      <c r="C27" s="23"/>
      <c r="D27" s="23"/>
      <c r="E27" s="24"/>
      <c r="F27" s="25"/>
      <c r="G27" s="25"/>
      <c r="H27" s="25"/>
      <c r="I27" s="25"/>
      <c r="J27" s="89"/>
    </row>
    <row r="28" spans="1:13" ht="32.25" customHeight="1" x14ac:dyDescent="0.25">
      <c r="A28" s="99" t="s">
        <v>20</v>
      </c>
      <c r="B28" s="20">
        <v>296400</v>
      </c>
      <c r="C28" s="20"/>
      <c r="D28" s="68" t="s">
        <v>55</v>
      </c>
      <c r="E28" s="20">
        <f>B28*(1+E27)</f>
        <v>296400</v>
      </c>
      <c r="F28" s="20">
        <f>E28*(1+F27)</f>
        <v>296400</v>
      </c>
      <c r="G28" s="20">
        <f>F28</f>
        <v>296400</v>
      </c>
      <c r="H28" s="20">
        <f t="shared" ref="H28:J29" si="26">G28</f>
        <v>296400</v>
      </c>
      <c r="I28" s="20">
        <f t="shared" si="26"/>
        <v>296400</v>
      </c>
      <c r="J28" s="84">
        <f t="shared" si="26"/>
        <v>296400</v>
      </c>
    </row>
    <row r="29" spans="1:13" ht="32.25" customHeight="1" thickBot="1" x14ac:dyDescent="0.3">
      <c r="A29" s="100" t="s">
        <v>21</v>
      </c>
      <c r="B29" s="57">
        <v>-30816</v>
      </c>
      <c r="C29" s="57"/>
      <c r="D29" s="6" t="s">
        <v>56</v>
      </c>
      <c r="E29" s="57">
        <f>B29*(1+E27)</f>
        <v>-30816</v>
      </c>
      <c r="F29" s="57">
        <f>E29*(1+F27)</f>
        <v>-30816</v>
      </c>
      <c r="G29" s="57">
        <f>F29</f>
        <v>-30816</v>
      </c>
      <c r="H29" s="57">
        <f t="shared" si="26"/>
        <v>-30816</v>
      </c>
      <c r="I29" s="57">
        <f t="shared" si="26"/>
        <v>-30816</v>
      </c>
      <c r="J29" s="90">
        <f t="shared" si="26"/>
        <v>-30816</v>
      </c>
    </row>
    <row r="30" spans="1:13" ht="17.25" customHeight="1" x14ac:dyDescent="0.25">
      <c r="A30" s="101" t="s">
        <v>22</v>
      </c>
      <c r="B30" s="56">
        <f>SUM(B25:B29)</f>
        <v>1716056</v>
      </c>
      <c r="C30" s="56"/>
      <c r="D30" s="69" t="s">
        <v>60</v>
      </c>
      <c r="E30" s="56">
        <f>SUM(E25:E29)</f>
        <v>1716654</v>
      </c>
      <c r="F30" s="56">
        <f>SUM(F25:F29)</f>
        <v>1716654</v>
      </c>
      <c r="G30" s="56">
        <f t="shared" ref="G30:J30" si="27">SUM(G25:G29)</f>
        <v>1716655</v>
      </c>
      <c r="H30" s="56">
        <f t="shared" si="27"/>
        <v>1716656</v>
      </c>
      <c r="I30" s="56">
        <f t="shared" si="27"/>
        <v>1716656</v>
      </c>
      <c r="J30" s="91">
        <f t="shared" si="27"/>
        <v>1716656</v>
      </c>
    </row>
    <row r="31" spans="1:13" ht="17.25" customHeight="1" x14ac:dyDescent="0.25">
      <c r="A31" s="99"/>
      <c r="B31" s="20"/>
      <c r="C31" s="20"/>
      <c r="D31" s="20"/>
      <c r="E31" s="20"/>
      <c r="F31" s="20"/>
      <c r="G31" s="20"/>
      <c r="H31" s="20"/>
      <c r="I31" s="20"/>
      <c r="J31" s="84"/>
    </row>
    <row r="32" spans="1:13" s="26" customFormat="1" ht="17.25" customHeight="1" thickBot="1" x14ac:dyDescent="0.3">
      <c r="A32" s="103" t="s">
        <v>23</v>
      </c>
      <c r="B32" s="92">
        <f t="shared" ref="B32:H32" si="28">B23-B30</f>
        <v>616897.48646921525</v>
      </c>
      <c r="C32" s="92"/>
      <c r="D32" s="93" t="s">
        <v>61</v>
      </c>
      <c r="E32" s="92">
        <f t="shared" si="28"/>
        <v>234177.48164816201</v>
      </c>
      <c r="F32" s="92">
        <f t="shared" si="28"/>
        <v>-1.4901161193847656E-8</v>
      </c>
      <c r="G32" s="92">
        <f t="shared" si="28"/>
        <v>-114248.54917731881</v>
      </c>
      <c r="H32" s="92">
        <f t="shared" si="28"/>
        <v>295868.48164816201</v>
      </c>
      <c r="I32" s="92">
        <f t="shared" ref="I32:J32" si="29">I23-I30</f>
        <v>-1547077.9999999851</v>
      </c>
      <c r="J32" s="94">
        <f t="shared" si="29"/>
        <v>1781254.9999999702</v>
      </c>
    </row>
    <row r="33" spans="1:10" ht="17.25" customHeight="1" x14ac:dyDescent="0.25">
      <c r="A33" s="27"/>
      <c r="B33" s="28"/>
      <c r="C33" s="28"/>
      <c r="D33" s="28"/>
      <c r="E33" s="28"/>
      <c r="F33" s="28"/>
      <c r="G33" s="28"/>
      <c r="H33" s="28"/>
      <c r="I33" s="28"/>
      <c r="J33" s="28"/>
    </row>
    <row r="34" spans="1:10" ht="17.25" customHeight="1" x14ac:dyDescent="0.25">
      <c r="A34" s="27" t="s">
        <v>24</v>
      </c>
      <c r="B34" s="28"/>
      <c r="C34" s="28"/>
      <c r="D34" s="28"/>
      <c r="E34" s="29"/>
      <c r="F34" s="29"/>
      <c r="G34" s="29"/>
      <c r="H34" s="29">
        <f>H42*2</f>
        <v>61691</v>
      </c>
      <c r="I34" s="29"/>
      <c r="J34" s="29">
        <v>1781255.481648162</v>
      </c>
    </row>
    <row r="35" spans="1:10" ht="17.25" customHeight="1" thickBot="1" x14ac:dyDescent="0.3">
      <c r="A35" s="27" t="s">
        <v>25</v>
      </c>
      <c r="B35" s="28"/>
      <c r="C35" s="28"/>
      <c r="D35" s="28"/>
      <c r="E35" s="28"/>
      <c r="F35" s="28">
        <f>F32</f>
        <v>-1.4901161193847656E-8</v>
      </c>
      <c r="G35" s="28">
        <v>0</v>
      </c>
      <c r="H35" s="28">
        <v>0</v>
      </c>
      <c r="I35" s="28">
        <v>0</v>
      </c>
      <c r="J35" s="28">
        <v>0</v>
      </c>
    </row>
    <row r="36" spans="1:10" ht="17.25" customHeight="1" thickBot="1" x14ac:dyDescent="0.3">
      <c r="A36" s="112" t="s">
        <v>26</v>
      </c>
      <c r="B36" s="113"/>
      <c r="C36" s="113"/>
      <c r="D36" s="113"/>
      <c r="E36" s="113"/>
      <c r="F36" s="113"/>
      <c r="G36" s="113"/>
      <c r="H36" s="113"/>
      <c r="I36" s="113"/>
      <c r="J36" s="114"/>
    </row>
    <row r="37" spans="1:10" ht="42.75" customHeight="1" x14ac:dyDescent="0.25">
      <c r="A37" s="70"/>
      <c r="B37" s="71"/>
      <c r="C37" s="71"/>
      <c r="D37" s="71"/>
      <c r="E37" s="71" t="str">
        <f t="shared" ref="E37:J37" si="30">E2</f>
        <v>Top of Dead Band</v>
      </c>
      <c r="F37" s="71" t="str">
        <f t="shared" si="30"/>
        <v>Bottom of Dead Band</v>
      </c>
      <c r="G37" s="71" t="str">
        <f t="shared" si="30"/>
        <v>Scenario 1</v>
      </c>
      <c r="H37" s="71" t="str">
        <f t="shared" si="30"/>
        <v>Scenario 2</v>
      </c>
      <c r="I37" s="71" t="str">
        <f t="shared" si="30"/>
        <v>Scenario 3</v>
      </c>
      <c r="J37" s="72" t="str">
        <f t="shared" si="30"/>
        <v>Scenario 4</v>
      </c>
    </row>
    <row r="38" spans="1:10" ht="17.25" customHeight="1" x14ac:dyDescent="0.25">
      <c r="A38" s="41" t="s">
        <v>27</v>
      </c>
      <c r="B38" s="30"/>
      <c r="C38" s="30"/>
      <c r="D38" s="30"/>
      <c r="E38" s="31"/>
      <c r="F38" s="31"/>
      <c r="G38" s="31">
        <f>-(G32-F32)/2</f>
        <v>57124.274588651955</v>
      </c>
      <c r="H38" s="31"/>
      <c r="I38" s="31">
        <f>-I32/2</f>
        <v>773538.99999999255</v>
      </c>
      <c r="J38" s="42"/>
    </row>
    <row r="39" spans="1:10" ht="33.75" customHeight="1" x14ac:dyDescent="0.25">
      <c r="A39" s="61" t="s">
        <v>66</v>
      </c>
      <c r="B39" s="30"/>
      <c r="C39" s="30"/>
      <c r="D39" s="30"/>
      <c r="E39" s="32"/>
      <c r="F39" s="32"/>
      <c r="G39" s="32">
        <f>G38</f>
        <v>57124.274588651955</v>
      </c>
      <c r="H39" s="32"/>
      <c r="I39" s="32">
        <f>I38</f>
        <v>773538.99999999255</v>
      </c>
      <c r="J39" s="44"/>
    </row>
    <row r="40" spans="1:10" ht="17.25" customHeight="1" x14ac:dyDescent="0.25">
      <c r="A40" s="115" t="s">
        <v>28</v>
      </c>
      <c r="B40" s="116"/>
      <c r="C40" s="116"/>
      <c r="D40" s="116"/>
      <c r="E40" s="116"/>
      <c r="F40" s="116"/>
      <c r="G40" s="116"/>
      <c r="H40" s="116"/>
      <c r="I40" s="116"/>
      <c r="J40" s="117"/>
    </row>
    <row r="41" spans="1:10" ht="17.25" customHeight="1" x14ac:dyDescent="0.25">
      <c r="A41" s="64"/>
      <c r="B41" s="62"/>
      <c r="C41" s="62"/>
      <c r="D41" s="62"/>
      <c r="E41" s="63"/>
      <c r="F41" s="63"/>
      <c r="G41" s="63"/>
      <c r="H41" s="63"/>
      <c r="I41" s="63"/>
      <c r="J41" s="65"/>
    </row>
    <row r="42" spans="1:10" ht="33.75" customHeight="1" x14ac:dyDescent="0.25">
      <c r="A42" s="60" t="s">
        <v>66</v>
      </c>
      <c r="B42" s="30"/>
      <c r="C42" s="30"/>
      <c r="D42" s="30"/>
      <c r="E42" s="22"/>
      <c r="F42" s="22"/>
      <c r="G42" s="31"/>
      <c r="H42" s="31">
        <f>(H32-E32)/2</f>
        <v>30845.5</v>
      </c>
      <c r="I42" s="31"/>
      <c r="J42" s="42">
        <f>(J32-E32)/2</f>
        <v>773538.7591759041</v>
      </c>
    </row>
    <row r="43" spans="1:10" ht="17.25" customHeight="1" x14ac:dyDescent="0.25">
      <c r="A43" s="43" t="s">
        <v>27</v>
      </c>
      <c r="B43" s="30"/>
      <c r="C43" s="30"/>
      <c r="D43" s="30"/>
      <c r="E43" s="22"/>
      <c r="F43" s="22"/>
      <c r="G43" s="32"/>
      <c r="H43" s="32">
        <f>H42</f>
        <v>30845.5</v>
      </c>
      <c r="I43" s="32"/>
      <c r="J43" s="44">
        <f>J42</f>
        <v>773538.7591759041</v>
      </c>
    </row>
    <row r="44" spans="1:10" ht="17.25" customHeight="1" thickBot="1" x14ac:dyDescent="0.3">
      <c r="A44" s="118" t="s">
        <v>65</v>
      </c>
      <c r="B44" s="119"/>
      <c r="C44" s="119"/>
      <c r="D44" s="119"/>
      <c r="E44" s="119"/>
      <c r="F44" s="119"/>
      <c r="G44" s="119"/>
      <c r="H44" s="119"/>
      <c r="I44" s="119"/>
      <c r="J44" s="120"/>
    </row>
    <row r="45" spans="1:10" ht="17.25" customHeight="1" thickBot="1" x14ac:dyDescent="0.3">
      <c r="A45" s="33"/>
      <c r="B45" s="34"/>
      <c r="C45" s="34"/>
      <c r="D45" s="34"/>
      <c r="E45" s="28"/>
      <c r="F45" s="28"/>
      <c r="G45" s="28"/>
      <c r="H45" s="28"/>
      <c r="I45" s="28"/>
      <c r="J45" s="28"/>
    </row>
    <row r="46" spans="1:10" ht="17.25" customHeight="1" thickBot="1" x14ac:dyDescent="0.3">
      <c r="A46" s="112" t="s">
        <v>29</v>
      </c>
      <c r="B46" s="113"/>
      <c r="C46" s="113"/>
      <c r="D46" s="113"/>
      <c r="E46" s="113"/>
      <c r="F46" s="113"/>
      <c r="G46" s="113"/>
      <c r="H46" s="113"/>
      <c r="I46" s="113"/>
      <c r="J46" s="114"/>
    </row>
    <row r="47" spans="1:10" ht="46.5" customHeight="1" x14ac:dyDescent="0.25">
      <c r="A47" s="70"/>
      <c r="B47" s="71"/>
      <c r="C47" s="71"/>
      <c r="D47" s="71"/>
      <c r="E47" s="71" t="str">
        <f>E37</f>
        <v>Top of Dead Band</v>
      </c>
      <c r="F47" s="71" t="str">
        <f>F37</f>
        <v>Bottom of Dead Band</v>
      </c>
      <c r="G47" s="71" t="str">
        <f t="shared" ref="G47" si="31">G37</f>
        <v>Scenario 1</v>
      </c>
      <c r="H47" s="71" t="str">
        <f t="shared" ref="H47:I47" si="32">H37</f>
        <v>Scenario 2</v>
      </c>
      <c r="I47" s="71" t="str">
        <f t="shared" si="32"/>
        <v>Scenario 3</v>
      </c>
      <c r="J47" s="72" t="str">
        <f t="shared" ref="J47" si="33">J37</f>
        <v>Scenario 4</v>
      </c>
    </row>
    <row r="48" spans="1:10" ht="17.25" customHeight="1" x14ac:dyDescent="0.25">
      <c r="A48" s="43" t="s">
        <v>30</v>
      </c>
      <c r="B48" s="30"/>
      <c r="C48" s="30"/>
      <c r="D48" s="30"/>
      <c r="E48" s="22">
        <v>136089187</v>
      </c>
      <c r="F48" s="22">
        <v>136089187</v>
      </c>
      <c r="G48" s="22">
        <v>136089187</v>
      </c>
      <c r="H48" s="22">
        <v>136089187</v>
      </c>
      <c r="I48" s="22">
        <v>136089187</v>
      </c>
      <c r="J48" s="45">
        <v>136089187</v>
      </c>
    </row>
    <row r="49" spans="1:10" ht="17.25" customHeight="1" x14ac:dyDescent="0.25">
      <c r="A49" s="43"/>
      <c r="B49" s="30"/>
      <c r="C49" s="30"/>
      <c r="D49" s="30"/>
      <c r="E49" s="22"/>
      <c r="F49" s="22"/>
      <c r="G49" s="22"/>
      <c r="H49" s="45"/>
      <c r="I49" s="45"/>
      <c r="J49" s="45"/>
    </row>
    <row r="50" spans="1:10" ht="17.25" customHeight="1" x14ac:dyDescent="0.25">
      <c r="A50" s="43" t="s">
        <v>31</v>
      </c>
      <c r="B50" s="35">
        <v>0.4</v>
      </c>
      <c r="C50" s="35"/>
      <c r="D50" s="35"/>
      <c r="E50" s="22">
        <f>$B$50*0.0866*E48</f>
        <v>4714129.4376799995</v>
      </c>
      <c r="F50" s="22">
        <f t="shared" ref="F50:J50" si="34">$B$50*0.0866*F48</f>
        <v>4714129.4376799995</v>
      </c>
      <c r="G50" s="22">
        <f t="shared" si="34"/>
        <v>4714129.4376799995</v>
      </c>
      <c r="H50" s="22">
        <f t="shared" si="34"/>
        <v>4714129.4376799995</v>
      </c>
      <c r="I50" s="22">
        <f t="shared" si="34"/>
        <v>4714129.4376799995</v>
      </c>
      <c r="J50" s="45">
        <f t="shared" si="34"/>
        <v>4714129.4376799995</v>
      </c>
    </row>
    <row r="51" spans="1:10" ht="17.25" customHeight="1" x14ac:dyDescent="0.25">
      <c r="A51" s="43" t="s">
        <v>32</v>
      </c>
      <c r="B51" s="30"/>
      <c r="C51" s="30"/>
      <c r="D51" s="30"/>
      <c r="E51" s="22">
        <f>E50-E39</f>
        <v>4714129.4376799995</v>
      </c>
      <c r="F51" s="22">
        <f>F50-F39</f>
        <v>4714129.4376799995</v>
      </c>
      <c r="G51" s="22">
        <f>G50-G39+G42</f>
        <v>4657005.1630913476</v>
      </c>
      <c r="H51" s="45">
        <f>H50-H39+H42</f>
        <v>4744974.9376799995</v>
      </c>
      <c r="I51" s="45">
        <f>I50-I39+I42</f>
        <v>3940590.437680007</v>
      </c>
      <c r="J51" s="45">
        <f>J50-J39+J42</f>
        <v>5487668.1968559036</v>
      </c>
    </row>
    <row r="52" spans="1:10" ht="17.25" customHeight="1" x14ac:dyDescent="0.25">
      <c r="A52" s="43"/>
      <c r="B52" s="30"/>
      <c r="C52" s="30"/>
      <c r="D52" s="30"/>
      <c r="E52" s="22"/>
      <c r="F52" s="22"/>
      <c r="G52" s="22"/>
      <c r="H52" s="45"/>
      <c r="I52" s="45"/>
      <c r="J52" s="45"/>
    </row>
    <row r="53" spans="1:10" ht="17.25" customHeight="1" x14ac:dyDescent="0.25">
      <c r="A53" s="47" t="s">
        <v>33</v>
      </c>
      <c r="B53" s="30"/>
      <c r="C53" s="30"/>
      <c r="D53" s="30"/>
      <c r="E53" s="36">
        <v>8.6599999999999996E-2</v>
      </c>
      <c r="F53" s="36">
        <v>8.6599999999999996E-2</v>
      </c>
      <c r="G53" s="36">
        <v>8.6599999999999996E-2</v>
      </c>
      <c r="H53" s="48">
        <v>8.6599999999999996E-2</v>
      </c>
      <c r="I53" s="48">
        <v>8.6599999999999996E-2</v>
      </c>
      <c r="J53" s="48">
        <v>8.6599999999999996E-2</v>
      </c>
    </row>
    <row r="54" spans="1:10" ht="17.25" customHeight="1" x14ac:dyDescent="0.25">
      <c r="A54" s="47" t="s">
        <v>34</v>
      </c>
      <c r="B54" s="30"/>
      <c r="C54" s="30"/>
      <c r="D54" s="30"/>
      <c r="E54" s="36">
        <f>E51/($B$50*E48)</f>
        <v>8.6599999999999983E-2</v>
      </c>
      <c r="F54" s="36">
        <f t="shared" ref="F54:G54" si="35">F51/($B$50*F48)</f>
        <v>8.6599999999999983E-2</v>
      </c>
      <c r="G54" s="36">
        <f t="shared" si="35"/>
        <v>8.5550609599338467E-2</v>
      </c>
      <c r="H54" s="48">
        <f t="shared" ref="H54:I54" si="36">H51/($B$50*H48)</f>
        <v>8.7166641271800654E-2</v>
      </c>
      <c r="I54" s="48">
        <f t="shared" si="36"/>
        <v>7.238985191527389E-2</v>
      </c>
      <c r="J54" s="48">
        <f t="shared" ref="J54" si="37">J51/($B$50*J48)</f>
        <v>0.10081014366071389</v>
      </c>
    </row>
    <row r="55" spans="1:10" ht="17.25" customHeight="1" thickBot="1" x14ac:dyDescent="0.3">
      <c r="A55" s="49" t="s">
        <v>35</v>
      </c>
      <c r="B55" s="46"/>
      <c r="C55" s="46"/>
      <c r="D55" s="46"/>
      <c r="E55" s="50">
        <f>E54-E53</f>
        <v>0</v>
      </c>
      <c r="F55" s="50">
        <f t="shared" ref="F55:G55" si="38">F54-F53</f>
        <v>0</v>
      </c>
      <c r="G55" s="50">
        <f t="shared" si="38"/>
        <v>-1.049390400661529E-3</v>
      </c>
      <c r="H55" s="51">
        <f t="shared" ref="H55:I55" si="39">H54-H53</f>
        <v>5.6664127180065804E-4</v>
      </c>
      <c r="I55" s="51">
        <f t="shared" si="39"/>
        <v>-1.4210148084726107E-2</v>
      </c>
      <c r="J55" s="51">
        <f t="shared" ref="J55" si="40">J54-J53</f>
        <v>1.4210143660713895E-2</v>
      </c>
    </row>
    <row r="56" spans="1:10" x14ac:dyDescent="0.25">
      <c r="A56" s="104" t="s">
        <v>62</v>
      </c>
    </row>
    <row r="57" spans="1:10" x14ac:dyDescent="0.25">
      <c r="A57" s="105" t="s">
        <v>63</v>
      </c>
      <c r="B57" s="21"/>
      <c r="C57" s="21"/>
      <c r="D57" s="21"/>
      <c r="E57" s="106">
        <v>8.6599999999999996E-2</v>
      </c>
      <c r="F57" s="106">
        <v>8.6599999999999996E-2</v>
      </c>
      <c r="G57" s="106">
        <f>((773539-G38)/773539)*G53</f>
        <v>8.0204766948560755E-2</v>
      </c>
      <c r="H57" s="106">
        <f>((773539+H42)/773539)*H53</f>
        <v>9.0053245796268833E-2</v>
      </c>
      <c r="I57" s="106">
        <f t="shared" ref="I57" si="41">((773539-I38)/773539)*I53</f>
        <v>8.3411473719308725E-16</v>
      </c>
      <c r="J57" s="106">
        <f>((773539+J42)/773539)*J53</f>
        <v>0.1731999730390236</v>
      </c>
    </row>
    <row r="58" spans="1:10" x14ac:dyDescent="0.25">
      <c r="A58" s="105" t="s">
        <v>64</v>
      </c>
      <c r="B58" s="21"/>
      <c r="C58" s="21"/>
      <c r="D58" s="21"/>
      <c r="E58" s="107">
        <f>E53-E57</f>
        <v>0</v>
      </c>
      <c r="F58" s="107">
        <f>F53-F57</f>
        <v>0</v>
      </c>
      <c r="G58" s="107">
        <f>G57-G53</f>
        <v>-6.3952330514392419E-3</v>
      </c>
      <c r="H58" s="107">
        <f>H57-H53</f>
        <v>3.4532457962688362E-3</v>
      </c>
      <c r="I58" s="107">
        <f>I57-I53</f>
        <v>-8.6599999999999164E-2</v>
      </c>
      <c r="J58" s="107">
        <f>J57-J53</f>
        <v>8.6599973039023601E-2</v>
      </c>
    </row>
    <row r="60" spans="1:10" x14ac:dyDescent="0.25">
      <c r="E60" s="37"/>
    </row>
    <row r="62" spans="1:10" x14ac:dyDescent="0.25">
      <c r="A62" s="38"/>
    </row>
    <row r="63" spans="1:10" ht="15" customHeight="1" x14ac:dyDescent="0.25"/>
    <row r="64" spans="1:10" x14ac:dyDescent="0.25">
      <c r="A64" s="38"/>
    </row>
    <row r="65" spans="1:4" x14ac:dyDescent="0.25">
      <c r="B65" s="39"/>
      <c r="C65" s="39"/>
      <c r="D65" s="39"/>
    </row>
    <row r="66" spans="1:4" x14ac:dyDescent="0.25">
      <c r="B66" s="39"/>
      <c r="C66" s="39"/>
      <c r="D66" s="39"/>
    </row>
    <row r="67" spans="1:4" x14ac:dyDescent="0.25">
      <c r="B67" s="39"/>
      <c r="C67" s="39"/>
      <c r="D67" s="39"/>
    </row>
    <row r="68" spans="1:4" x14ac:dyDescent="0.25">
      <c r="B68" s="39"/>
      <c r="C68" s="39"/>
      <c r="D68" s="39"/>
    </row>
    <row r="69" spans="1:4" x14ac:dyDescent="0.25">
      <c r="B69" s="40"/>
      <c r="C69" s="40"/>
      <c r="D69" s="40"/>
    </row>
    <row r="70" spans="1:4" x14ac:dyDescent="0.25">
      <c r="A70" s="38"/>
    </row>
    <row r="71" spans="1:4" x14ac:dyDescent="0.25">
      <c r="B71" s="39"/>
      <c r="C71" s="39"/>
      <c r="D71" s="39"/>
    </row>
    <row r="72" spans="1:4" x14ac:dyDescent="0.25">
      <c r="B72" s="39"/>
      <c r="C72" s="39"/>
      <c r="D72" s="39"/>
    </row>
    <row r="73" spans="1:4" x14ac:dyDescent="0.25">
      <c r="B73" s="40"/>
      <c r="C73" s="40"/>
      <c r="D73" s="40"/>
    </row>
  </sheetData>
  <mergeCells count="5">
    <mergeCell ref="A1:F1"/>
    <mergeCell ref="A36:J36"/>
    <mergeCell ref="A46:J46"/>
    <mergeCell ref="A40:J40"/>
    <mergeCell ref="A44:J44"/>
  </mergeCells>
  <pageMargins left="0.70866141732283472" right="0.70866141732283472" top="0.74803149606299213" bottom="0.74803149606299213" header="0.31496062992125984" footer="0.31496062992125984"/>
  <pageSetup paperSize="17" scale="90" orientation="landscape" r:id="rId1"/>
  <headerFooter>
    <oddFooter>&amp;L&amp;"-,Bold Italic"&amp;9&amp;Z&amp;F</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VVO Link to ROE Method B 72M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Tyler Kasubeck</dc:creator>
  <cp:lastModifiedBy>Tyler Kasubeck</cp:lastModifiedBy>
  <dcterms:created xsi:type="dcterms:W3CDTF">2022-08-02T13:20:39Z</dcterms:created>
  <dcterms:modified xsi:type="dcterms:W3CDTF">2022-11-27T21:17:15Z</dcterms:modified>
</cp:coreProperties>
</file>